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nlek\Desktop\"/>
    </mc:Choice>
  </mc:AlternateContent>
  <bookViews>
    <workbookView xWindow="10395" yWindow="-105" windowWidth="14850" windowHeight="12735"/>
  </bookViews>
  <sheets>
    <sheet name="BIData" sheetId="2" r:id="rId1"/>
    <sheet name="ReferenceData" sheetId="3" r:id="rId2"/>
    <sheet name="Help-Reference" sheetId="4" r:id="rId3"/>
  </sheets>
  <calcPr calcId="162913"/>
</workbook>
</file>

<file path=xl/calcChain.xml><?xml version="1.0" encoding="utf-8"?>
<calcChain xmlns="http://schemas.openxmlformats.org/spreadsheetml/2006/main">
  <c r="CG404" i="3" l="1"/>
  <c r="CF404" i="3"/>
  <c r="CE404" i="3"/>
  <c r="CD404" i="3"/>
  <c r="CC404" i="3"/>
  <c r="CB404" i="3"/>
  <c r="CA404" i="3"/>
  <c r="BZ404" i="3"/>
  <c r="BY404" i="3"/>
  <c r="BX404" i="3"/>
  <c r="BW404" i="3"/>
  <c r="BV404" i="3"/>
  <c r="BU404" i="3"/>
  <c r="BT404" i="3"/>
  <c r="BS404" i="3"/>
  <c r="BR404" i="3"/>
  <c r="BQ404" i="3"/>
  <c r="BP404" i="3"/>
  <c r="BO404" i="3"/>
  <c r="BN404" i="3"/>
  <c r="BM404" i="3"/>
  <c r="BL404" i="3"/>
  <c r="BK404" i="3"/>
  <c r="BJ404" i="3"/>
  <c r="BI404" i="3"/>
  <c r="BH404" i="3"/>
  <c r="BG404" i="3"/>
  <c r="BF404" i="3"/>
  <c r="BE404" i="3"/>
  <c r="BD404" i="3"/>
  <c r="BC404" i="3"/>
  <c r="BB404" i="3"/>
  <c r="BA404" i="3"/>
  <c r="AZ404" i="3"/>
  <c r="AY404" i="3"/>
  <c r="AX404" i="3"/>
  <c r="AW404" i="3"/>
  <c r="AV404" i="3"/>
  <c r="AU404" i="3"/>
  <c r="AT404" i="3"/>
  <c r="E404" i="3"/>
  <c r="D404" i="3"/>
  <c r="C404" i="3"/>
  <c r="B404" i="3"/>
  <c r="A404" i="3"/>
  <c r="CG403" i="3"/>
  <c r="CF403" i="3"/>
  <c r="CE403" i="3"/>
  <c r="CD403" i="3"/>
  <c r="CC403" i="3"/>
  <c r="CB403" i="3"/>
  <c r="CA403" i="3"/>
  <c r="BZ403" i="3"/>
  <c r="BY403" i="3"/>
  <c r="BX403" i="3"/>
  <c r="BW403" i="3"/>
  <c r="BV403" i="3"/>
  <c r="BU403" i="3"/>
  <c r="BT403" i="3"/>
  <c r="BS403" i="3"/>
  <c r="BR403" i="3"/>
  <c r="BQ403" i="3"/>
  <c r="BP403" i="3"/>
  <c r="BO403" i="3"/>
  <c r="BN403" i="3"/>
  <c r="BM403" i="3"/>
  <c r="BL403" i="3"/>
  <c r="BK403" i="3"/>
  <c r="BJ403" i="3"/>
  <c r="BI403" i="3"/>
  <c r="BH403" i="3"/>
  <c r="BG403" i="3"/>
  <c r="BF403" i="3"/>
  <c r="BE403" i="3"/>
  <c r="BD403" i="3"/>
  <c r="BC403" i="3"/>
  <c r="BB403" i="3"/>
  <c r="BA403" i="3"/>
  <c r="AZ403" i="3"/>
  <c r="AY403" i="3"/>
  <c r="AX403" i="3"/>
  <c r="AW403" i="3"/>
  <c r="AV403" i="3"/>
  <c r="AU403" i="3"/>
  <c r="AT403" i="3"/>
  <c r="E403" i="3"/>
  <c r="D403" i="3"/>
  <c r="C403" i="3"/>
  <c r="B403" i="3"/>
  <c r="A403" i="3"/>
  <c r="CG402" i="3"/>
  <c r="CF402" i="3"/>
  <c r="CE402" i="3"/>
  <c r="CD402" i="3"/>
  <c r="CC402" i="3"/>
  <c r="CB402" i="3"/>
  <c r="CA402" i="3"/>
  <c r="BZ402" i="3"/>
  <c r="BY402" i="3"/>
  <c r="BX402" i="3"/>
  <c r="BW402" i="3"/>
  <c r="BV402" i="3"/>
  <c r="BU402" i="3"/>
  <c r="BT402" i="3"/>
  <c r="BS402" i="3"/>
  <c r="BR402" i="3"/>
  <c r="BQ402" i="3"/>
  <c r="BP402" i="3"/>
  <c r="BO402" i="3"/>
  <c r="BN402" i="3"/>
  <c r="BM402" i="3"/>
  <c r="BL402" i="3"/>
  <c r="BK402" i="3"/>
  <c r="BJ402" i="3"/>
  <c r="BI402" i="3"/>
  <c r="BH402" i="3"/>
  <c r="BG402" i="3"/>
  <c r="BF402" i="3"/>
  <c r="BE402" i="3"/>
  <c r="BD402" i="3"/>
  <c r="BC402" i="3"/>
  <c r="BB402" i="3"/>
  <c r="BA402" i="3"/>
  <c r="AZ402" i="3"/>
  <c r="AY402" i="3"/>
  <c r="AX402" i="3"/>
  <c r="AW402" i="3"/>
  <c r="AV402" i="3"/>
  <c r="AU402" i="3"/>
  <c r="AT402" i="3"/>
  <c r="E402" i="3"/>
  <c r="D402" i="3"/>
  <c r="C402" i="3"/>
  <c r="B402" i="3"/>
  <c r="A402" i="3"/>
  <c r="CG401" i="3"/>
  <c r="CF401" i="3"/>
  <c r="CE401" i="3"/>
  <c r="CD401" i="3"/>
  <c r="CC401" i="3"/>
  <c r="CB401" i="3"/>
  <c r="CA401" i="3"/>
  <c r="BZ401" i="3"/>
  <c r="BY401" i="3"/>
  <c r="BX401" i="3"/>
  <c r="BW401" i="3"/>
  <c r="BV401" i="3"/>
  <c r="BU401" i="3"/>
  <c r="BT401" i="3"/>
  <c r="BS401" i="3"/>
  <c r="BR401" i="3"/>
  <c r="BQ401" i="3"/>
  <c r="BP401" i="3"/>
  <c r="BO401" i="3"/>
  <c r="BN401" i="3"/>
  <c r="BM401" i="3"/>
  <c r="BL401" i="3"/>
  <c r="BK401" i="3"/>
  <c r="BJ401" i="3"/>
  <c r="BI401" i="3"/>
  <c r="BH401" i="3"/>
  <c r="BG401" i="3"/>
  <c r="BF401" i="3"/>
  <c r="BE401" i="3"/>
  <c r="BD401" i="3"/>
  <c r="BC401" i="3"/>
  <c r="BB401" i="3"/>
  <c r="BA401" i="3"/>
  <c r="AZ401" i="3"/>
  <c r="AY401" i="3"/>
  <c r="AX401" i="3"/>
  <c r="AW401" i="3"/>
  <c r="AV401" i="3"/>
  <c r="AU401" i="3"/>
  <c r="AT401" i="3"/>
  <c r="E401" i="3"/>
  <c r="D401" i="3"/>
  <c r="C401" i="3"/>
  <c r="B401" i="3"/>
  <c r="A401" i="3"/>
  <c r="CG400" i="3"/>
  <c r="CF400" i="3"/>
  <c r="CE400" i="3"/>
  <c r="CD400" i="3"/>
  <c r="CC400" i="3"/>
  <c r="CB400" i="3"/>
  <c r="CA400" i="3"/>
  <c r="BZ400" i="3"/>
  <c r="BY400" i="3"/>
  <c r="BX400" i="3"/>
  <c r="BW400" i="3"/>
  <c r="BV400" i="3"/>
  <c r="BU400" i="3"/>
  <c r="BT400" i="3"/>
  <c r="BS400" i="3"/>
  <c r="BR400" i="3"/>
  <c r="BQ400" i="3"/>
  <c r="BP400" i="3"/>
  <c r="BO400" i="3"/>
  <c r="BN400" i="3"/>
  <c r="BM400" i="3"/>
  <c r="BL400" i="3"/>
  <c r="BK400" i="3"/>
  <c r="BJ400" i="3"/>
  <c r="BI400" i="3"/>
  <c r="BH400" i="3"/>
  <c r="BG400" i="3"/>
  <c r="BF400" i="3"/>
  <c r="BE400" i="3"/>
  <c r="BD400" i="3"/>
  <c r="BC400" i="3"/>
  <c r="BB400" i="3"/>
  <c r="BA400" i="3"/>
  <c r="AZ400" i="3"/>
  <c r="AY400" i="3"/>
  <c r="AX400" i="3"/>
  <c r="AW400" i="3"/>
  <c r="AV400" i="3"/>
  <c r="AU400" i="3"/>
  <c r="AT400" i="3"/>
  <c r="E400" i="3"/>
  <c r="D400" i="3"/>
  <c r="C400" i="3"/>
  <c r="B400" i="3"/>
  <c r="A400" i="3"/>
  <c r="CG399" i="3"/>
  <c r="CF399" i="3"/>
  <c r="CE399" i="3"/>
  <c r="CD399" i="3"/>
  <c r="CC399" i="3"/>
  <c r="CB399" i="3"/>
  <c r="CA399" i="3"/>
  <c r="BZ399" i="3"/>
  <c r="BY399" i="3"/>
  <c r="BX399" i="3"/>
  <c r="BW399" i="3"/>
  <c r="BV399" i="3"/>
  <c r="BU399" i="3"/>
  <c r="BT399" i="3"/>
  <c r="BS399" i="3"/>
  <c r="BR399" i="3"/>
  <c r="BQ399" i="3"/>
  <c r="BP399" i="3"/>
  <c r="BO399" i="3"/>
  <c r="BN399" i="3"/>
  <c r="BM399" i="3"/>
  <c r="BL399" i="3"/>
  <c r="BK399" i="3"/>
  <c r="BJ399" i="3"/>
  <c r="BI399" i="3"/>
  <c r="BH399" i="3"/>
  <c r="BG399" i="3"/>
  <c r="BF399" i="3"/>
  <c r="BE399" i="3"/>
  <c r="BD399" i="3"/>
  <c r="BC399" i="3"/>
  <c r="BB399" i="3"/>
  <c r="BA399" i="3"/>
  <c r="AZ399" i="3"/>
  <c r="AY399" i="3"/>
  <c r="AX399" i="3"/>
  <c r="AW399" i="3"/>
  <c r="AV399" i="3"/>
  <c r="AU399" i="3"/>
  <c r="AT399" i="3"/>
  <c r="E399" i="3"/>
  <c r="D399" i="3"/>
  <c r="C399" i="3"/>
  <c r="B399" i="3"/>
  <c r="A399" i="3"/>
  <c r="CG398" i="3"/>
  <c r="CF398" i="3"/>
  <c r="CE398" i="3"/>
  <c r="CD398" i="3"/>
  <c r="CC398" i="3"/>
  <c r="CB398" i="3"/>
  <c r="CA398" i="3"/>
  <c r="BZ398" i="3"/>
  <c r="BY398" i="3"/>
  <c r="BX398" i="3"/>
  <c r="BW398" i="3"/>
  <c r="BV398" i="3"/>
  <c r="BU398" i="3"/>
  <c r="BT398" i="3"/>
  <c r="BS398" i="3"/>
  <c r="BR398" i="3"/>
  <c r="BQ398" i="3"/>
  <c r="BP398" i="3"/>
  <c r="BO398" i="3"/>
  <c r="BN398" i="3"/>
  <c r="BM398" i="3"/>
  <c r="BL398" i="3"/>
  <c r="BK398" i="3"/>
  <c r="BJ398" i="3"/>
  <c r="BI398" i="3"/>
  <c r="BH398" i="3"/>
  <c r="BG398" i="3"/>
  <c r="BF398" i="3"/>
  <c r="BE398" i="3"/>
  <c r="BD398" i="3"/>
  <c r="BC398" i="3"/>
  <c r="BB398" i="3"/>
  <c r="BA398" i="3"/>
  <c r="AZ398" i="3"/>
  <c r="AY398" i="3"/>
  <c r="AX398" i="3"/>
  <c r="AW398" i="3"/>
  <c r="AV398" i="3"/>
  <c r="AU398" i="3"/>
  <c r="AT398" i="3"/>
  <c r="A398" i="3"/>
  <c r="CG397" i="3"/>
  <c r="CF397" i="3"/>
  <c r="CE397" i="3"/>
  <c r="CD397" i="3"/>
  <c r="CC397" i="3"/>
  <c r="CB397" i="3"/>
  <c r="CA397" i="3"/>
  <c r="BZ397" i="3"/>
  <c r="BY397" i="3"/>
  <c r="BX397" i="3"/>
  <c r="BW397" i="3"/>
  <c r="BV397" i="3"/>
  <c r="BU397" i="3"/>
  <c r="BT397" i="3"/>
  <c r="BS397" i="3"/>
  <c r="BR397" i="3"/>
  <c r="BQ397" i="3"/>
  <c r="BP397" i="3"/>
  <c r="BO397" i="3"/>
  <c r="BN397" i="3"/>
  <c r="BM397" i="3"/>
  <c r="BL397" i="3"/>
  <c r="BK397" i="3"/>
  <c r="BJ397" i="3"/>
  <c r="BI397" i="3"/>
  <c r="BH397" i="3"/>
  <c r="BG397" i="3"/>
  <c r="BF397" i="3"/>
  <c r="BE397" i="3"/>
  <c r="BD397" i="3"/>
  <c r="BC397" i="3"/>
  <c r="BB397" i="3"/>
  <c r="BA397" i="3"/>
  <c r="AZ397" i="3"/>
  <c r="AY397" i="3"/>
  <c r="AX397" i="3"/>
  <c r="AW397" i="3"/>
  <c r="AV397" i="3"/>
  <c r="AU397" i="3"/>
  <c r="AT397" i="3"/>
  <c r="A397" i="3"/>
  <c r="CG396" i="3"/>
  <c r="CF396" i="3"/>
  <c r="CE396" i="3"/>
  <c r="CD396" i="3"/>
  <c r="CC396" i="3"/>
  <c r="CB396" i="3"/>
  <c r="CA396" i="3"/>
  <c r="BZ396" i="3"/>
  <c r="BY396" i="3"/>
  <c r="BX396" i="3"/>
  <c r="BW396" i="3"/>
  <c r="BV396" i="3"/>
  <c r="BU396" i="3"/>
  <c r="BT396" i="3"/>
  <c r="BS396" i="3"/>
  <c r="BR396" i="3"/>
  <c r="BQ396" i="3"/>
  <c r="BP396" i="3"/>
  <c r="BO396" i="3"/>
  <c r="BN396" i="3"/>
  <c r="BM396" i="3"/>
  <c r="BL396" i="3"/>
  <c r="BK396" i="3"/>
  <c r="BJ396" i="3"/>
  <c r="BI396" i="3"/>
  <c r="BH396" i="3"/>
  <c r="BG396" i="3"/>
  <c r="BF396" i="3"/>
  <c r="BE396" i="3"/>
  <c r="BD396" i="3"/>
  <c r="BC396" i="3"/>
  <c r="BB396" i="3"/>
  <c r="BA396" i="3"/>
  <c r="AZ396" i="3"/>
  <c r="AY396" i="3"/>
  <c r="AX396" i="3"/>
  <c r="AW396" i="3"/>
  <c r="AV396" i="3"/>
  <c r="AU396" i="3"/>
  <c r="AT396" i="3"/>
  <c r="A396" i="3"/>
  <c r="CG395" i="3"/>
  <c r="CF395" i="3"/>
  <c r="CE395" i="3"/>
  <c r="CD395" i="3"/>
  <c r="CC395" i="3"/>
  <c r="CB395" i="3"/>
  <c r="CA395" i="3"/>
  <c r="BZ395" i="3"/>
  <c r="BY395" i="3"/>
  <c r="BX395" i="3"/>
  <c r="BW395" i="3"/>
  <c r="BV395" i="3"/>
  <c r="BU395" i="3"/>
  <c r="BT395" i="3"/>
  <c r="BS395" i="3"/>
  <c r="BR395" i="3"/>
  <c r="BQ395" i="3"/>
  <c r="BP395" i="3"/>
  <c r="BO395" i="3"/>
  <c r="BN395" i="3"/>
  <c r="BM395" i="3"/>
  <c r="BL395" i="3"/>
  <c r="BK395" i="3"/>
  <c r="BJ395" i="3"/>
  <c r="BI395" i="3"/>
  <c r="BH395" i="3"/>
  <c r="BG395" i="3"/>
  <c r="BF395" i="3"/>
  <c r="BE395" i="3"/>
  <c r="BD395" i="3"/>
  <c r="BC395" i="3"/>
  <c r="BB395" i="3"/>
  <c r="BA395" i="3"/>
  <c r="AZ395" i="3"/>
  <c r="AY395" i="3"/>
  <c r="AX395" i="3"/>
  <c r="AW395" i="3"/>
  <c r="AV395" i="3"/>
  <c r="AU395" i="3"/>
  <c r="AT395" i="3"/>
  <c r="A395" i="3"/>
  <c r="CG394" i="3"/>
  <c r="CF394" i="3"/>
  <c r="CE394" i="3"/>
  <c r="CD394" i="3"/>
  <c r="CC394" i="3"/>
  <c r="CB394" i="3"/>
  <c r="CA394" i="3"/>
  <c r="BZ394" i="3"/>
  <c r="BY394" i="3"/>
  <c r="BX394" i="3"/>
  <c r="BW394" i="3"/>
  <c r="BV394" i="3"/>
  <c r="BU394" i="3"/>
  <c r="BT394" i="3"/>
  <c r="BS394" i="3"/>
  <c r="BR394" i="3"/>
  <c r="BQ394" i="3"/>
  <c r="BP394" i="3"/>
  <c r="BO394" i="3"/>
  <c r="BN394" i="3"/>
  <c r="BM394" i="3"/>
  <c r="BL394" i="3"/>
  <c r="BK394" i="3"/>
  <c r="BJ394" i="3"/>
  <c r="BI394" i="3"/>
  <c r="BH394" i="3"/>
  <c r="BG394" i="3"/>
  <c r="BF394" i="3"/>
  <c r="BE394" i="3"/>
  <c r="BD394" i="3"/>
  <c r="BC394" i="3"/>
  <c r="BB394" i="3"/>
  <c r="BA394" i="3"/>
  <c r="AZ394" i="3"/>
  <c r="AY394" i="3"/>
  <c r="AX394" i="3"/>
  <c r="AW394" i="3"/>
  <c r="AV394" i="3"/>
  <c r="AU394" i="3"/>
  <c r="AT394" i="3"/>
  <c r="A394" i="3"/>
  <c r="CG393" i="3"/>
  <c r="CF393" i="3"/>
  <c r="CE393" i="3"/>
  <c r="CD393" i="3"/>
  <c r="CC393" i="3"/>
  <c r="CB393" i="3"/>
  <c r="CA393" i="3"/>
  <c r="BZ393" i="3"/>
  <c r="BY393" i="3"/>
  <c r="BX393" i="3"/>
  <c r="BW393" i="3"/>
  <c r="BV393" i="3"/>
  <c r="BU393" i="3"/>
  <c r="BT393" i="3"/>
  <c r="BS393" i="3"/>
  <c r="BR393" i="3"/>
  <c r="BQ393" i="3"/>
  <c r="BP393" i="3"/>
  <c r="BO393" i="3"/>
  <c r="BN393" i="3"/>
  <c r="BM393" i="3"/>
  <c r="BL393" i="3"/>
  <c r="BK393" i="3"/>
  <c r="BJ393" i="3"/>
  <c r="BI393" i="3"/>
  <c r="BH393" i="3"/>
  <c r="BG393" i="3"/>
  <c r="BF393" i="3"/>
  <c r="BE393" i="3"/>
  <c r="BD393" i="3"/>
  <c r="BC393" i="3"/>
  <c r="BB393" i="3"/>
  <c r="BA393" i="3"/>
  <c r="AZ393" i="3"/>
  <c r="AY393" i="3"/>
  <c r="AX393" i="3"/>
  <c r="AW393" i="3"/>
  <c r="AV393" i="3"/>
  <c r="AU393" i="3"/>
  <c r="AT393" i="3"/>
  <c r="A393" i="3"/>
  <c r="CG392" i="3"/>
  <c r="CF392" i="3"/>
  <c r="CE392" i="3"/>
  <c r="CD392" i="3"/>
  <c r="CC392" i="3"/>
  <c r="CB392" i="3"/>
  <c r="CA392" i="3"/>
  <c r="BZ392" i="3"/>
  <c r="BY392" i="3"/>
  <c r="BX392" i="3"/>
  <c r="BW392" i="3"/>
  <c r="BV392" i="3"/>
  <c r="BU392" i="3"/>
  <c r="BT392" i="3"/>
  <c r="BS392" i="3"/>
  <c r="BR392" i="3"/>
  <c r="BQ392" i="3"/>
  <c r="BP392" i="3"/>
  <c r="BO392" i="3"/>
  <c r="BN392" i="3"/>
  <c r="BM392" i="3"/>
  <c r="BL392" i="3"/>
  <c r="BK392" i="3"/>
  <c r="BJ392" i="3"/>
  <c r="BI392" i="3"/>
  <c r="BH392" i="3"/>
  <c r="BG392" i="3"/>
  <c r="BF392" i="3"/>
  <c r="BE392" i="3"/>
  <c r="BD392" i="3"/>
  <c r="BC392" i="3"/>
  <c r="BB392" i="3"/>
  <c r="BA392" i="3"/>
  <c r="AZ392" i="3"/>
  <c r="AY392" i="3"/>
  <c r="AX392" i="3"/>
  <c r="AW392" i="3"/>
  <c r="AV392" i="3"/>
  <c r="AU392" i="3"/>
  <c r="AT392" i="3"/>
  <c r="A392" i="3"/>
  <c r="CG391" i="3"/>
  <c r="CF391" i="3"/>
  <c r="CE391" i="3"/>
  <c r="CD391" i="3"/>
  <c r="CC391" i="3"/>
  <c r="CB391" i="3"/>
  <c r="CA391" i="3"/>
  <c r="BZ391" i="3"/>
  <c r="BY391" i="3"/>
  <c r="BX391" i="3"/>
  <c r="BW391" i="3"/>
  <c r="BV391" i="3"/>
  <c r="BU391" i="3"/>
  <c r="BT391" i="3"/>
  <c r="BS391" i="3"/>
  <c r="BR391" i="3"/>
  <c r="BQ391" i="3"/>
  <c r="BP391" i="3"/>
  <c r="BO391" i="3"/>
  <c r="BN391" i="3"/>
  <c r="BM391" i="3"/>
  <c r="BL391" i="3"/>
  <c r="BK391" i="3"/>
  <c r="BJ391" i="3"/>
  <c r="BI391" i="3"/>
  <c r="BH391" i="3"/>
  <c r="BG391" i="3"/>
  <c r="BF391" i="3"/>
  <c r="BE391" i="3"/>
  <c r="BD391" i="3"/>
  <c r="BC391" i="3"/>
  <c r="BB391" i="3"/>
  <c r="BA391" i="3"/>
  <c r="AZ391" i="3"/>
  <c r="AY391" i="3"/>
  <c r="AX391" i="3"/>
  <c r="AW391" i="3"/>
  <c r="AV391" i="3"/>
  <c r="AU391" i="3"/>
  <c r="AT391" i="3"/>
  <c r="A391" i="3"/>
  <c r="CG390" i="3"/>
  <c r="CF390" i="3"/>
  <c r="CE390" i="3"/>
  <c r="CD390" i="3"/>
  <c r="CC390" i="3"/>
  <c r="CB390" i="3"/>
  <c r="CA390" i="3"/>
  <c r="BZ390" i="3"/>
  <c r="BY390" i="3"/>
  <c r="BX390" i="3"/>
  <c r="BW390" i="3"/>
  <c r="BV390" i="3"/>
  <c r="BU390" i="3"/>
  <c r="BT390" i="3"/>
  <c r="BS390" i="3"/>
  <c r="BR390" i="3"/>
  <c r="BQ390" i="3"/>
  <c r="BP390" i="3"/>
  <c r="BO390" i="3"/>
  <c r="BN390" i="3"/>
  <c r="BM390" i="3"/>
  <c r="BL390" i="3"/>
  <c r="BK390" i="3"/>
  <c r="BJ390" i="3"/>
  <c r="BI390" i="3"/>
  <c r="BH390" i="3"/>
  <c r="BG390" i="3"/>
  <c r="BF390" i="3"/>
  <c r="BE390" i="3"/>
  <c r="BD390" i="3"/>
  <c r="BC390" i="3"/>
  <c r="BB390" i="3"/>
  <c r="BA390" i="3"/>
  <c r="AZ390" i="3"/>
  <c r="AY390" i="3"/>
  <c r="AX390" i="3"/>
  <c r="AW390" i="3"/>
  <c r="AV390" i="3"/>
  <c r="AU390" i="3"/>
  <c r="AT390" i="3"/>
  <c r="A390" i="3"/>
  <c r="CG389" i="3"/>
  <c r="CF389" i="3"/>
  <c r="CE389" i="3"/>
  <c r="CD389" i="3"/>
  <c r="CC389" i="3"/>
  <c r="CB389" i="3"/>
  <c r="CA389" i="3"/>
  <c r="BZ389" i="3"/>
  <c r="BY389" i="3"/>
  <c r="BX389" i="3"/>
  <c r="BW389" i="3"/>
  <c r="BV389" i="3"/>
  <c r="BU389" i="3"/>
  <c r="BT389" i="3"/>
  <c r="BS389" i="3"/>
  <c r="BR389" i="3"/>
  <c r="BQ389" i="3"/>
  <c r="BP389" i="3"/>
  <c r="BO389" i="3"/>
  <c r="BN389" i="3"/>
  <c r="BM389" i="3"/>
  <c r="BL389" i="3"/>
  <c r="BK389" i="3"/>
  <c r="BJ389" i="3"/>
  <c r="BI389" i="3"/>
  <c r="BH389" i="3"/>
  <c r="BG389" i="3"/>
  <c r="BF389" i="3"/>
  <c r="BE389" i="3"/>
  <c r="BD389" i="3"/>
  <c r="BC389" i="3"/>
  <c r="BB389" i="3"/>
  <c r="BA389" i="3"/>
  <c r="AZ389" i="3"/>
  <c r="AY389" i="3"/>
  <c r="AX389" i="3"/>
  <c r="AW389" i="3"/>
  <c r="AV389" i="3"/>
  <c r="AU389" i="3"/>
  <c r="AT389" i="3"/>
  <c r="A389" i="3"/>
  <c r="CG388" i="3"/>
  <c r="CF388" i="3"/>
  <c r="CE388" i="3"/>
  <c r="CD388" i="3"/>
  <c r="CC388" i="3"/>
  <c r="CB388" i="3"/>
  <c r="CA388" i="3"/>
  <c r="BZ388" i="3"/>
  <c r="BY388" i="3"/>
  <c r="BX388" i="3"/>
  <c r="BW388" i="3"/>
  <c r="BV388" i="3"/>
  <c r="BU388" i="3"/>
  <c r="BT388" i="3"/>
  <c r="BS388" i="3"/>
  <c r="BR388" i="3"/>
  <c r="BQ388" i="3"/>
  <c r="BP388" i="3"/>
  <c r="BO388" i="3"/>
  <c r="BN388" i="3"/>
  <c r="BM388" i="3"/>
  <c r="BL388" i="3"/>
  <c r="BK388" i="3"/>
  <c r="BJ388" i="3"/>
  <c r="BI388" i="3"/>
  <c r="BH388" i="3"/>
  <c r="BG388" i="3"/>
  <c r="BF388" i="3"/>
  <c r="BE388" i="3"/>
  <c r="BD388" i="3"/>
  <c r="BC388" i="3"/>
  <c r="BB388" i="3"/>
  <c r="BA388" i="3"/>
  <c r="AZ388" i="3"/>
  <c r="AY388" i="3"/>
  <c r="AX388" i="3"/>
  <c r="AW388" i="3"/>
  <c r="AV388" i="3"/>
  <c r="AU388" i="3"/>
  <c r="AT388" i="3"/>
  <c r="A388" i="3"/>
  <c r="CG387" i="3"/>
  <c r="CF387" i="3"/>
  <c r="CE387" i="3"/>
  <c r="CD387" i="3"/>
  <c r="CC387" i="3"/>
  <c r="CB387" i="3"/>
  <c r="CA387" i="3"/>
  <c r="BZ387" i="3"/>
  <c r="BY387" i="3"/>
  <c r="BX387" i="3"/>
  <c r="BW387" i="3"/>
  <c r="BV387" i="3"/>
  <c r="BU387" i="3"/>
  <c r="BT387" i="3"/>
  <c r="BS387" i="3"/>
  <c r="BR387" i="3"/>
  <c r="BQ387" i="3"/>
  <c r="BP387" i="3"/>
  <c r="BO387" i="3"/>
  <c r="BN387" i="3"/>
  <c r="BM387" i="3"/>
  <c r="BL387" i="3"/>
  <c r="BK387" i="3"/>
  <c r="BJ387" i="3"/>
  <c r="BI387" i="3"/>
  <c r="BH387" i="3"/>
  <c r="BG387" i="3"/>
  <c r="BF387" i="3"/>
  <c r="BE387" i="3"/>
  <c r="BD387" i="3"/>
  <c r="BC387" i="3"/>
  <c r="BB387" i="3"/>
  <c r="BA387" i="3"/>
  <c r="AZ387" i="3"/>
  <c r="AY387" i="3"/>
  <c r="AX387" i="3"/>
  <c r="AW387" i="3"/>
  <c r="AV387" i="3"/>
  <c r="AU387" i="3"/>
  <c r="AT387" i="3"/>
  <c r="A387" i="3"/>
  <c r="CG386" i="3"/>
  <c r="CF386" i="3"/>
  <c r="CE386" i="3"/>
  <c r="CD386" i="3"/>
  <c r="CC386" i="3"/>
  <c r="CB386" i="3"/>
  <c r="CA386" i="3"/>
  <c r="BZ386" i="3"/>
  <c r="BY386" i="3"/>
  <c r="BX386" i="3"/>
  <c r="BW386" i="3"/>
  <c r="BV386" i="3"/>
  <c r="BU386" i="3"/>
  <c r="BT386" i="3"/>
  <c r="BS386" i="3"/>
  <c r="BR386" i="3"/>
  <c r="BQ386" i="3"/>
  <c r="BP386" i="3"/>
  <c r="BO386" i="3"/>
  <c r="BN386" i="3"/>
  <c r="BM386" i="3"/>
  <c r="BL386" i="3"/>
  <c r="BK386" i="3"/>
  <c r="BJ386" i="3"/>
  <c r="BI386" i="3"/>
  <c r="BH386" i="3"/>
  <c r="BG386" i="3"/>
  <c r="BF386" i="3"/>
  <c r="BE386" i="3"/>
  <c r="BD386" i="3"/>
  <c r="BC386" i="3"/>
  <c r="BB386" i="3"/>
  <c r="BA386" i="3"/>
  <c r="AZ386" i="3"/>
  <c r="AY386" i="3"/>
  <c r="AX386" i="3"/>
  <c r="AW386" i="3"/>
  <c r="AV386" i="3"/>
  <c r="AU386" i="3"/>
  <c r="AT386" i="3"/>
  <c r="A386" i="3"/>
  <c r="CG385" i="3"/>
  <c r="CF385" i="3"/>
  <c r="CE385" i="3"/>
  <c r="CD385" i="3"/>
  <c r="CC385" i="3"/>
  <c r="CB385" i="3"/>
  <c r="CA385" i="3"/>
  <c r="BZ385" i="3"/>
  <c r="BY385" i="3"/>
  <c r="BX385" i="3"/>
  <c r="BW385" i="3"/>
  <c r="BV385" i="3"/>
  <c r="BU385" i="3"/>
  <c r="BT385" i="3"/>
  <c r="BS385" i="3"/>
  <c r="BR385" i="3"/>
  <c r="BQ385" i="3"/>
  <c r="BP385" i="3"/>
  <c r="BO385" i="3"/>
  <c r="BN385" i="3"/>
  <c r="BM385" i="3"/>
  <c r="BL385" i="3"/>
  <c r="BK385" i="3"/>
  <c r="BJ385" i="3"/>
  <c r="BI385" i="3"/>
  <c r="BH385" i="3"/>
  <c r="BG385" i="3"/>
  <c r="BF385" i="3"/>
  <c r="BE385" i="3"/>
  <c r="BD385" i="3"/>
  <c r="BC385" i="3"/>
  <c r="BB385" i="3"/>
  <c r="BA385" i="3"/>
  <c r="AZ385" i="3"/>
  <c r="AY385" i="3"/>
  <c r="AX385" i="3"/>
  <c r="AW385" i="3"/>
  <c r="AV385" i="3"/>
  <c r="AU385" i="3"/>
  <c r="AT385" i="3"/>
  <c r="A385" i="3"/>
  <c r="CG384" i="3"/>
  <c r="CF384" i="3"/>
  <c r="CE384" i="3"/>
  <c r="CD384" i="3"/>
  <c r="CC384" i="3"/>
  <c r="CB384" i="3"/>
  <c r="CA384" i="3"/>
  <c r="BZ384" i="3"/>
  <c r="BY384" i="3"/>
  <c r="BX384" i="3"/>
  <c r="BW384" i="3"/>
  <c r="BV384" i="3"/>
  <c r="BU384" i="3"/>
  <c r="BT384" i="3"/>
  <c r="BS384" i="3"/>
  <c r="BR384" i="3"/>
  <c r="BQ384" i="3"/>
  <c r="BP384" i="3"/>
  <c r="BO384" i="3"/>
  <c r="BN384" i="3"/>
  <c r="BM384" i="3"/>
  <c r="BL384" i="3"/>
  <c r="BK384" i="3"/>
  <c r="BJ384" i="3"/>
  <c r="BI384" i="3"/>
  <c r="BH384" i="3"/>
  <c r="BG384" i="3"/>
  <c r="BF384" i="3"/>
  <c r="BE384" i="3"/>
  <c r="BD384" i="3"/>
  <c r="BC384" i="3"/>
  <c r="BB384" i="3"/>
  <c r="BA384" i="3"/>
  <c r="AZ384" i="3"/>
  <c r="AY384" i="3"/>
  <c r="AX384" i="3"/>
  <c r="AW384" i="3"/>
  <c r="AV384" i="3"/>
  <c r="AU384" i="3"/>
  <c r="AT384" i="3"/>
  <c r="A384" i="3"/>
  <c r="CG383" i="3"/>
  <c r="CF383" i="3"/>
  <c r="CE383" i="3"/>
  <c r="CD383" i="3"/>
  <c r="CC383" i="3"/>
  <c r="CB383" i="3"/>
  <c r="CA383" i="3"/>
  <c r="BZ383" i="3"/>
  <c r="BY383" i="3"/>
  <c r="BX383" i="3"/>
  <c r="BW383" i="3"/>
  <c r="BV383" i="3"/>
  <c r="BU383" i="3"/>
  <c r="BT383" i="3"/>
  <c r="BS383" i="3"/>
  <c r="BR383" i="3"/>
  <c r="BQ383" i="3"/>
  <c r="BP383" i="3"/>
  <c r="BO383" i="3"/>
  <c r="BN383" i="3"/>
  <c r="BM383" i="3"/>
  <c r="BL383" i="3"/>
  <c r="BK383" i="3"/>
  <c r="BJ383" i="3"/>
  <c r="BI383" i="3"/>
  <c r="BH383" i="3"/>
  <c r="BG383" i="3"/>
  <c r="BF383" i="3"/>
  <c r="BE383" i="3"/>
  <c r="BD383" i="3"/>
  <c r="BC383" i="3"/>
  <c r="BB383" i="3"/>
  <c r="BA383" i="3"/>
  <c r="AZ383" i="3"/>
  <c r="AY383" i="3"/>
  <c r="AX383" i="3"/>
  <c r="AW383" i="3"/>
  <c r="AV383" i="3"/>
  <c r="AU383" i="3"/>
  <c r="AT383" i="3"/>
  <c r="A383" i="3"/>
  <c r="CG382" i="3"/>
  <c r="CF382" i="3"/>
  <c r="CE382" i="3"/>
  <c r="CD382" i="3"/>
  <c r="CC382" i="3"/>
  <c r="CB382" i="3"/>
  <c r="CA382" i="3"/>
  <c r="BZ382" i="3"/>
  <c r="BY382" i="3"/>
  <c r="BX382" i="3"/>
  <c r="BW382" i="3"/>
  <c r="BV382" i="3"/>
  <c r="BU382" i="3"/>
  <c r="BT382" i="3"/>
  <c r="BS382" i="3"/>
  <c r="BR382" i="3"/>
  <c r="BQ382" i="3"/>
  <c r="BP382" i="3"/>
  <c r="BO382" i="3"/>
  <c r="BN382" i="3"/>
  <c r="BM382" i="3"/>
  <c r="BL382" i="3"/>
  <c r="BK382" i="3"/>
  <c r="BJ382" i="3"/>
  <c r="BI382" i="3"/>
  <c r="BH382" i="3"/>
  <c r="BG382" i="3"/>
  <c r="BF382" i="3"/>
  <c r="BE382" i="3"/>
  <c r="BD382" i="3"/>
  <c r="BC382" i="3"/>
  <c r="BB382" i="3"/>
  <c r="BA382" i="3"/>
  <c r="AZ382" i="3"/>
  <c r="AY382" i="3"/>
  <c r="AX382" i="3"/>
  <c r="AW382" i="3"/>
  <c r="AV382" i="3"/>
  <c r="AU382" i="3"/>
  <c r="AT382" i="3"/>
  <c r="AP382" i="3"/>
  <c r="AO382" i="3"/>
  <c r="AN382" i="3"/>
  <c r="AM382" i="3"/>
  <c r="AL382" i="3"/>
  <c r="AK382" i="3"/>
  <c r="AJ382" i="3"/>
  <c r="AI382" i="3"/>
  <c r="AH382" i="3"/>
  <c r="AG382" i="3"/>
  <c r="AF382" i="3"/>
  <c r="AE382" i="3"/>
  <c r="AD382" i="3"/>
  <c r="AC382" i="3"/>
  <c r="AB382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B382" i="3"/>
  <c r="A382" i="3"/>
  <c r="CG381" i="3"/>
  <c r="CF381" i="3"/>
  <c r="CE381" i="3"/>
  <c r="CD381" i="3"/>
  <c r="CC381" i="3"/>
  <c r="CB381" i="3"/>
  <c r="CA381" i="3"/>
  <c r="BZ381" i="3"/>
  <c r="BY381" i="3"/>
  <c r="BX381" i="3"/>
  <c r="BW381" i="3"/>
  <c r="BV381" i="3"/>
  <c r="BU381" i="3"/>
  <c r="BT381" i="3"/>
  <c r="BS381" i="3"/>
  <c r="BR381" i="3"/>
  <c r="BQ381" i="3"/>
  <c r="BP381" i="3"/>
  <c r="BO381" i="3"/>
  <c r="BN381" i="3"/>
  <c r="BM381" i="3"/>
  <c r="BL381" i="3"/>
  <c r="BK381" i="3"/>
  <c r="BJ381" i="3"/>
  <c r="BI381" i="3"/>
  <c r="BH381" i="3"/>
  <c r="BG381" i="3"/>
  <c r="BF381" i="3"/>
  <c r="BE381" i="3"/>
  <c r="BD381" i="3"/>
  <c r="BC381" i="3"/>
  <c r="BB381" i="3"/>
  <c r="BA381" i="3"/>
  <c r="AZ381" i="3"/>
  <c r="AY381" i="3"/>
  <c r="AX381" i="3"/>
  <c r="AW381" i="3"/>
  <c r="AV381" i="3"/>
  <c r="AU381" i="3"/>
  <c r="AT381" i="3"/>
  <c r="E381" i="3"/>
  <c r="D381" i="3"/>
  <c r="C381" i="3"/>
  <c r="B381" i="3"/>
  <c r="A381" i="3"/>
  <c r="CG380" i="3"/>
  <c r="CF380" i="3"/>
  <c r="CE380" i="3"/>
  <c r="CD380" i="3"/>
  <c r="CC380" i="3"/>
  <c r="CB380" i="3"/>
  <c r="CA380" i="3"/>
  <c r="BZ380" i="3"/>
  <c r="BY380" i="3"/>
  <c r="BX380" i="3"/>
  <c r="BW380" i="3"/>
  <c r="BV380" i="3"/>
  <c r="BU380" i="3"/>
  <c r="BT380" i="3"/>
  <c r="BS380" i="3"/>
  <c r="BR380" i="3"/>
  <c r="BQ380" i="3"/>
  <c r="BP380" i="3"/>
  <c r="BO380" i="3"/>
  <c r="BN380" i="3"/>
  <c r="BM380" i="3"/>
  <c r="BL380" i="3"/>
  <c r="BK380" i="3"/>
  <c r="BJ380" i="3"/>
  <c r="BI380" i="3"/>
  <c r="BH380" i="3"/>
  <c r="BG380" i="3"/>
  <c r="BF380" i="3"/>
  <c r="BE380" i="3"/>
  <c r="BD380" i="3"/>
  <c r="BC380" i="3"/>
  <c r="BB380" i="3"/>
  <c r="BA380" i="3"/>
  <c r="AZ380" i="3"/>
  <c r="AY380" i="3"/>
  <c r="AX380" i="3"/>
  <c r="AW380" i="3"/>
  <c r="AV380" i="3"/>
  <c r="AU380" i="3"/>
  <c r="AT380" i="3"/>
  <c r="E380" i="3"/>
  <c r="D380" i="3"/>
  <c r="C380" i="3"/>
  <c r="B380" i="3"/>
  <c r="A380" i="3"/>
  <c r="CG379" i="3"/>
  <c r="CF379" i="3"/>
  <c r="CE379" i="3"/>
  <c r="CD379" i="3"/>
  <c r="CC379" i="3"/>
  <c r="CB379" i="3"/>
  <c r="CA379" i="3"/>
  <c r="BZ379" i="3"/>
  <c r="BY379" i="3"/>
  <c r="BX379" i="3"/>
  <c r="BW379" i="3"/>
  <c r="BV379" i="3"/>
  <c r="BU379" i="3"/>
  <c r="BT379" i="3"/>
  <c r="BS379" i="3"/>
  <c r="BR379" i="3"/>
  <c r="BQ379" i="3"/>
  <c r="BP379" i="3"/>
  <c r="BO379" i="3"/>
  <c r="BN379" i="3"/>
  <c r="BM379" i="3"/>
  <c r="BL379" i="3"/>
  <c r="BK379" i="3"/>
  <c r="BJ379" i="3"/>
  <c r="BI379" i="3"/>
  <c r="BH379" i="3"/>
  <c r="BG379" i="3"/>
  <c r="BF379" i="3"/>
  <c r="BE379" i="3"/>
  <c r="BD379" i="3"/>
  <c r="BC379" i="3"/>
  <c r="BB379" i="3"/>
  <c r="BA379" i="3"/>
  <c r="AZ379" i="3"/>
  <c r="AY379" i="3"/>
  <c r="AX379" i="3"/>
  <c r="AW379" i="3"/>
  <c r="AV379" i="3"/>
  <c r="AU379" i="3"/>
  <c r="AT379" i="3"/>
  <c r="E379" i="3"/>
  <c r="D379" i="3"/>
  <c r="C379" i="3"/>
  <c r="A379" i="3"/>
  <c r="CG378" i="3"/>
  <c r="CF378" i="3"/>
  <c r="CE378" i="3"/>
  <c r="CD378" i="3"/>
  <c r="CC378" i="3"/>
  <c r="CB378" i="3"/>
  <c r="CA378" i="3"/>
  <c r="BZ378" i="3"/>
  <c r="BY378" i="3"/>
  <c r="BX378" i="3"/>
  <c r="BW378" i="3"/>
  <c r="BV378" i="3"/>
  <c r="BU378" i="3"/>
  <c r="BT378" i="3"/>
  <c r="BS378" i="3"/>
  <c r="BR378" i="3"/>
  <c r="BQ378" i="3"/>
  <c r="BP378" i="3"/>
  <c r="BO378" i="3"/>
  <c r="BN378" i="3"/>
  <c r="BM378" i="3"/>
  <c r="BL378" i="3"/>
  <c r="BK378" i="3"/>
  <c r="BJ378" i="3"/>
  <c r="BI378" i="3"/>
  <c r="BH378" i="3"/>
  <c r="BG378" i="3"/>
  <c r="BF378" i="3"/>
  <c r="BE378" i="3"/>
  <c r="BD378" i="3"/>
  <c r="BC378" i="3"/>
  <c r="BB378" i="3"/>
  <c r="BA378" i="3"/>
  <c r="AZ378" i="3"/>
  <c r="AY378" i="3"/>
  <c r="AX378" i="3"/>
  <c r="AW378" i="3"/>
  <c r="AV378" i="3"/>
  <c r="AU378" i="3"/>
  <c r="AT378" i="3"/>
  <c r="E378" i="3"/>
  <c r="D378" i="3"/>
  <c r="C378" i="3"/>
  <c r="B378" i="3"/>
  <c r="A378" i="3"/>
  <c r="CG377" i="3"/>
  <c r="CF377" i="3"/>
  <c r="CE377" i="3"/>
  <c r="CD377" i="3"/>
  <c r="CC377" i="3"/>
  <c r="CB377" i="3"/>
  <c r="CA377" i="3"/>
  <c r="BZ377" i="3"/>
  <c r="BY377" i="3"/>
  <c r="BX377" i="3"/>
  <c r="BW377" i="3"/>
  <c r="BV377" i="3"/>
  <c r="BU377" i="3"/>
  <c r="BT377" i="3"/>
  <c r="BS377" i="3"/>
  <c r="BR377" i="3"/>
  <c r="BQ377" i="3"/>
  <c r="BP377" i="3"/>
  <c r="BO377" i="3"/>
  <c r="BN377" i="3"/>
  <c r="BM377" i="3"/>
  <c r="BL377" i="3"/>
  <c r="BK377" i="3"/>
  <c r="BJ377" i="3"/>
  <c r="BI377" i="3"/>
  <c r="BH377" i="3"/>
  <c r="BG377" i="3"/>
  <c r="BF377" i="3"/>
  <c r="BE377" i="3"/>
  <c r="BD377" i="3"/>
  <c r="BC377" i="3"/>
  <c r="BB377" i="3"/>
  <c r="BA377" i="3"/>
  <c r="AZ377" i="3"/>
  <c r="AY377" i="3"/>
  <c r="AX377" i="3"/>
  <c r="AW377" i="3"/>
  <c r="AV377" i="3"/>
  <c r="AU377" i="3"/>
  <c r="AT377" i="3"/>
  <c r="A377" i="3"/>
  <c r="CG376" i="3"/>
  <c r="CF376" i="3"/>
  <c r="CE376" i="3"/>
  <c r="CD376" i="3"/>
  <c r="CC376" i="3"/>
  <c r="CB376" i="3"/>
  <c r="CA376" i="3"/>
  <c r="BZ376" i="3"/>
  <c r="BY376" i="3"/>
  <c r="BX376" i="3"/>
  <c r="BW376" i="3"/>
  <c r="BV376" i="3"/>
  <c r="BU376" i="3"/>
  <c r="BT376" i="3"/>
  <c r="BS376" i="3"/>
  <c r="BR376" i="3"/>
  <c r="BQ376" i="3"/>
  <c r="BP376" i="3"/>
  <c r="BO376" i="3"/>
  <c r="BN376" i="3"/>
  <c r="BM376" i="3"/>
  <c r="BL376" i="3"/>
  <c r="BK376" i="3"/>
  <c r="BJ376" i="3"/>
  <c r="BI376" i="3"/>
  <c r="BH376" i="3"/>
  <c r="BG376" i="3"/>
  <c r="BF376" i="3"/>
  <c r="BE376" i="3"/>
  <c r="BD376" i="3"/>
  <c r="BC376" i="3"/>
  <c r="BB376" i="3"/>
  <c r="BA376" i="3"/>
  <c r="AZ376" i="3"/>
  <c r="AY376" i="3"/>
  <c r="AX376" i="3"/>
  <c r="AW376" i="3"/>
  <c r="AV376" i="3"/>
  <c r="AU376" i="3"/>
  <c r="AT376" i="3"/>
  <c r="E376" i="3"/>
  <c r="D376" i="3"/>
  <c r="C376" i="3"/>
  <c r="B376" i="3"/>
  <c r="A376" i="3"/>
  <c r="CG375" i="3"/>
  <c r="CF375" i="3"/>
  <c r="CE375" i="3"/>
  <c r="CD375" i="3"/>
  <c r="CC375" i="3"/>
  <c r="CB375" i="3"/>
  <c r="CA375" i="3"/>
  <c r="BZ375" i="3"/>
  <c r="BY375" i="3"/>
  <c r="BX375" i="3"/>
  <c r="BW375" i="3"/>
  <c r="BV375" i="3"/>
  <c r="BU375" i="3"/>
  <c r="BT375" i="3"/>
  <c r="BS375" i="3"/>
  <c r="BR375" i="3"/>
  <c r="BQ375" i="3"/>
  <c r="BP375" i="3"/>
  <c r="BO375" i="3"/>
  <c r="BN375" i="3"/>
  <c r="BM375" i="3"/>
  <c r="BL375" i="3"/>
  <c r="BK375" i="3"/>
  <c r="BJ375" i="3"/>
  <c r="BI375" i="3"/>
  <c r="BH375" i="3"/>
  <c r="BG375" i="3"/>
  <c r="BF375" i="3"/>
  <c r="BE375" i="3"/>
  <c r="BD375" i="3"/>
  <c r="BC375" i="3"/>
  <c r="BB375" i="3"/>
  <c r="BA375" i="3"/>
  <c r="AZ375" i="3"/>
  <c r="AY375" i="3"/>
  <c r="AX375" i="3"/>
  <c r="AW375" i="3"/>
  <c r="AV375" i="3"/>
  <c r="AU375" i="3"/>
  <c r="AT375" i="3"/>
  <c r="E375" i="3"/>
  <c r="D375" i="3"/>
  <c r="C375" i="3"/>
  <c r="B375" i="3"/>
  <c r="A375" i="3"/>
  <c r="CG374" i="3"/>
  <c r="CF374" i="3"/>
  <c r="CE374" i="3"/>
  <c r="CD374" i="3"/>
  <c r="CC374" i="3"/>
  <c r="CB374" i="3"/>
  <c r="CA374" i="3"/>
  <c r="BZ374" i="3"/>
  <c r="BY374" i="3"/>
  <c r="BX374" i="3"/>
  <c r="BW374" i="3"/>
  <c r="BV374" i="3"/>
  <c r="BU374" i="3"/>
  <c r="BT374" i="3"/>
  <c r="BS374" i="3"/>
  <c r="BR374" i="3"/>
  <c r="BQ374" i="3"/>
  <c r="BP374" i="3"/>
  <c r="BO374" i="3"/>
  <c r="BN374" i="3"/>
  <c r="BM374" i="3"/>
  <c r="BL374" i="3"/>
  <c r="BK374" i="3"/>
  <c r="BJ374" i="3"/>
  <c r="BI374" i="3"/>
  <c r="BH374" i="3"/>
  <c r="BG374" i="3"/>
  <c r="BF374" i="3"/>
  <c r="BE374" i="3"/>
  <c r="BD374" i="3"/>
  <c r="BC374" i="3"/>
  <c r="BB374" i="3"/>
  <c r="BA374" i="3"/>
  <c r="AZ374" i="3"/>
  <c r="AY374" i="3"/>
  <c r="AX374" i="3"/>
  <c r="AW374" i="3"/>
  <c r="AV374" i="3"/>
  <c r="AU374" i="3"/>
  <c r="AT374" i="3"/>
  <c r="E374" i="3"/>
  <c r="D374" i="3"/>
  <c r="C374" i="3"/>
  <c r="B374" i="3"/>
  <c r="A374" i="3"/>
  <c r="CG373" i="3"/>
  <c r="CF373" i="3"/>
  <c r="CE373" i="3"/>
  <c r="CD373" i="3"/>
  <c r="CC373" i="3"/>
  <c r="CB373" i="3"/>
  <c r="CA373" i="3"/>
  <c r="BZ373" i="3"/>
  <c r="BY373" i="3"/>
  <c r="BX373" i="3"/>
  <c r="BW373" i="3"/>
  <c r="BV373" i="3"/>
  <c r="BU373" i="3"/>
  <c r="BT373" i="3"/>
  <c r="BS373" i="3"/>
  <c r="BR373" i="3"/>
  <c r="BQ373" i="3"/>
  <c r="BP373" i="3"/>
  <c r="BO373" i="3"/>
  <c r="BN373" i="3"/>
  <c r="BM373" i="3"/>
  <c r="BL373" i="3"/>
  <c r="BK373" i="3"/>
  <c r="BJ373" i="3"/>
  <c r="BI373" i="3"/>
  <c r="BH373" i="3"/>
  <c r="BG373" i="3"/>
  <c r="BF373" i="3"/>
  <c r="BE373" i="3"/>
  <c r="BD373" i="3"/>
  <c r="BC373" i="3"/>
  <c r="BB373" i="3"/>
  <c r="BA373" i="3"/>
  <c r="AZ373" i="3"/>
  <c r="AY373" i="3"/>
  <c r="AX373" i="3"/>
  <c r="AW373" i="3"/>
  <c r="AV373" i="3"/>
  <c r="AU373" i="3"/>
  <c r="AT373" i="3"/>
  <c r="E373" i="3"/>
  <c r="D373" i="3"/>
  <c r="C373" i="3"/>
  <c r="B373" i="3"/>
  <c r="A373" i="3"/>
  <c r="CG372" i="3"/>
  <c r="CF372" i="3"/>
  <c r="CE372" i="3"/>
  <c r="CD372" i="3"/>
  <c r="CC372" i="3"/>
  <c r="CB372" i="3"/>
  <c r="CA372" i="3"/>
  <c r="BZ372" i="3"/>
  <c r="BY372" i="3"/>
  <c r="BX372" i="3"/>
  <c r="BW372" i="3"/>
  <c r="BV372" i="3"/>
  <c r="BU372" i="3"/>
  <c r="BT372" i="3"/>
  <c r="BS372" i="3"/>
  <c r="BR372" i="3"/>
  <c r="BQ372" i="3"/>
  <c r="BP372" i="3"/>
  <c r="BO372" i="3"/>
  <c r="BN372" i="3"/>
  <c r="BM372" i="3"/>
  <c r="BL372" i="3"/>
  <c r="BK372" i="3"/>
  <c r="BJ372" i="3"/>
  <c r="BI372" i="3"/>
  <c r="BH372" i="3"/>
  <c r="BG372" i="3"/>
  <c r="BF372" i="3"/>
  <c r="BE372" i="3"/>
  <c r="BD372" i="3"/>
  <c r="BC372" i="3"/>
  <c r="BB372" i="3"/>
  <c r="BA372" i="3"/>
  <c r="AZ372" i="3"/>
  <c r="AY372" i="3"/>
  <c r="AX372" i="3"/>
  <c r="AW372" i="3"/>
  <c r="AV372" i="3"/>
  <c r="AU372" i="3"/>
  <c r="AT372" i="3"/>
  <c r="E372" i="3"/>
  <c r="D372" i="3"/>
  <c r="C372" i="3"/>
  <c r="B372" i="3"/>
  <c r="A372" i="3"/>
  <c r="CG371" i="3"/>
  <c r="CF371" i="3"/>
  <c r="CE371" i="3"/>
  <c r="CD371" i="3"/>
  <c r="CC371" i="3"/>
  <c r="CB371" i="3"/>
  <c r="CA371" i="3"/>
  <c r="BZ371" i="3"/>
  <c r="BY371" i="3"/>
  <c r="BX371" i="3"/>
  <c r="BW371" i="3"/>
  <c r="BV371" i="3"/>
  <c r="BU371" i="3"/>
  <c r="BT371" i="3"/>
  <c r="BS371" i="3"/>
  <c r="BR371" i="3"/>
  <c r="BQ371" i="3"/>
  <c r="BP371" i="3"/>
  <c r="BO371" i="3"/>
  <c r="BN371" i="3"/>
  <c r="BM371" i="3"/>
  <c r="BL371" i="3"/>
  <c r="BK371" i="3"/>
  <c r="BJ371" i="3"/>
  <c r="BI371" i="3"/>
  <c r="BH371" i="3"/>
  <c r="BG371" i="3"/>
  <c r="BF371" i="3"/>
  <c r="BE371" i="3"/>
  <c r="BD371" i="3"/>
  <c r="BC371" i="3"/>
  <c r="BB371" i="3"/>
  <c r="BA371" i="3"/>
  <c r="AZ371" i="3"/>
  <c r="AY371" i="3"/>
  <c r="AX371" i="3"/>
  <c r="AW371" i="3"/>
  <c r="AV371" i="3"/>
  <c r="AU371" i="3"/>
  <c r="AT371" i="3"/>
  <c r="E371" i="3"/>
  <c r="D371" i="3"/>
  <c r="C371" i="3"/>
  <c r="B371" i="3"/>
  <c r="A371" i="3"/>
  <c r="CG370" i="3"/>
  <c r="CF370" i="3"/>
  <c r="CE370" i="3"/>
  <c r="CD370" i="3"/>
  <c r="CC370" i="3"/>
  <c r="CB370" i="3"/>
  <c r="CA370" i="3"/>
  <c r="BZ370" i="3"/>
  <c r="BY370" i="3"/>
  <c r="BX370" i="3"/>
  <c r="BW370" i="3"/>
  <c r="BV370" i="3"/>
  <c r="BU370" i="3"/>
  <c r="BT370" i="3"/>
  <c r="BS370" i="3"/>
  <c r="BR370" i="3"/>
  <c r="BQ370" i="3"/>
  <c r="BP370" i="3"/>
  <c r="BO370" i="3"/>
  <c r="BN370" i="3"/>
  <c r="BM370" i="3"/>
  <c r="BL370" i="3"/>
  <c r="BK370" i="3"/>
  <c r="BJ370" i="3"/>
  <c r="BI370" i="3"/>
  <c r="BH370" i="3"/>
  <c r="BG370" i="3"/>
  <c r="BF370" i="3"/>
  <c r="BE370" i="3"/>
  <c r="BD370" i="3"/>
  <c r="BC370" i="3"/>
  <c r="BB370" i="3"/>
  <c r="BA370" i="3"/>
  <c r="AZ370" i="3"/>
  <c r="AY370" i="3"/>
  <c r="AX370" i="3"/>
  <c r="AW370" i="3"/>
  <c r="AV370" i="3"/>
  <c r="AU370" i="3"/>
  <c r="AT370" i="3"/>
  <c r="CG369" i="3"/>
  <c r="CF369" i="3"/>
  <c r="CE369" i="3"/>
  <c r="CD369" i="3"/>
  <c r="CC369" i="3"/>
  <c r="CB369" i="3"/>
  <c r="CA369" i="3"/>
  <c r="BZ369" i="3"/>
  <c r="BY369" i="3"/>
  <c r="BX369" i="3"/>
  <c r="BW369" i="3"/>
  <c r="BV369" i="3"/>
  <c r="BU369" i="3"/>
  <c r="BT369" i="3"/>
  <c r="BS369" i="3"/>
  <c r="BR369" i="3"/>
  <c r="BQ369" i="3"/>
  <c r="BP369" i="3"/>
  <c r="BO369" i="3"/>
  <c r="BN369" i="3"/>
  <c r="BM369" i="3"/>
  <c r="BL369" i="3"/>
  <c r="BK369" i="3"/>
  <c r="BJ369" i="3"/>
  <c r="BI369" i="3"/>
  <c r="BH369" i="3"/>
  <c r="BG369" i="3"/>
  <c r="BF369" i="3"/>
  <c r="BE369" i="3"/>
  <c r="BD369" i="3"/>
  <c r="BC369" i="3"/>
  <c r="BB369" i="3"/>
  <c r="BA369" i="3"/>
  <c r="AZ369" i="3"/>
  <c r="AY369" i="3"/>
  <c r="AX369" i="3"/>
  <c r="AW369" i="3"/>
  <c r="AV369" i="3"/>
  <c r="AU369" i="3"/>
  <c r="AT369" i="3"/>
  <c r="CG368" i="3"/>
  <c r="CF368" i="3"/>
  <c r="CE368" i="3"/>
  <c r="CD368" i="3"/>
  <c r="CC368" i="3"/>
  <c r="CB368" i="3"/>
  <c r="CA368" i="3"/>
  <c r="BZ368" i="3"/>
  <c r="BY368" i="3"/>
  <c r="BX368" i="3"/>
  <c r="BW368" i="3"/>
  <c r="BV368" i="3"/>
  <c r="BU368" i="3"/>
  <c r="BT368" i="3"/>
  <c r="BS368" i="3"/>
  <c r="BR368" i="3"/>
  <c r="BQ368" i="3"/>
  <c r="BP368" i="3"/>
  <c r="BO368" i="3"/>
  <c r="BN368" i="3"/>
  <c r="BM368" i="3"/>
  <c r="BL368" i="3"/>
  <c r="BK368" i="3"/>
  <c r="BJ368" i="3"/>
  <c r="BI368" i="3"/>
  <c r="BH368" i="3"/>
  <c r="BG368" i="3"/>
  <c r="BF368" i="3"/>
  <c r="BE368" i="3"/>
  <c r="BD368" i="3"/>
  <c r="BC368" i="3"/>
  <c r="BB368" i="3"/>
  <c r="BA368" i="3"/>
  <c r="AZ368" i="3"/>
  <c r="AY368" i="3"/>
  <c r="AX368" i="3"/>
  <c r="AW368" i="3"/>
  <c r="AV368" i="3"/>
  <c r="AU368" i="3"/>
  <c r="AT368" i="3"/>
  <c r="CG367" i="3"/>
  <c r="CF367" i="3"/>
  <c r="CE367" i="3"/>
  <c r="CD367" i="3"/>
  <c r="CC367" i="3"/>
  <c r="CB367" i="3"/>
  <c r="CA367" i="3"/>
  <c r="BZ367" i="3"/>
  <c r="BY367" i="3"/>
  <c r="BX367" i="3"/>
  <c r="BW367" i="3"/>
  <c r="BV367" i="3"/>
  <c r="BU367" i="3"/>
  <c r="BT367" i="3"/>
  <c r="BS367" i="3"/>
  <c r="BR367" i="3"/>
  <c r="BQ367" i="3"/>
  <c r="BP367" i="3"/>
  <c r="BO367" i="3"/>
  <c r="BN367" i="3"/>
  <c r="BM367" i="3"/>
  <c r="BL367" i="3"/>
  <c r="BK367" i="3"/>
  <c r="BJ367" i="3"/>
  <c r="BI367" i="3"/>
  <c r="BH367" i="3"/>
  <c r="BG367" i="3"/>
  <c r="BF367" i="3"/>
  <c r="BE367" i="3"/>
  <c r="BD367" i="3"/>
  <c r="BC367" i="3"/>
  <c r="BB367" i="3"/>
  <c r="BA367" i="3"/>
  <c r="AZ367" i="3"/>
  <c r="AY367" i="3"/>
  <c r="AX367" i="3"/>
  <c r="AW367" i="3"/>
  <c r="AV367" i="3"/>
  <c r="AU367" i="3"/>
  <c r="AT367" i="3"/>
  <c r="CG366" i="3"/>
  <c r="CF366" i="3"/>
  <c r="CE366" i="3"/>
  <c r="CD366" i="3"/>
  <c r="CC366" i="3"/>
  <c r="CB366" i="3"/>
  <c r="CA366" i="3"/>
  <c r="BZ366" i="3"/>
  <c r="BY366" i="3"/>
  <c r="BX366" i="3"/>
  <c r="BW366" i="3"/>
  <c r="BV366" i="3"/>
  <c r="BU366" i="3"/>
  <c r="BT366" i="3"/>
  <c r="BS366" i="3"/>
  <c r="BR366" i="3"/>
  <c r="BQ366" i="3"/>
  <c r="BP366" i="3"/>
  <c r="BO366" i="3"/>
  <c r="BN366" i="3"/>
  <c r="BM366" i="3"/>
  <c r="BL366" i="3"/>
  <c r="BK366" i="3"/>
  <c r="BJ366" i="3"/>
  <c r="BI366" i="3"/>
  <c r="BH366" i="3"/>
  <c r="BG366" i="3"/>
  <c r="BF366" i="3"/>
  <c r="BE366" i="3"/>
  <c r="BD366" i="3"/>
  <c r="BC366" i="3"/>
  <c r="BB366" i="3"/>
  <c r="BA366" i="3"/>
  <c r="AZ366" i="3"/>
  <c r="AY366" i="3"/>
  <c r="AX366" i="3"/>
  <c r="AW366" i="3"/>
  <c r="AV366" i="3"/>
  <c r="AU366" i="3"/>
  <c r="AT366" i="3"/>
  <c r="CG365" i="3"/>
  <c r="CF365" i="3"/>
  <c r="CE365" i="3"/>
  <c r="CD365" i="3"/>
  <c r="CC365" i="3"/>
  <c r="CB365" i="3"/>
  <c r="CA365" i="3"/>
  <c r="BZ365" i="3"/>
  <c r="BY365" i="3"/>
  <c r="BX365" i="3"/>
  <c r="BW365" i="3"/>
  <c r="BV365" i="3"/>
  <c r="BU365" i="3"/>
  <c r="BT365" i="3"/>
  <c r="BS365" i="3"/>
  <c r="BR365" i="3"/>
  <c r="BQ365" i="3"/>
  <c r="BP365" i="3"/>
  <c r="BO365" i="3"/>
  <c r="BN365" i="3"/>
  <c r="BM365" i="3"/>
  <c r="BL365" i="3"/>
  <c r="BK365" i="3"/>
  <c r="BJ365" i="3"/>
  <c r="BI365" i="3"/>
  <c r="BH365" i="3"/>
  <c r="BG365" i="3"/>
  <c r="BF365" i="3"/>
  <c r="BE365" i="3"/>
  <c r="BD365" i="3"/>
  <c r="BC365" i="3"/>
  <c r="BB365" i="3"/>
  <c r="BA365" i="3"/>
  <c r="AZ365" i="3"/>
  <c r="AY365" i="3"/>
  <c r="AX365" i="3"/>
  <c r="AW365" i="3"/>
  <c r="AV365" i="3"/>
  <c r="AU365" i="3"/>
  <c r="AT365" i="3"/>
  <c r="CG364" i="3"/>
  <c r="CF364" i="3"/>
  <c r="CE364" i="3"/>
  <c r="CD364" i="3"/>
  <c r="CC364" i="3"/>
  <c r="CB364" i="3"/>
  <c r="CA364" i="3"/>
  <c r="BZ364" i="3"/>
  <c r="BY364" i="3"/>
  <c r="BX364" i="3"/>
  <c r="BW364" i="3"/>
  <c r="BV364" i="3"/>
  <c r="BU364" i="3"/>
  <c r="BT364" i="3"/>
  <c r="BS364" i="3"/>
  <c r="BR364" i="3"/>
  <c r="BQ364" i="3"/>
  <c r="BP364" i="3"/>
  <c r="BO364" i="3"/>
  <c r="BN364" i="3"/>
  <c r="BM364" i="3"/>
  <c r="BL364" i="3"/>
  <c r="BK364" i="3"/>
  <c r="BJ364" i="3"/>
  <c r="BI364" i="3"/>
  <c r="BH364" i="3"/>
  <c r="BG364" i="3"/>
  <c r="BF364" i="3"/>
  <c r="BE364" i="3"/>
  <c r="BD364" i="3"/>
  <c r="BC364" i="3"/>
  <c r="BB364" i="3"/>
  <c r="BA364" i="3"/>
  <c r="AZ364" i="3"/>
  <c r="AY364" i="3"/>
  <c r="AX364" i="3"/>
  <c r="AW364" i="3"/>
  <c r="AV364" i="3"/>
  <c r="AU364" i="3"/>
  <c r="AT364" i="3"/>
  <c r="CG363" i="3"/>
  <c r="CF363" i="3"/>
  <c r="CE363" i="3"/>
  <c r="CD363" i="3"/>
  <c r="CC363" i="3"/>
  <c r="CB363" i="3"/>
  <c r="CA363" i="3"/>
  <c r="BZ363" i="3"/>
  <c r="BY363" i="3"/>
  <c r="BX363" i="3"/>
  <c r="BW363" i="3"/>
  <c r="BV363" i="3"/>
  <c r="BU363" i="3"/>
  <c r="BT363" i="3"/>
  <c r="BS363" i="3"/>
  <c r="BR363" i="3"/>
  <c r="BQ363" i="3"/>
  <c r="BP363" i="3"/>
  <c r="BO363" i="3"/>
  <c r="BN363" i="3"/>
  <c r="BM363" i="3"/>
  <c r="BL363" i="3"/>
  <c r="BK363" i="3"/>
  <c r="BJ363" i="3"/>
  <c r="BI363" i="3"/>
  <c r="BH363" i="3"/>
  <c r="BG363" i="3"/>
  <c r="BF363" i="3"/>
  <c r="BE363" i="3"/>
  <c r="BD363" i="3"/>
  <c r="BC363" i="3"/>
  <c r="BB363" i="3"/>
  <c r="BA363" i="3"/>
  <c r="AZ363" i="3"/>
  <c r="AY363" i="3"/>
  <c r="AX363" i="3"/>
  <c r="AW363" i="3"/>
  <c r="AV363" i="3"/>
  <c r="AU363" i="3"/>
  <c r="AT363" i="3"/>
  <c r="CG362" i="3"/>
  <c r="CF362" i="3"/>
  <c r="CE362" i="3"/>
  <c r="CD362" i="3"/>
  <c r="CC362" i="3"/>
  <c r="CB362" i="3"/>
  <c r="CA362" i="3"/>
  <c r="BZ362" i="3"/>
  <c r="BY362" i="3"/>
  <c r="BX362" i="3"/>
  <c r="BW362" i="3"/>
  <c r="BV362" i="3"/>
  <c r="BU362" i="3"/>
  <c r="BT362" i="3"/>
  <c r="BS362" i="3"/>
  <c r="BR362" i="3"/>
  <c r="BQ362" i="3"/>
  <c r="BP362" i="3"/>
  <c r="BO362" i="3"/>
  <c r="BN362" i="3"/>
  <c r="BM362" i="3"/>
  <c r="BL362" i="3"/>
  <c r="BK362" i="3"/>
  <c r="BJ362" i="3"/>
  <c r="BI362" i="3"/>
  <c r="BH362" i="3"/>
  <c r="BG362" i="3"/>
  <c r="BF362" i="3"/>
  <c r="BE362" i="3"/>
  <c r="BD362" i="3"/>
  <c r="BC362" i="3"/>
  <c r="BB362" i="3"/>
  <c r="BA362" i="3"/>
  <c r="AZ362" i="3"/>
  <c r="AY362" i="3"/>
  <c r="AX362" i="3"/>
  <c r="AW362" i="3"/>
  <c r="AV362" i="3"/>
  <c r="AU362" i="3"/>
  <c r="AT362" i="3"/>
  <c r="CG361" i="3"/>
  <c r="CF361" i="3"/>
  <c r="CE361" i="3"/>
  <c r="CD361" i="3"/>
  <c r="CC361" i="3"/>
  <c r="CB361" i="3"/>
  <c r="CA361" i="3"/>
  <c r="BZ361" i="3"/>
  <c r="BY361" i="3"/>
  <c r="BX361" i="3"/>
  <c r="BW361" i="3"/>
  <c r="BV361" i="3"/>
  <c r="BU361" i="3"/>
  <c r="BT361" i="3"/>
  <c r="BS361" i="3"/>
  <c r="BR361" i="3"/>
  <c r="BQ361" i="3"/>
  <c r="BP361" i="3"/>
  <c r="BO361" i="3"/>
  <c r="BN361" i="3"/>
  <c r="BM361" i="3"/>
  <c r="BL361" i="3"/>
  <c r="BK361" i="3"/>
  <c r="BJ361" i="3"/>
  <c r="BI361" i="3"/>
  <c r="BH361" i="3"/>
  <c r="BG361" i="3"/>
  <c r="BF361" i="3"/>
  <c r="BE361" i="3"/>
  <c r="BD361" i="3"/>
  <c r="BC361" i="3"/>
  <c r="BB361" i="3"/>
  <c r="BA361" i="3"/>
  <c r="AZ361" i="3"/>
  <c r="AY361" i="3"/>
  <c r="AX361" i="3"/>
  <c r="AW361" i="3"/>
  <c r="AV361" i="3"/>
  <c r="AU361" i="3"/>
  <c r="AT361" i="3"/>
  <c r="CG360" i="3"/>
  <c r="CF360" i="3"/>
  <c r="CE360" i="3"/>
  <c r="CD360" i="3"/>
  <c r="CC360" i="3"/>
  <c r="CB360" i="3"/>
  <c r="CA360" i="3"/>
  <c r="BZ360" i="3"/>
  <c r="BY360" i="3"/>
  <c r="BX360" i="3"/>
  <c r="BW360" i="3"/>
  <c r="BV360" i="3"/>
  <c r="BU360" i="3"/>
  <c r="BT360" i="3"/>
  <c r="BS360" i="3"/>
  <c r="BR360" i="3"/>
  <c r="BQ360" i="3"/>
  <c r="BP360" i="3"/>
  <c r="BO360" i="3"/>
  <c r="BN360" i="3"/>
  <c r="BM360" i="3"/>
  <c r="BL360" i="3"/>
  <c r="BK360" i="3"/>
  <c r="BJ360" i="3"/>
  <c r="BI360" i="3"/>
  <c r="BH360" i="3"/>
  <c r="BG360" i="3"/>
  <c r="BF360" i="3"/>
  <c r="BE360" i="3"/>
  <c r="BD360" i="3"/>
  <c r="BC360" i="3"/>
  <c r="BB360" i="3"/>
  <c r="BA360" i="3"/>
  <c r="AZ360" i="3"/>
  <c r="AY360" i="3"/>
  <c r="AX360" i="3"/>
  <c r="AW360" i="3"/>
  <c r="AV360" i="3"/>
  <c r="AU360" i="3"/>
  <c r="AT360" i="3"/>
  <c r="CG359" i="3"/>
  <c r="CF359" i="3"/>
  <c r="CE359" i="3"/>
  <c r="CD359" i="3"/>
  <c r="CC359" i="3"/>
  <c r="CB359" i="3"/>
  <c r="CA359" i="3"/>
  <c r="BZ359" i="3"/>
  <c r="BY359" i="3"/>
  <c r="BX359" i="3"/>
  <c r="BW359" i="3"/>
  <c r="BV359" i="3"/>
  <c r="BU359" i="3"/>
  <c r="BT359" i="3"/>
  <c r="BS359" i="3"/>
  <c r="BR359" i="3"/>
  <c r="BQ359" i="3"/>
  <c r="BP359" i="3"/>
  <c r="BO359" i="3"/>
  <c r="BN359" i="3"/>
  <c r="BM359" i="3"/>
  <c r="BL359" i="3"/>
  <c r="BK359" i="3"/>
  <c r="BJ359" i="3"/>
  <c r="BI359" i="3"/>
  <c r="BH359" i="3"/>
  <c r="BG359" i="3"/>
  <c r="BF359" i="3"/>
  <c r="BE359" i="3"/>
  <c r="BD359" i="3"/>
  <c r="BC359" i="3"/>
  <c r="BB359" i="3"/>
  <c r="BA359" i="3"/>
  <c r="AZ359" i="3"/>
  <c r="AY359" i="3"/>
  <c r="AX359" i="3"/>
  <c r="AW359" i="3"/>
  <c r="AV359" i="3"/>
  <c r="AU359" i="3"/>
  <c r="AT359" i="3"/>
  <c r="CG358" i="3"/>
  <c r="CF358" i="3"/>
  <c r="CE358" i="3"/>
  <c r="CD358" i="3"/>
  <c r="CC358" i="3"/>
  <c r="CB358" i="3"/>
  <c r="CA358" i="3"/>
  <c r="BZ358" i="3"/>
  <c r="BY358" i="3"/>
  <c r="BX358" i="3"/>
  <c r="BW358" i="3"/>
  <c r="BV358" i="3"/>
  <c r="BU358" i="3"/>
  <c r="BT358" i="3"/>
  <c r="BS358" i="3"/>
  <c r="BR358" i="3"/>
  <c r="BQ358" i="3"/>
  <c r="BP358" i="3"/>
  <c r="BO358" i="3"/>
  <c r="BN358" i="3"/>
  <c r="BM358" i="3"/>
  <c r="BL358" i="3"/>
  <c r="BK358" i="3"/>
  <c r="BJ358" i="3"/>
  <c r="BI358" i="3"/>
  <c r="BH358" i="3"/>
  <c r="BG358" i="3"/>
  <c r="BF358" i="3"/>
  <c r="BE358" i="3"/>
  <c r="BD358" i="3"/>
  <c r="BC358" i="3"/>
  <c r="BB358" i="3"/>
  <c r="BA358" i="3"/>
  <c r="AZ358" i="3"/>
  <c r="AY358" i="3"/>
  <c r="AX358" i="3"/>
  <c r="AW358" i="3"/>
  <c r="AV358" i="3"/>
  <c r="AU358" i="3"/>
  <c r="AT358" i="3"/>
  <c r="CG357" i="3"/>
  <c r="CF357" i="3"/>
  <c r="CE357" i="3"/>
  <c r="CD357" i="3"/>
  <c r="CC357" i="3"/>
  <c r="CB357" i="3"/>
  <c r="CA357" i="3"/>
  <c r="BZ357" i="3"/>
  <c r="BY357" i="3"/>
  <c r="BX357" i="3"/>
  <c r="BW357" i="3"/>
  <c r="BV357" i="3"/>
  <c r="BU357" i="3"/>
  <c r="BT357" i="3"/>
  <c r="BS357" i="3"/>
  <c r="BR357" i="3"/>
  <c r="BQ357" i="3"/>
  <c r="BP357" i="3"/>
  <c r="BO357" i="3"/>
  <c r="BN357" i="3"/>
  <c r="BM357" i="3"/>
  <c r="BL357" i="3"/>
  <c r="BK357" i="3"/>
  <c r="BJ357" i="3"/>
  <c r="BI357" i="3"/>
  <c r="BH357" i="3"/>
  <c r="BG357" i="3"/>
  <c r="BF357" i="3"/>
  <c r="BE357" i="3"/>
  <c r="BD357" i="3"/>
  <c r="BC357" i="3"/>
  <c r="BB357" i="3"/>
  <c r="BA357" i="3"/>
  <c r="AZ357" i="3"/>
  <c r="AY357" i="3"/>
  <c r="AX357" i="3"/>
  <c r="AW357" i="3"/>
  <c r="AV357" i="3"/>
  <c r="AU357" i="3"/>
  <c r="AT357" i="3"/>
  <c r="CG356" i="3"/>
  <c r="CF356" i="3"/>
  <c r="CE356" i="3"/>
  <c r="CD356" i="3"/>
  <c r="CC356" i="3"/>
  <c r="CB356" i="3"/>
  <c r="CA356" i="3"/>
  <c r="BZ356" i="3"/>
  <c r="BY356" i="3"/>
  <c r="BX356" i="3"/>
  <c r="BW356" i="3"/>
  <c r="BV356" i="3"/>
  <c r="BU356" i="3"/>
  <c r="BT356" i="3"/>
  <c r="BS356" i="3"/>
  <c r="BR356" i="3"/>
  <c r="BQ356" i="3"/>
  <c r="BP356" i="3"/>
  <c r="BO356" i="3"/>
  <c r="BN356" i="3"/>
  <c r="BM356" i="3"/>
  <c r="BL356" i="3"/>
  <c r="BK356" i="3"/>
  <c r="BJ356" i="3"/>
  <c r="BI356" i="3"/>
  <c r="BH356" i="3"/>
  <c r="BG356" i="3"/>
  <c r="BF356" i="3"/>
  <c r="BE356" i="3"/>
  <c r="BD356" i="3"/>
  <c r="BC356" i="3"/>
  <c r="BB356" i="3"/>
  <c r="BA356" i="3"/>
  <c r="AZ356" i="3"/>
  <c r="AY356" i="3"/>
  <c r="AX356" i="3"/>
  <c r="AW356" i="3"/>
  <c r="AV356" i="3"/>
  <c r="AU356" i="3"/>
  <c r="AT356" i="3"/>
  <c r="CG355" i="3"/>
  <c r="CF355" i="3"/>
  <c r="CE355" i="3"/>
  <c r="CD355" i="3"/>
  <c r="CC355" i="3"/>
  <c r="CB355" i="3"/>
  <c r="CA355" i="3"/>
  <c r="BZ355" i="3"/>
  <c r="BY355" i="3"/>
  <c r="BX355" i="3"/>
  <c r="BW355" i="3"/>
  <c r="BV355" i="3"/>
  <c r="BU355" i="3"/>
  <c r="BT355" i="3"/>
  <c r="BS355" i="3"/>
  <c r="BR355" i="3"/>
  <c r="BQ355" i="3"/>
  <c r="BP355" i="3"/>
  <c r="BO355" i="3"/>
  <c r="BN355" i="3"/>
  <c r="BM355" i="3"/>
  <c r="BL355" i="3"/>
  <c r="BK355" i="3"/>
  <c r="BJ355" i="3"/>
  <c r="BI355" i="3"/>
  <c r="BH355" i="3"/>
  <c r="BG355" i="3"/>
  <c r="BF355" i="3"/>
  <c r="BE355" i="3"/>
  <c r="BD355" i="3"/>
  <c r="BC355" i="3"/>
  <c r="BB355" i="3"/>
  <c r="BA355" i="3"/>
  <c r="AZ355" i="3"/>
  <c r="AY355" i="3"/>
  <c r="AX355" i="3"/>
  <c r="AW355" i="3"/>
  <c r="AV355" i="3"/>
  <c r="AU355" i="3"/>
  <c r="AT355" i="3"/>
  <c r="CG354" i="3"/>
  <c r="CF354" i="3"/>
  <c r="CE354" i="3"/>
  <c r="CD354" i="3"/>
  <c r="CC354" i="3"/>
  <c r="CB354" i="3"/>
  <c r="CA354" i="3"/>
  <c r="BZ354" i="3"/>
  <c r="BY354" i="3"/>
  <c r="BX354" i="3"/>
  <c r="BW354" i="3"/>
  <c r="BV354" i="3"/>
  <c r="BU354" i="3"/>
  <c r="BT354" i="3"/>
  <c r="BS354" i="3"/>
  <c r="BR354" i="3"/>
  <c r="BQ354" i="3"/>
  <c r="BP354" i="3"/>
  <c r="BO354" i="3"/>
  <c r="BN354" i="3"/>
  <c r="BM354" i="3"/>
  <c r="BL354" i="3"/>
  <c r="BK354" i="3"/>
  <c r="BJ354" i="3"/>
  <c r="BI354" i="3"/>
  <c r="BH354" i="3"/>
  <c r="BG354" i="3"/>
  <c r="BF354" i="3"/>
  <c r="BE354" i="3"/>
  <c r="BD354" i="3"/>
  <c r="BC354" i="3"/>
  <c r="BB354" i="3"/>
  <c r="BA354" i="3"/>
  <c r="AZ354" i="3"/>
  <c r="AY354" i="3"/>
  <c r="AX354" i="3"/>
  <c r="AW354" i="3"/>
  <c r="AV354" i="3"/>
  <c r="AU354" i="3"/>
  <c r="AT354" i="3"/>
  <c r="CG353" i="3"/>
  <c r="CF353" i="3"/>
  <c r="CE353" i="3"/>
  <c r="CD353" i="3"/>
  <c r="CC353" i="3"/>
  <c r="CB353" i="3"/>
  <c r="CA353" i="3"/>
  <c r="BZ353" i="3"/>
  <c r="BY353" i="3"/>
  <c r="BX353" i="3"/>
  <c r="BW353" i="3"/>
  <c r="BV353" i="3"/>
  <c r="BU353" i="3"/>
  <c r="BT353" i="3"/>
  <c r="BS353" i="3"/>
  <c r="BR353" i="3"/>
  <c r="BQ353" i="3"/>
  <c r="BP353" i="3"/>
  <c r="BO353" i="3"/>
  <c r="BN353" i="3"/>
  <c r="BM353" i="3"/>
  <c r="BL353" i="3"/>
  <c r="BK353" i="3"/>
  <c r="BJ353" i="3"/>
  <c r="BI353" i="3"/>
  <c r="BH353" i="3"/>
  <c r="BG353" i="3"/>
  <c r="BF353" i="3"/>
  <c r="BE353" i="3"/>
  <c r="BD353" i="3"/>
  <c r="BC353" i="3"/>
  <c r="BB353" i="3"/>
  <c r="BA353" i="3"/>
  <c r="AZ353" i="3"/>
  <c r="AY353" i="3"/>
  <c r="AX353" i="3"/>
  <c r="AW353" i="3"/>
  <c r="AV353" i="3"/>
  <c r="AU353" i="3"/>
  <c r="AT353" i="3"/>
  <c r="CG352" i="3"/>
  <c r="CF352" i="3"/>
  <c r="CE352" i="3"/>
  <c r="CD352" i="3"/>
  <c r="CC352" i="3"/>
  <c r="CB352" i="3"/>
  <c r="CA352" i="3"/>
  <c r="BZ352" i="3"/>
  <c r="BY352" i="3"/>
  <c r="BX352" i="3"/>
  <c r="BW352" i="3"/>
  <c r="BV352" i="3"/>
  <c r="BU352" i="3"/>
  <c r="BT352" i="3"/>
  <c r="BS352" i="3"/>
  <c r="BR352" i="3"/>
  <c r="BQ352" i="3"/>
  <c r="BP352" i="3"/>
  <c r="BO352" i="3"/>
  <c r="BN352" i="3"/>
  <c r="BM352" i="3"/>
  <c r="BL352" i="3"/>
  <c r="BK352" i="3"/>
  <c r="BJ352" i="3"/>
  <c r="BI352" i="3"/>
  <c r="BH352" i="3"/>
  <c r="BG352" i="3"/>
  <c r="BF352" i="3"/>
  <c r="BE352" i="3"/>
  <c r="BD352" i="3"/>
  <c r="BC352" i="3"/>
  <c r="BB352" i="3"/>
  <c r="BA352" i="3"/>
  <c r="AZ352" i="3"/>
  <c r="AY352" i="3"/>
  <c r="AX352" i="3"/>
  <c r="AW352" i="3"/>
  <c r="AV352" i="3"/>
  <c r="AU352" i="3"/>
  <c r="AT352" i="3"/>
  <c r="CG351" i="3"/>
  <c r="CF351" i="3"/>
  <c r="CE351" i="3"/>
  <c r="CD351" i="3"/>
  <c r="CC351" i="3"/>
  <c r="CB351" i="3"/>
  <c r="CA351" i="3"/>
  <c r="BZ351" i="3"/>
  <c r="BY351" i="3"/>
  <c r="BX351" i="3"/>
  <c r="BW351" i="3"/>
  <c r="BV351" i="3"/>
  <c r="BU351" i="3"/>
  <c r="BT351" i="3"/>
  <c r="BS351" i="3"/>
  <c r="BR351" i="3"/>
  <c r="BQ351" i="3"/>
  <c r="BP351" i="3"/>
  <c r="BO351" i="3"/>
  <c r="BN351" i="3"/>
  <c r="BM351" i="3"/>
  <c r="BL351" i="3"/>
  <c r="BK351" i="3"/>
  <c r="BJ351" i="3"/>
  <c r="BI351" i="3"/>
  <c r="BH351" i="3"/>
  <c r="BG351" i="3"/>
  <c r="BF351" i="3"/>
  <c r="BE351" i="3"/>
  <c r="BD351" i="3"/>
  <c r="BC351" i="3"/>
  <c r="BB351" i="3"/>
  <c r="BA351" i="3"/>
  <c r="AZ351" i="3"/>
  <c r="AY351" i="3"/>
  <c r="AX351" i="3"/>
  <c r="AW351" i="3"/>
  <c r="AV351" i="3"/>
  <c r="AU351" i="3"/>
  <c r="AT351" i="3"/>
  <c r="CG350" i="3"/>
  <c r="CF350" i="3"/>
  <c r="CE350" i="3"/>
  <c r="CD350" i="3"/>
  <c r="CC350" i="3"/>
  <c r="CB350" i="3"/>
  <c r="CA350" i="3"/>
  <c r="BZ350" i="3"/>
  <c r="BY350" i="3"/>
  <c r="BX350" i="3"/>
  <c r="BW350" i="3"/>
  <c r="BV350" i="3"/>
  <c r="BU350" i="3"/>
  <c r="BT350" i="3"/>
  <c r="BS350" i="3"/>
  <c r="BR350" i="3"/>
  <c r="BQ350" i="3"/>
  <c r="BP350" i="3"/>
  <c r="BO350" i="3"/>
  <c r="BN350" i="3"/>
  <c r="BM350" i="3"/>
  <c r="BL350" i="3"/>
  <c r="BK350" i="3"/>
  <c r="BJ350" i="3"/>
  <c r="BI350" i="3"/>
  <c r="BH350" i="3"/>
  <c r="BG350" i="3"/>
  <c r="BF350" i="3"/>
  <c r="BE350" i="3"/>
  <c r="BD350" i="3"/>
  <c r="BC350" i="3"/>
  <c r="BB350" i="3"/>
  <c r="BA350" i="3"/>
  <c r="AZ350" i="3"/>
  <c r="AY350" i="3"/>
  <c r="AX350" i="3"/>
  <c r="AW350" i="3"/>
  <c r="AV350" i="3"/>
  <c r="AU350" i="3"/>
  <c r="AT350" i="3"/>
  <c r="CG349" i="3"/>
  <c r="CF349" i="3"/>
  <c r="CE349" i="3"/>
  <c r="CD349" i="3"/>
  <c r="CC349" i="3"/>
  <c r="CB349" i="3"/>
  <c r="CA349" i="3"/>
  <c r="BZ349" i="3"/>
  <c r="BY349" i="3"/>
  <c r="BX349" i="3"/>
  <c r="BW349" i="3"/>
  <c r="BV349" i="3"/>
  <c r="BU349" i="3"/>
  <c r="BT349" i="3"/>
  <c r="BS349" i="3"/>
  <c r="BR349" i="3"/>
  <c r="BQ349" i="3"/>
  <c r="BP349" i="3"/>
  <c r="BO349" i="3"/>
  <c r="BN349" i="3"/>
  <c r="BM349" i="3"/>
  <c r="BL349" i="3"/>
  <c r="BK349" i="3"/>
  <c r="BJ349" i="3"/>
  <c r="BI349" i="3"/>
  <c r="BH349" i="3"/>
  <c r="BG349" i="3"/>
  <c r="BF349" i="3"/>
  <c r="BE349" i="3"/>
  <c r="BD349" i="3"/>
  <c r="BC349" i="3"/>
  <c r="BB349" i="3"/>
  <c r="BA349" i="3"/>
  <c r="AZ349" i="3"/>
  <c r="AY349" i="3"/>
  <c r="AX349" i="3"/>
  <c r="AW349" i="3"/>
  <c r="AV349" i="3"/>
  <c r="AU349" i="3"/>
  <c r="AT349" i="3"/>
  <c r="CG348" i="3"/>
  <c r="CF348" i="3"/>
  <c r="CE348" i="3"/>
  <c r="CD348" i="3"/>
  <c r="CC348" i="3"/>
  <c r="CB348" i="3"/>
  <c r="CA348" i="3"/>
  <c r="BZ348" i="3"/>
  <c r="BY348" i="3"/>
  <c r="BX348" i="3"/>
  <c r="BW348" i="3"/>
  <c r="BV348" i="3"/>
  <c r="BU348" i="3"/>
  <c r="BT348" i="3"/>
  <c r="BS348" i="3"/>
  <c r="BR348" i="3"/>
  <c r="BQ348" i="3"/>
  <c r="BP348" i="3"/>
  <c r="BO348" i="3"/>
  <c r="BN348" i="3"/>
  <c r="BM348" i="3"/>
  <c r="BL348" i="3"/>
  <c r="BK348" i="3"/>
  <c r="BJ348" i="3"/>
  <c r="BI348" i="3"/>
  <c r="BH348" i="3"/>
  <c r="BG348" i="3"/>
  <c r="BF348" i="3"/>
  <c r="BE348" i="3"/>
  <c r="BD348" i="3"/>
  <c r="BC348" i="3"/>
  <c r="BB348" i="3"/>
  <c r="BA348" i="3"/>
  <c r="AZ348" i="3"/>
  <c r="AY348" i="3"/>
  <c r="AX348" i="3"/>
  <c r="AW348" i="3"/>
  <c r="AV348" i="3"/>
  <c r="AU348" i="3"/>
  <c r="AT348" i="3"/>
  <c r="CG347" i="3"/>
  <c r="CF347" i="3"/>
  <c r="CE347" i="3"/>
  <c r="CD347" i="3"/>
  <c r="CC347" i="3"/>
  <c r="CB347" i="3"/>
  <c r="CA347" i="3"/>
  <c r="BZ347" i="3"/>
  <c r="BY347" i="3"/>
  <c r="BX347" i="3"/>
  <c r="BW347" i="3"/>
  <c r="BV347" i="3"/>
  <c r="BU347" i="3"/>
  <c r="BT347" i="3"/>
  <c r="BS347" i="3"/>
  <c r="BR347" i="3"/>
  <c r="BQ347" i="3"/>
  <c r="BP347" i="3"/>
  <c r="BO347" i="3"/>
  <c r="BN347" i="3"/>
  <c r="BM347" i="3"/>
  <c r="BL347" i="3"/>
  <c r="BK347" i="3"/>
  <c r="BJ347" i="3"/>
  <c r="BI347" i="3"/>
  <c r="BH347" i="3"/>
  <c r="BG347" i="3"/>
  <c r="BF347" i="3"/>
  <c r="BE347" i="3"/>
  <c r="BD347" i="3"/>
  <c r="BC347" i="3"/>
  <c r="BB347" i="3"/>
  <c r="BA347" i="3"/>
  <c r="AZ347" i="3"/>
  <c r="AY347" i="3"/>
  <c r="AX347" i="3"/>
  <c r="AW347" i="3"/>
  <c r="AV347" i="3"/>
  <c r="AU347" i="3"/>
  <c r="AT347" i="3"/>
  <c r="CG346" i="3"/>
  <c r="CF346" i="3"/>
  <c r="CE346" i="3"/>
  <c r="CD346" i="3"/>
  <c r="CC346" i="3"/>
  <c r="CB346" i="3"/>
  <c r="CA346" i="3"/>
  <c r="BZ346" i="3"/>
  <c r="BY346" i="3"/>
  <c r="BX346" i="3"/>
  <c r="BW346" i="3"/>
  <c r="BV346" i="3"/>
  <c r="BU346" i="3"/>
  <c r="BT346" i="3"/>
  <c r="BS346" i="3"/>
  <c r="BR346" i="3"/>
  <c r="BQ346" i="3"/>
  <c r="BP346" i="3"/>
  <c r="BO346" i="3"/>
  <c r="BN346" i="3"/>
  <c r="BM346" i="3"/>
  <c r="BL346" i="3"/>
  <c r="BK346" i="3"/>
  <c r="BJ346" i="3"/>
  <c r="BI346" i="3"/>
  <c r="BH346" i="3"/>
  <c r="BG346" i="3"/>
  <c r="BF346" i="3"/>
  <c r="BE346" i="3"/>
  <c r="BD346" i="3"/>
  <c r="BC346" i="3"/>
  <c r="BB346" i="3"/>
  <c r="BA346" i="3"/>
  <c r="AZ346" i="3"/>
  <c r="AY346" i="3"/>
  <c r="AX346" i="3"/>
  <c r="AW346" i="3"/>
  <c r="AV346" i="3"/>
  <c r="AU346" i="3"/>
  <c r="AT346" i="3"/>
  <c r="CG345" i="3"/>
  <c r="CF345" i="3"/>
  <c r="CE345" i="3"/>
  <c r="CD345" i="3"/>
  <c r="CC345" i="3"/>
  <c r="CB345" i="3"/>
  <c r="CA345" i="3"/>
  <c r="BZ345" i="3"/>
  <c r="BY345" i="3"/>
  <c r="BX345" i="3"/>
  <c r="BW345" i="3"/>
  <c r="BV345" i="3"/>
  <c r="BU345" i="3"/>
  <c r="BT345" i="3"/>
  <c r="BS345" i="3"/>
  <c r="BR345" i="3"/>
  <c r="BQ345" i="3"/>
  <c r="BP345" i="3"/>
  <c r="BO345" i="3"/>
  <c r="BN345" i="3"/>
  <c r="BM345" i="3"/>
  <c r="BL345" i="3"/>
  <c r="BK345" i="3"/>
  <c r="BJ345" i="3"/>
  <c r="BI345" i="3"/>
  <c r="BH345" i="3"/>
  <c r="BG345" i="3"/>
  <c r="BF345" i="3"/>
  <c r="BE345" i="3"/>
  <c r="BD345" i="3"/>
  <c r="BC345" i="3"/>
  <c r="BB345" i="3"/>
  <c r="BA345" i="3"/>
  <c r="AZ345" i="3"/>
  <c r="AY345" i="3"/>
  <c r="AX345" i="3"/>
  <c r="AW345" i="3"/>
  <c r="AV345" i="3"/>
  <c r="AU345" i="3"/>
  <c r="AT345" i="3"/>
  <c r="CG344" i="3"/>
  <c r="CF344" i="3"/>
  <c r="CE344" i="3"/>
  <c r="CD344" i="3"/>
  <c r="CC344" i="3"/>
  <c r="CB344" i="3"/>
  <c r="CA344" i="3"/>
  <c r="BZ344" i="3"/>
  <c r="BY344" i="3"/>
  <c r="BX344" i="3"/>
  <c r="BW344" i="3"/>
  <c r="BV344" i="3"/>
  <c r="BU344" i="3"/>
  <c r="BT344" i="3"/>
  <c r="BS344" i="3"/>
  <c r="BR344" i="3"/>
  <c r="BQ344" i="3"/>
  <c r="BP344" i="3"/>
  <c r="BO344" i="3"/>
  <c r="BN344" i="3"/>
  <c r="BM344" i="3"/>
  <c r="BL344" i="3"/>
  <c r="BK344" i="3"/>
  <c r="BJ344" i="3"/>
  <c r="BI344" i="3"/>
  <c r="BH344" i="3"/>
  <c r="BG344" i="3"/>
  <c r="BF344" i="3"/>
  <c r="BE344" i="3"/>
  <c r="BD344" i="3"/>
  <c r="BC344" i="3"/>
  <c r="BB344" i="3"/>
  <c r="BA344" i="3"/>
  <c r="AZ344" i="3"/>
  <c r="AY344" i="3"/>
  <c r="AX344" i="3"/>
  <c r="AW344" i="3"/>
  <c r="AV344" i="3"/>
  <c r="AU344" i="3"/>
  <c r="AT344" i="3"/>
  <c r="CG343" i="3"/>
  <c r="CF343" i="3"/>
  <c r="CE343" i="3"/>
  <c r="CD343" i="3"/>
  <c r="CC343" i="3"/>
  <c r="CB343" i="3"/>
  <c r="CA343" i="3"/>
  <c r="BZ343" i="3"/>
  <c r="BY343" i="3"/>
  <c r="BX343" i="3"/>
  <c r="BW343" i="3"/>
  <c r="BV343" i="3"/>
  <c r="BU343" i="3"/>
  <c r="BT343" i="3"/>
  <c r="BS343" i="3"/>
  <c r="BR343" i="3"/>
  <c r="BQ343" i="3"/>
  <c r="BP343" i="3"/>
  <c r="BO343" i="3"/>
  <c r="BN343" i="3"/>
  <c r="BM343" i="3"/>
  <c r="BL343" i="3"/>
  <c r="BK343" i="3"/>
  <c r="BJ343" i="3"/>
  <c r="BI343" i="3"/>
  <c r="BH343" i="3"/>
  <c r="BG343" i="3"/>
  <c r="BF343" i="3"/>
  <c r="BE343" i="3"/>
  <c r="BD343" i="3"/>
  <c r="BC343" i="3"/>
  <c r="BB343" i="3"/>
  <c r="BA343" i="3"/>
  <c r="AZ343" i="3"/>
  <c r="AY343" i="3"/>
  <c r="AX343" i="3"/>
  <c r="AW343" i="3"/>
  <c r="AV343" i="3"/>
  <c r="AU343" i="3"/>
  <c r="AT343" i="3"/>
  <c r="CG342" i="3"/>
  <c r="CF342" i="3"/>
  <c r="CE342" i="3"/>
  <c r="CD342" i="3"/>
  <c r="CC342" i="3"/>
  <c r="CB342" i="3"/>
  <c r="CA342" i="3"/>
  <c r="BZ342" i="3"/>
  <c r="BY342" i="3"/>
  <c r="BX342" i="3"/>
  <c r="BW342" i="3"/>
  <c r="BV342" i="3"/>
  <c r="BU342" i="3"/>
  <c r="BT342" i="3"/>
  <c r="BS342" i="3"/>
  <c r="BR342" i="3"/>
  <c r="BQ342" i="3"/>
  <c r="BP342" i="3"/>
  <c r="BO342" i="3"/>
  <c r="BN342" i="3"/>
  <c r="BM342" i="3"/>
  <c r="BL342" i="3"/>
  <c r="BK342" i="3"/>
  <c r="BJ342" i="3"/>
  <c r="BI342" i="3"/>
  <c r="BH342" i="3"/>
  <c r="BG342" i="3"/>
  <c r="BF342" i="3"/>
  <c r="BE342" i="3"/>
  <c r="BD342" i="3"/>
  <c r="BC342" i="3"/>
  <c r="BB342" i="3"/>
  <c r="BA342" i="3"/>
  <c r="AZ342" i="3"/>
  <c r="AY342" i="3"/>
  <c r="AX342" i="3"/>
  <c r="AW342" i="3"/>
  <c r="AV342" i="3"/>
  <c r="AU342" i="3"/>
  <c r="AT342" i="3"/>
  <c r="CG341" i="3"/>
  <c r="CF341" i="3"/>
  <c r="CE341" i="3"/>
  <c r="CD341" i="3"/>
  <c r="CC341" i="3"/>
  <c r="CB341" i="3"/>
  <c r="CA341" i="3"/>
  <c r="BZ341" i="3"/>
  <c r="BY341" i="3"/>
  <c r="BX341" i="3"/>
  <c r="BW341" i="3"/>
  <c r="BV341" i="3"/>
  <c r="BU341" i="3"/>
  <c r="BT341" i="3"/>
  <c r="BS341" i="3"/>
  <c r="BR341" i="3"/>
  <c r="BQ341" i="3"/>
  <c r="BP341" i="3"/>
  <c r="BO341" i="3"/>
  <c r="BN341" i="3"/>
  <c r="BM341" i="3"/>
  <c r="BL341" i="3"/>
  <c r="BK341" i="3"/>
  <c r="BJ341" i="3"/>
  <c r="BI341" i="3"/>
  <c r="BH341" i="3"/>
  <c r="BG341" i="3"/>
  <c r="BF341" i="3"/>
  <c r="BE341" i="3"/>
  <c r="BD341" i="3"/>
  <c r="BC341" i="3"/>
  <c r="BB341" i="3"/>
  <c r="BA341" i="3"/>
  <c r="AZ341" i="3"/>
  <c r="AY341" i="3"/>
  <c r="AX341" i="3"/>
  <c r="AW341" i="3"/>
  <c r="AV341" i="3"/>
  <c r="AU341" i="3"/>
  <c r="AT341" i="3"/>
  <c r="CG340" i="3"/>
  <c r="CF340" i="3"/>
  <c r="CE340" i="3"/>
  <c r="CD340" i="3"/>
  <c r="CC340" i="3"/>
  <c r="CB340" i="3"/>
  <c r="CA340" i="3"/>
  <c r="BZ340" i="3"/>
  <c r="BY340" i="3"/>
  <c r="BX340" i="3"/>
  <c r="BW340" i="3"/>
  <c r="BV340" i="3"/>
  <c r="BU340" i="3"/>
  <c r="BT340" i="3"/>
  <c r="BS340" i="3"/>
  <c r="BR340" i="3"/>
  <c r="BQ340" i="3"/>
  <c r="BP340" i="3"/>
  <c r="BO340" i="3"/>
  <c r="BN340" i="3"/>
  <c r="BM340" i="3"/>
  <c r="BL340" i="3"/>
  <c r="BK340" i="3"/>
  <c r="BJ340" i="3"/>
  <c r="BI340" i="3"/>
  <c r="BH340" i="3"/>
  <c r="BG340" i="3"/>
  <c r="BF340" i="3"/>
  <c r="BE340" i="3"/>
  <c r="BD340" i="3"/>
  <c r="BC340" i="3"/>
  <c r="BB340" i="3"/>
  <c r="BA340" i="3"/>
  <c r="AZ340" i="3"/>
  <c r="AY340" i="3"/>
  <c r="AX340" i="3"/>
  <c r="AW340" i="3"/>
  <c r="AV340" i="3"/>
  <c r="AU340" i="3"/>
  <c r="AT340" i="3"/>
  <c r="CG339" i="3"/>
  <c r="CF339" i="3"/>
  <c r="CE339" i="3"/>
  <c r="CD339" i="3"/>
  <c r="CC339" i="3"/>
  <c r="CB339" i="3"/>
  <c r="CA339" i="3"/>
  <c r="BZ339" i="3"/>
  <c r="BY339" i="3"/>
  <c r="BX339" i="3"/>
  <c r="BW339" i="3"/>
  <c r="BV339" i="3"/>
  <c r="BU339" i="3"/>
  <c r="BT339" i="3"/>
  <c r="BS339" i="3"/>
  <c r="BR339" i="3"/>
  <c r="BQ339" i="3"/>
  <c r="BP339" i="3"/>
  <c r="BO339" i="3"/>
  <c r="BN339" i="3"/>
  <c r="BM339" i="3"/>
  <c r="BL339" i="3"/>
  <c r="BK339" i="3"/>
  <c r="BJ339" i="3"/>
  <c r="BI339" i="3"/>
  <c r="BH339" i="3"/>
  <c r="BG339" i="3"/>
  <c r="BF339" i="3"/>
  <c r="BE339" i="3"/>
  <c r="BD339" i="3"/>
  <c r="BC339" i="3"/>
  <c r="BB339" i="3"/>
  <c r="BA339" i="3"/>
  <c r="AZ339" i="3"/>
  <c r="AY339" i="3"/>
  <c r="AX339" i="3"/>
  <c r="AW339" i="3"/>
  <c r="AV339" i="3"/>
  <c r="AU339" i="3"/>
  <c r="AT339" i="3"/>
  <c r="CG338" i="3"/>
  <c r="CF338" i="3"/>
  <c r="CE338" i="3"/>
  <c r="CD338" i="3"/>
  <c r="CC338" i="3"/>
  <c r="CB338" i="3"/>
  <c r="CA338" i="3"/>
  <c r="BZ338" i="3"/>
  <c r="BY338" i="3"/>
  <c r="BX338" i="3"/>
  <c r="BW338" i="3"/>
  <c r="BV338" i="3"/>
  <c r="BU338" i="3"/>
  <c r="BT338" i="3"/>
  <c r="BS338" i="3"/>
  <c r="BR338" i="3"/>
  <c r="BQ338" i="3"/>
  <c r="BP338" i="3"/>
  <c r="BO338" i="3"/>
  <c r="BN338" i="3"/>
  <c r="BM338" i="3"/>
  <c r="BL338" i="3"/>
  <c r="BK338" i="3"/>
  <c r="BJ338" i="3"/>
  <c r="BI338" i="3"/>
  <c r="BH338" i="3"/>
  <c r="BG338" i="3"/>
  <c r="BF338" i="3"/>
  <c r="BE338" i="3"/>
  <c r="BD338" i="3"/>
  <c r="BC338" i="3"/>
  <c r="BB338" i="3"/>
  <c r="BA338" i="3"/>
  <c r="AZ338" i="3"/>
  <c r="AY338" i="3"/>
  <c r="AX338" i="3"/>
  <c r="AW338" i="3"/>
  <c r="AV338" i="3"/>
  <c r="AU338" i="3"/>
  <c r="AT338" i="3"/>
  <c r="CG337" i="3"/>
  <c r="CF337" i="3"/>
  <c r="CE337" i="3"/>
  <c r="CD337" i="3"/>
  <c r="CC337" i="3"/>
  <c r="CB337" i="3"/>
  <c r="CA337" i="3"/>
  <c r="BZ337" i="3"/>
  <c r="BY337" i="3"/>
  <c r="BX337" i="3"/>
  <c r="BW337" i="3"/>
  <c r="BV337" i="3"/>
  <c r="BU337" i="3"/>
  <c r="BT337" i="3"/>
  <c r="BS337" i="3"/>
  <c r="BR337" i="3"/>
  <c r="BQ337" i="3"/>
  <c r="BP337" i="3"/>
  <c r="BO337" i="3"/>
  <c r="BN337" i="3"/>
  <c r="BM337" i="3"/>
  <c r="BL337" i="3"/>
  <c r="BK337" i="3"/>
  <c r="BJ337" i="3"/>
  <c r="BI337" i="3"/>
  <c r="BH337" i="3"/>
  <c r="BG337" i="3"/>
  <c r="BF337" i="3"/>
  <c r="BE337" i="3"/>
  <c r="BD337" i="3"/>
  <c r="BC337" i="3"/>
  <c r="BB337" i="3"/>
  <c r="BA337" i="3"/>
  <c r="AZ337" i="3"/>
  <c r="AY337" i="3"/>
  <c r="AX337" i="3"/>
  <c r="AW337" i="3"/>
  <c r="AV337" i="3"/>
  <c r="AU337" i="3"/>
  <c r="AT337" i="3"/>
  <c r="CG336" i="3"/>
  <c r="CF336" i="3"/>
  <c r="CE336" i="3"/>
  <c r="CD336" i="3"/>
  <c r="CC336" i="3"/>
  <c r="CB336" i="3"/>
  <c r="CA336" i="3"/>
  <c r="BZ336" i="3"/>
  <c r="BY336" i="3"/>
  <c r="BX336" i="3"/>
  <c r="BW336" i="3"/>
  <c r="BV336" i="3"/>
  <c r="BU336" i="3"/>
  <c r="BT336" i="3"/>
  <c r="BS336" i="3"/>
  <c r="BR336" i="3"/>
  <c r="BQ336" i="3"/>
  <c r="BP336" i="3"/>
  <c r="BO336" i="3"/>
  <c r="BN336" i="3"/>
  <c r="BM336" i="3"/>
  <c r="BL336" i="3"/>
  <c r="BK336" i="3"/>
  <c r="BJ336" i="3"/>
  <c r="BI336" i="3"/>
  <c r="BH336" i="3"/>
  <c r="BG336" i="3"/>
  <c r="BF336" i="3"/>
  <c r="BE336" i="3"/>
  <c r="BD336" i="3"/>
  <c r="BC336" i="3"/>
  <c r="BB336" i="3"/>
  <c r="BA336" i="3"/>
  <c r="AZ336" i="3"/>
  <c r="AY336" i="3"/>
  <c r="AX336" i="3"/>
  <c r="AW336" i="3"/>
  <c r="AV336" i="3"/>
  <c r="AU336" i="3"/>
  <c r="AT336" i="3"/>
  <c r="CG335" i="3"/>
  <c r="CF335" i="3"/>
  <c r="CE335" i="3"/>
  <c r="CD335" i="3"/>
  <c r="CC335" i="3"/>
  <c r="CB335" i="3"/>
  <c r="CA335" i="3"/>
  <c r="BZ335" i="3"/>
  <c r="BY335" i="3"/>
  <c r="BX335" i="3"/>
  <c r="BW335" i="3"/>
  <c r="BV335" i="3"/>
  <c r="BU335" i="3"/>
  <c r="BT335" i="3"/>
  <c r="BS335" i="3"/>
  <c r="BR335" i="3"/>
  <c r="BQ335" i="3"/>
  <c r="BP335" i="3"/>
  <c r="BO335" i="3"/>
  <c r="BN335" i="3"/>
  <c r="BM335" i="3"/>
  <c r="BL335" i="3"/>
  <c r="BK335" i="3"/>
  <c r="BJ335" i="3"/>
  <c r="BI335" i="3"/>
  <c r="BH335" i="3"/>
  <c r="BG335" i="3"/>
  <c r="BF335" i="3"/>
  <c r="BE335" i="3"/>
  <c r="BD335" i="3"/>
  <c r="BC335" i="3"/>
  <c r="BB335" i="3"/>
  <c r="BA335" i="3"/>
  <c r="AZ335" i="3"/>
  <c r="AY335" i="3"/>
  <c r="AX335" i="3"/>
  <c r="AW335" i="3"/>
  <c r="AV335" i="3"/>
  <c r="AU335" i="3"/>
  <c r="AT335" i="3"/>
  <c r="CG334" i="3"/>
  <c r="CF334" i="3"/>
  <c r="CE334" i="3"/>
  <c r="CD334" i="3"/>
  <c r="CC334" i="3"/>
  <c r="CB334" i="3"/>
  <c r="CA334" i="3"/>
  <c r="BZ334" i="3"/>
  <c r="BY334" i="3"/>
  <c r="BX334" i="3"/>
  <c r="BW334" i="3"/>
  <c r="BV334" i="3"/>
  <c r="BU334" i="3"/>
  <c r="BT334" i="3"/>
  <c r="BS334" i="3"/>
  <c r="BR334" i="3"/>
  <c r="BQ334" i="3"/>
  <c r="BP334" i="3"/>
  <c r="BO334" i="3"/>
  <c r="BN334" i="3"/>
  <c r="BM334" i="3"/>
  <c r="BL334" i="3"/>
  <c r="BK334" i="3"/>
  <c r="BJ334" i="3"/>
  <c r="BI334" i="3"/>
  <c r="BH334" i="3"/>
  <c r="BG334" i="3"/>
  <c r="BF334" i="3"/>
  <c r="BE334" i="3"/>
  <c r="BD334" i="3"/>
  <c r="BC334" i="3"/>
  <c r="BB334" i="3"/>
  <c r="BA334" i="3"/>
  <c r="AZ334" i="3"/>
  <c r="AY334" i="3"/>
  <c r="AX334" i="3"/>
  <c r="AW334" i="3"/>
  <c r="AV334" i="3"/>
  <c r="AU334" i="3"/>
  <c r="AT334" i="3"/>
  <c r="CG333" i="3"/>
  <c r="CF333" i="3"/>
  <c r="CE333" i="3"/>
  <c r="CD333" i="3"/>
  <c r="CC333" i="3"/>
  <c r="CB333" i="3"/>
  <c r="CA333" i="3"/>
  <c r="BZ333" i="3"/>
  <c r="BY333" i="3"/>
  <c r="BX333" i="3"/>
  <c r="BW333" i="3"/>
  <c r="BV333" i="3"/>
  <c r="BU333" i="3"/>
  <c r="BT333" i="3"/>
  <c r="BS333" i="3"/>
  <c r="BR333" i="3"/>
  <c r="BQ333" i="3"/>
  <c r="BP333" i="3"/>
  <c r="BO333" i="3"/>
  <c r="BN333" i="3"/>
  <c r="BM333" i="3"/>
  <c r="BL333" i="3"/>
  <c r="BK333" i="3"/>
  <c r="BJ333" i="3"/>
  <c r="BI333" i="3"/>
  <c r="BH333" i="3"/>
  <c r="BG333" i="3"/>
  <c r="BF333" i="3"/>
  <c r="BE333" i="3"/>
  <c r="BD333" i="3"/>
  <c r="BC333" i="3"/>
  <c r="BB333" i="3"/>
  <c r="BA333" i="3"/>
  <c r="AZ333" i="3"/>
  <c r="AY333" i="3"/>
  <c r="AX333" i="3"/>
  <c r="AW333" i="3"/>
  <c r="AV333" i="3"/>
  <c r="AU333" i="3"/>
  <c r="AT333" i="3"/>
  <c r="CG332" i="3"/>
  <c r="CF332" i="3"/>
  <c r="CE332" i="3"/>
  <c r="CD332" i="3"/>
  <c r="CC332" i="3"/>
  <c r="CB332" i="3"/>
  <c r="CA332" i="3"/>
  <c r="BZ332" i="3"/>
  <c r="BY332" i="3"/>
  <c r="BX332" i="3"/>
  <c r="BW332" i="3"/>
  <c r="BV332" i="3"/>
  <c r="BU332" i="3"/>
  <c r="BT332" i="3"/>
  <c r="BS332" i="3"/>
  <c r="BR332" i="3"/>
  <c r="BQ332" i="3"/>
  <c r="BP332" i="3"/>
  <c r="BO332" i="3"/>
  <c r="BN332" i="3"/>
  <c r="BM332" i="3"/>
  <c r="BL332" i="3"/>
  <c r="BK332" i="3"/>
  <c r="BJ332" i="3"/>
  <c r="BI332" i="3"/>
  <c r="BH332" i="3"/>
  <c r="BG332" i="3"/>
  <c r="BF332" i="3"/>
  <c r="BE332" i="3"/>
  <c r="BD332" i="3"/>
  <c r="BC332" i="3"/>
  <c r="BB332" i="3"/>
  <c r="BA332" i="3"/>
  <c r="AZ332" i="3"/>
  <c r="AY332" i="3"/>
  <c r="AX332" i="3"/>
  <c r="AW332" i="3"/>
  <c r="AV332" i="3"/>
  <c r="AU332" i="3"/>
  <c r="AT332" i="3"/>
  <c r="CG331" i="3"/>
  <c r="CF331" i="3"/>
  <c r="CE331" i="3"/>
  <c r="CD331" i="3"/>
  <c r="CC331" i="3"/>
  <c r="CB331" i="3"/>
  <c r="CA331" i="3"/>
  <c r="BZ331" i="3"/>
  <c r="BY331" i="3"/>
  <c r="BX331" i="3"/>
  <c r="BW331" i="3"/>
  <c r="BV331" i="3"/>
  <c r="BU331" i="3"/>
  <c r="BT331" i="3"/>
  <c r="BS331" i="3"/>
  <c r="BR331" i="3"/>
  <c r="BQ331" i="3"/>
  <c r="BP331" i="3"/>
  <c r="BO331" i="3"/>
  <c r="BN331" i="3"/>
  <c r="BM331" i="3"/>
  <c r="BL331" i="3"/>
  <c r="BK331" i="3"/>
  <c r="BJ331" i="3"/>
  <c r="BI331" i="3"/>
  <c r="BH331" i="3"/>
  <c r="BG331" i="3"/>
  <c r="BF331" i="3"/>
  <c r="BE331" i="3"/>
  <c r="BD331" i="3"/>
  <c r="BC331" i="3"/>
  <c r="BB331" i="3"/>
  <c r="BA331" i="3"/>
  <c r="AZ331" i="3"/>
  <c r="AY331" i="3"/>
  <c r="AX331" i="3"/>
  <c r="AW331" i="3"/>
  <c r="AV331" i="3"/>
  <c r="AU331" i="3"/>
  <c r="AT331" i="3"/>
  <c r="CG330" i="3"/>
  <c r="CF330" i="3"/>
  <c r="CE330" i="3"/>
  <c r="CD330" i="3"/>
  <c r="CC330" i="3"/>
  <c r="CB330" i="3"/>
  <c r="CA330" i="3"/>
  <c r="BZ330" i="3"/>
  <c r="BY330" i="3"/>
  <c r="BX330" i="3"/>
  <c r="BW330" i="3"/>
  <c r="BV330" i="3"/>
  <c r="BU330" i="3"/>
  <c r="BT330" i="3"/>
  <c r="BS330" i="3"/>
  <c r="BR330" i="3"/>
  <c r="BQ330" i="3"/>
  <c r="BP330" i="3"/>
  <c r="BO330" i="3"/>
  <c r="BN330" i="3"/>
  <c r="BM330" i="3"/>
  <c r="BL330" i="3"/>
  <c r="BK330" i="3"/>
  <c r="BJ330" i="3"/>
  <c r="BI330" i="3"/>
  <c r="BH330" i="3"/>
  <c r="BG330" i="3"/>
  <c r="BF330" i="3"/>
  <c r="BE330" i="3"/>
  <c r="BD330" i="3"/>
  <c r="BC330" i="3"/>
  <c r="BB330" i="3"/>
  <c r="BA330" i="3"/>
  <c r="AZ330" i="3"/>
  <c r="AY330" i="3"/>
  <c r="AX330" i="3"/>
  <c r="AW330" i="3"/>
  <c r="AV330" i="3"/>
  <c r="AU330" i="3"/>
  <c r="AT330" i="3"/>
  <c r="CG329" i="3"/>
  <c r="CF329" i="3"/>
  <c r="CE329" i="3"/>
  <c r="CD329" i="3"/>
  <c r="CC329" i="3"/>
  <c r="CB329" i="3"/>
  <c r="CA329" i="3"/>
  <c r="BZ329" i="3"/>
  <c r="BY329" i="3"/>
  <c r="BX329" i="3"/>
  <c r="BW329" i="3"/>
  <c r="BV329" i="3"/>
  <c r="BU329" i="3"/>
  <c r="BT329" i="3"/>
  <c r="BS329" i="3"/>
  <c r="BR329" i="3"/>
  <c r="BQ329" i="3"/>
  <c r="BP329" i="3"/>
  <c r="BO329" i="3"/>
  <c r="BN329" i="3"/>
  <c r="BM329" i="3"/>
  <c r="BL329" i="3"/>
  <c r="BK329" i="3"/>
  <c r="BJ329" i="3"/>
  <c r="BI329" i="3"/>
  <c r="BH329" i="3"/>
  <c r="BG329" i="3"/>
  <c r="BF329" i="3"/>
  <c r="BE329" i="3"/>
  <c r="BD329" i="3"/>
  <c r="BC329" i="3"/>
  <c r="BB329" i="3"/>
  <c r="BA329" i="3"/>
  <c r="AZ329" i="3"/>
  <c r="AY329" i="3"/>
  <c r="AX329" i="3"/>
  <c r="AW329" i="3"/>
  <c r="AV329" i="3"/>
  <c r="AU329" i="3"/>
  <c r="AT329" i="3"/>
  <c r="CG328" i="3"/>
  <c r="CF328" i="3"/>
  <c r="CE328" i="3"/>
  <c r="CD328" i="3"/>
  <c r="CC328" i="3"/>
  <c r="CB328" i="3"/>
  <c r="CA328" i="3"/>
  <c r="BZ328" i="3"/>
  <c r="BY328" i="3"/>
  <c r="BX328" i="3"/>
  <c r="BW328" i="3"/>
  <c r="BV328" i="3"/>
  <c r="BU328" i="3"/>
  <c r="BT328" i="3"/>
  <c r="BS328" i="3"/>
  <c r="BR328" i="3"/>
  <c r="BQ328" i="3"/>
  <c r="BP328" i="3"/>
  <c r="BO328" i="3"/>
  <c r="BN328" i="3"/>
  <c r="BM328" i="3"/>
  <c r="BL328" i="3"/>
  <c r="BK328" i="3"/>
  <c r="BJ328" i="3"/>
  <c r="BI328" i="3"/>
  <c r="BH328" i="3"/>
  <c r="BG328" i="3"/>
  <c r="BF328" i="3"/>
  <c r="BE328" i="3"/>
  <c r="BD328" i="3"/>
  <c r="BC328" i="3"/>
  <c r="BB328" i="3"/>
  <c r="BA328" i="3"/>
  <c r="AZ328" i="3"/>
  <c r="AY328" i="3"/>
  <c r="AX328" i="3"/>
  <c r="AW328" i="3"/>
  <c r="AV328" i="3"/>
  <c r="AU328" i="3"/>
  <c r="AT328" i="3"/>
  <c r="CG327" i="3"/>
  <c r="CF327" i="3"/>
  <c r="CE327" i="3"/>
  <c r="CD327" i="3"/>
  <c r="CC327" i="3"/>
  <c r="CB327" i="3"/>
  <c r="CA327" i="3"/>
  <c r="BZ327" i="3"/>
  <c r="BY327" i="3"/>
  <c r="BX327" i="3"/>
  <c r="BW327" i="3"/>
  <c r="BV327" i="3"/>
  <c r="BU327" i="3"/>
  <c r="BT327" i="3"/>
  <c r="BS327" i="3"/>
  <c r="BR327" i="3"/>
  <c r="BQ327" i="3"/>
  <c r="BP327" i="3"/>
  <c r="BO327" i="3"/>
  <c r="BN327" i="3"/>
  <c r="BM327" i="3"/>
  <c r="BL327" i="3"/>
  <c r="BK327" i="3"/>
  <c r="BJ327" i="3"/>
  <c r="BI327" i="3"/>
  <c r="BH327" i="3"/>
  <c r="BG327" i="3"/>
  <c r="BF327" i="3"/>
  <c r="BE327" i="3"/>
  <c r="BD327" i="3"/>
  <c r="BC327" i="3"/>
  <c r="BB327" i="3"/>
  <c r="BA327" i="3"/>
  <c r="AZ327" i="3"/>
  <c r="AY327" i="3"/>
  <c r="AX327" i="3"/>
  <c r="AW327" i="3"/>
  <c r="AV327" i="3"/>
  <c r="AU327" i="3"/>
  <c r="AT327" i="3"/>
  <c r="CG326" i="3"/>
  <c r="CF326" i="3"/>
  <c r="CE326" i="3"/>
  <c r="CD326" i="3"/>
  <c r="CC326" i="3"/>
  <c r="CB326" i="3"/>
  <c r="CA326" i="3"/>
  <c r="BZ326" i="3"/>
  <c r="BY326" i="3"/>
  <c r="BX326" i="3"/>
  <c r="BW326" i="3"/>
  <c r="BV326" i="3"/>
  <c r="BU326" i="3"/>
  <c r="BT326" i="3"/>
  <c r="BS326" i="3"/>
  <c r="BR326" i="3"/>
  <c r="BQ326" i="3"/>
  <c r="BP326" i="3"/>
  <c r="BO326" i="3"/>
  <c r="BN326" i="3"/>
  <c r="BM326" i="3"/>
  <c r="BL326" i="3"/>
  <c r="BK326" i="3"/>
  <c r="BJ326" i="3"/>
  <c r="BI326" i="3"/>
  <c r="BH326" i="3"/>
  <c r="BG326" i="3"/>
  <c r="BF326" i="3"/>
  <c r="BE326" i="3"/>
  <c r="BD326" i="3"/>
  <c r="BC326" i="3"/>
  <c r="BB326" i="3"/>
  <c r="BA326" i="3"/>
  <c r="AZ326" i="3"/>
  <c r="AY326" i="3"/>
  <c r="AX326" i="3"/>
  <c r="AW326" i="3"/>
  <c r="AV326" i="3"/>
  <c r="AU326" i="3"/>
  <c r="AT326" i="3"/>
  <c r="CG325" i="3"/>
  <c r="CF325" i="3"/>
  <c r="CE325" i="3"/>
  <c r="CD325" i="3"/>
  <c r="CC325" i="3"/>
  <c r="CB325" i="3"/>
  <c r="CA325" i="3"/>
  <c r="BZ325" i="3"/>
  <c r="BY325" i="3"/>
  <c r="BX325" i="3"/>
  <c r="BW325" i="3"/>
  <c r="BV325" i="3"/>
  <c r="BU325" i="3"/>
  <c r="BT325" i="3"/>
  <c r="BS325" i="3"/>
  <c r="BR325" i="3"/>
  <c r="BQ325" i="3"/>
  <c r="BP325" i="3"/>
  <c r="BO325" i="3"/>
  <c r="BN325" i="3"/>
  <c r="BM325" i="3"/>
  <c r="BL325" i="3"/>
  <c r="BK325" i="3"/>
  <c r="BJ325" i="3"/>
  <c r="BI325" i="3"/>
  <c r="BH325" i="3"/>
  <c r="BG325" i="3"/>
  <c r="BF325" i="3"/>
  <c r="BE325" i="3"/>
  <c r="BD325" i="3"/>
  <c r="BC325" i="3"/>
  <c r="BB325" i="3"/>
  <c r="BA325" i="3"/>
  <c r="AZ325" i="3"/>
  <c r="AY325" i="3"/>
  <c r="AX325" i="3"/>
  <c r="AW325" i="3"/>
  <c r="AV325" i="3"/>
  <c r="AU325" i="3"/>
  <c r="AT325" i="3"/>
  <c r="CG324" i="3"/>
  <c r="CF324" i="3"/>
  <c r="CE324" i="3"/>
  <c r="CD324" i="3"/>
  <c r="CC324" i="3"/>
  <c r="CB324" i="3"/>
  <c r="CA324" i="3"/>
  <c r="BZ324" i="3"/>
  <c r="BY324" i="3"/>
  <c r="BX324" i="3"/>
  <c r="BW324" i="3"/>
  <c r="BV324" i="3"/>
  <c r="BU324" i="3"/>
  <c r="BT324" i="3"/>
  <c r="BS324" i="3"/>
  <c r="BR324" i="3"/>
  <c r="BQ324" i="3"/>
  <c r="BP324" i="3"/>
  <c r="BO324" i="3"/>
  <c r="BN324" i="3"/>
  <c r="BM324" i="3"/>
  <c r="BL324" i="3"/>
  <c r="BK324" i="3"/>
  <c r="BJ324" i="3"/>
  <c r="BI324" i="3"/>
  <c r="BH324" i="3"/>
  <c r="BG324" i="3"/>
  <c r="BF324" i="3"/>
  <c r="BE324" i="3"/>
  <c r="BD324" i="3"/>
  <c r="BC324" i="3"/>
  <c r="BB324" i="3"/>
  <c r="BA324" i="3"/>
  <c r="AZ324" i="3"/>
  <c r="AY324" i="3"/>
  <c r="AX324" i="3"/>
  <c r="AW324" i="3"/>
  <c r="AV324" i="3"/>
  <c r="AU324" i="3"/>
  <c r="AT324" i="3"/>
  <c r="CG323" i="3"/>
  <c r="CF323" i="3"/>
  <c r="CE323" i="3"/>
  <c r="CD323" i="3"/>
  <c r="CC323" i="3"/>
  <c r="CB323" i="3"/>
  <c r="CA323" i="3"/>
  <c r="BZ323" i="3"/>
  <c r="BY323" i="3"/>
  <c r="BX323" i="3"/>
  <c r="BW323" i="3"/>
  <c r="BV323" i="3"/>
  <c r="BU323" i="3"/>
  <c r="BT323" i="3"/>
  <c r="BS323" i="3"/>
  <c r="BR323" i="3"/>
  <c r="BQ323" i="3"/>
  <c r="BP323" i="3"/>
  <c r="BO323" i="3"/>
  <c r="BN323" i="3"/>
  <c r="BM323" i="3"/>
  <c r="BL323" i="3"/>
  <c r="BK323" i="3"/>
  <c r="BJ323" i="3"/>
  <c r="BI323" i="3"/>
  <c r="BH323" i="3"/>
  <c r="BG323" i="3"/>
  <c r="BF323" i="3"/>
  <c r="BE323" i="3"/>
  <c r="BD323" i="3"/>
  <c r="BC323" i="3"/>
  <c r="BB323" i="3"/>
  <c r="BA323" i="3"/>
  <c r="AZ323" i="3"/>
  <c r="AY323" i="3"/>
  <c r="AX323" i="3"/>
  <c r="AW323" i="3"/>
  <c r="AV323" i="3"/>
  <c r="AU323" i="3"/>
  <c r="AT323" i="3"/>
  <c r="CG322" i="3"/>
  <c r="CF322" i="3"/>
  <c r="CE322" i="3"/>
  <c r="CD322" i="3"/>
  <c r="CC322" i="3"/>
  <c r="CB322" i="3"/>
  <c r="CA322" i="3"/>
  <c r="BZ322" i="3"/>
  <c r="BY322" i="3"/>
  <c r="BX322" i="3"/>
  <c r="BW322" i="3"/>
  <c r="BV322" i="3"/>
  <c r="BU322" i="3"/>
  <c r="BT322" i="3"/>
  <c r="BS322" i="3"/>
  <c r="BR322" i="3"/>
  <c r="BQ322" i="3"/>
  <c r="BP322" i="3"/>
  <c r="BO322" i="3"/>
  <c r="BN322" i="3"/>
  <c r="BM322" i="3"/>
  <c r="BL322" i="3"/>
  <c r="BK322" i="3"/>
  <c r="BJ322" i="3"/>
  <c r="BI322" i="3"/>
  <c r="BH322" i="3"/>
  <c r="BG322" i="3"/>
  <c r="BF322" i="3"/>
  <c r="BE322" i="3"/>
  <c r="BD322" i="3"/>
  <c r="BC322" i="3"/>
  <c r="BB322" i="3"/>
  <c r="BA322" i="3"/>
  <c r="AZ322" i="3"/>
  <c r="AY322" i="3"/>
  <c r="AX322" i="3"/>
  <c r="AW322" i="3"/>
  <c r="AV322" i="3"/>
  <c r="AU322" i="3"/>
  <c r="AT322" i="3"/>
  <c r="CG321" i="3"/>
  <c r="CF321" i="3"/>
  <c r="CE321" i="3"/>
  <c r="CD321" i="3"/>
  <c r="CC321" i="3"/>
  <c r="CB321" i="3"/>
  <c r="CA321" i="3"/>
  <c r="BZ321" i="3"/>
  <c r="BY321" i="3"/>
  <c r="BX321" i="3"/>
  <c r="BW321" i="3"/>
  <c r="BV321" i="3"/>
  <c r="BU321" i="3"/>
  <c r="BT321" i="3"/>
  <c r="BS321" i="3"/>
  <c r="BR321" i="3"/>
  <c r="BQ321" i="3"/>
  <c r="BP321" i="3"/>
  <c r="BO321" i="3"/>
  <c r="BN321" i="3"/>
  <c r="BM321" i="3"/>
  <c r="BL321" i="3"/>
  <c r="BK321" i="3"/>
  <c r="BJ321" i="3"/>
  <c r="BI321" i="3"/>
  <c r="BH321" i="3"/>
  <c r="BG321" i="3"/>
  <c r="BF321" i="3"/>
  <c r="BE321" i="3"/>
  <c r="BD321" i="3"/>
  <c r="BC321" i="3"/>
  <c r="BB321" i="3"/>
  <c r="BA321" i="3"/>
  <c r="AZ321" i="3"/>
  <c r="AY321" i="3"/>
  <c r="AX321" i="3"/>
  <c r="AW321" i="3"/>
  <c r="AV321" i="3"/>
  <c r="AU321" i="3"/>
  <c r="AT321" i="3"/>
  <c r="CG320" i="3"/>
  <c r="CF320" i="3"/>
  <c r="CE320" i="3"/>
  <c r="CD320" i="3"/>
  <c r="CC320" i="3"/>
  <c r="CB320" i="3"/>
  <c r="CA320" i="3"/>
  <c r="BZ320" i="3"/>
  <c r="BY320" i="3"/>
  <c r="BX320" i="3"/>
  <c r="BW320" i="3"/>
  <c r="BV320" i="3"/>
  <c r="BU320" i="3"/>
  <c r="BT320" i="3"/>
  <c r="BS320" i="3"/>
  <c r="BR320" i="3"/>
  <c r="BQ320" i="3"/>
  <c r="BP320" i="3"/>
  <c r="BO320" i="3"/>
  <c r="BN320" i="3"/>
  <c r="BM320" i="3"/>
  <c r="BL320" i="3"/>
  <c r="BK320" i="3"/>
  <c r="BJ320" i="3"/>
  <c r="BI320" i="3"/>
  <c r="BH320" i="3"/>
  <c r="BG320" i="3"/>
  <c r="BF320" i="3"/>
  <c r="BE320" i="3"/>
  <c r="BD320" i="3"/>
  <c r="BC320" i="3"/>
  <c r="BB320" i="3"/>
  <c r="BA320" i="3"/>
  <c r="AZ320" i="3"/>
  <c r="AY320" i="3"/>
  <c r="AX320" i="3"/>
  <c r="AW320" i="3"/>
  <c r="AV320" i="3"/>
  <c r="AU320" i="3"/>
  <c r="AT320" i="3"/>
  <c r="CG319" i="3"/>
  <c r="CF319" i="3"/>
  <c r="CE319" i="3"/>
  <c r="CD319" i="3"/>
  <c r="CC319" i="3"/>
  <c r="CB319" i="3"/>
  <c r="CA319" i="3"/>
  <c r="BZ319" i="3"/>
  <c r="BY319" i="3"/>
  <c r="BX319" i="3"/>
  <c r="BW319" i="3"/>
  <c r="BV319" i="3"/>
  <c r="BU319" i="3"/>
  <c r="BT319" i="3"/>
  <c r="BS319" i="3"/>
  <c r="BR319" i="3"/>
  <c r="BQ319" i="3"/>
  <c r="BP319" i="3"/>
  <c r="BO319" i="3"/>
  <c r="BN319" i="3"/>
  <c r="BM319" i="3"/>
  <c r="BL319" i="3"/>
  <c r="BK319" i="3"/>
  <c r="BJ319" i="3"/>
  <c r="BI319" i="3"/>
  <c r="BH319" i="3"/>
  <c r="BG319" i="3"/>
  <c r="BF319" i="3"/>
  <c r="BE319" i="3"/>
  <c r="BD319" i="3"/>
  <c r="BC319" i="3"/>
  <c r="BB319" i="3"/>
  <c r="BA319" i="3"/>
  <c r="AZ319" i="3"/>
  <c r="AY319" i="3"/>
  <c r="AX319" i="3"/>
  <c r="AW319" i="3"/>
  <c r="AV319" i="3"/>
  <c r="AU319" i="3"/>
  <c r="AT319" i="3"/>
  <c r="CG318" i="3"/>
  <c r="CF318" i="3"/>
  <c r="CE318" i="3"/>
  <c r="CD318" i="3"/>
  <c r="CC318" i="3"/>
  <c r="CB318" i="3"/>
  <c r="CA318" i="3"/>
  <c r="BZ318" i="3"/>
  <c r="BY318" i="3"/>
  <c r="BX318" i="3"/>
  <c r="BW318" i="3"/>
  <c r="BV318" i="3"/>
  <c r="BU318" i="3"/>
  <c r="BT318" i="3"/>
  <c r="BS318" i="3"/>
  <c r="BR318" i="3"/>
  <c r="BQ318" i="3"/>
  <c r="BP318" i="3"/>
  <c r="BO318" i="3"/>
  <c r="BN318" i="3"/>
  <c r="BM318" i="3"/>
  <c r="BL318" i="3"/>
  <c r="BK318" i="3"/>
  <c r="BJ318" i="3"/>
  <c r="BI318" i="3"/>
  <c r="BH318" i="3"/>
  <c r="BG318" i="3"/>
  <c r="BF318" i="3"/>
  <c r="BE318" i="3"/>
  <c r="BD318" i="3"/>
  <c r="BC318" i="3"/>
  <c r="BB318" i="3"/>
  <c r="BA318" i="3"/>
  <c r="AZ318" i="3"/>
  <c r="AY318" i="3"/>
  <c r="AX318" i="3"/>
  <c r="AW318" i="3"/>
  <c r="AV318" i="3"/>
  <c r="AU318" i="3"/>
  <c r="AT318" i="3"/>
  <c r="CG317" i="3"/>
  <c r="CF317" i="3"/>
  <c r="CE317" i="3"/>
  <c r="CD317" i="3"/>
  <c r="CC317" i="3"/>
  <c r="CB317" i="3"/>
  <c r="CA317" i="3"/>
  <c r="BZ317" i="3"/>
  <c r="BY317" i="3"/>
  <c r="BX317" i="3"/>
  <c r="BW317" i="3"/>
  <c r="BV317" i="3"/>
  <c r="BU317" i="3"/>
  <c r="BT317" i="3"/>
  <c r="BS317" i="3"/>
  <c r="BR317" i="3"/>
  <c r="BQ317" i="3"/>
  <c r="BP317" i="3"/>
  <c r="BO317" i="3"/>
  <c r="BN317" i="3"/>
  <c r="BM317" i="3"/>
  <c r="BL317" i="3"/>
  <c r="BK317" i="3"/>
  <c r="BJ317" i="3"/>
  <c r="BI317" i="3"/>
  <c r="BH317" i="3"/>
  <c r="BG317" i="3"/>
  <c r="BF317" i="3"/>
  <c r="BE317" i="3"/>
  <c r="BD317" i="3"/>
  <c r="BC317" i="3"/>
  <c r="BB317" i="3"/>
  <c r="BA317" i="3"/>
  <c r="AZ317" i="3"/>
  <c r="AY317" i="3"/>
  <c r="AX317" i="3"/>
  <c r="AW317" i="3"/>
  <c r="AV317" i="3"/>
  <c r="AU317" i="3"/>
  <c r="AT317" i="3"/>
  <c r="CG316" i="3"/>
  <c r="CF316" i="3"/>
  <c r="CE316" i="3"/>
  <c r="CD316" i="3"/>
  <c r="CC316" i="3"/>
  <c r="CB316" i="3"/>
  <c r="CA316" i="3"/>
  <c r="BZ316" i="3"/>
  <c r="BY316" i="3"/>
  <c r="BX316" i="3"/>
  <c r="BW316" i="3"/>
  <c r="BV316" i="3"/>
  <c r="BU316" i="3"/>
  <c r="BT316" i="3"/>
  <c r="BS316" i="3"/>
  <c r="BR316" i="3"/>
  <c r="BQ316" i="3"/>
  <c r="BP316" i="3"/>
  <c r="BO316" i="3"/>
  <c r="BN316" i="3"/>
  <c r="BM316" i="3"/>
  <c r="BL316" i="3"/>
  <c r="BK316" i="3"/>
  <c r="BJ316" i="3"/>
  <c r="BI316" i="3"/>
  <c r="BH316" i="3"/>
  <c r="BG316" i="3"/>
  <c r="BF316" i="3"/>
  <c r="BE316" i="3"/>
  <c r="BD316" i="3"/>
  <c r="BC316" i="3"/>
  <c r="BB316" i="3"/>
  <c r="BA316" i="3"/>
  <c r="AZ316" i="3"/>
  <c r="AY316" i="3"/>
  <c r="AX316" i="3"/>
  <c r="AW316" i="3"/>
  <c r="AV316" i="3"/>
  <c r="AU316" i="3"/>
  <c r="AT316" i="3"/>
  <c r="CG315" i="3"/>
  <c r="CF315" i="3"/>
  <c r="CE315" i="3"/>
  <c r="CD315" i="3"/>
  <c r="CC315" i="3"/>
  <c r="CB315" i="3"/>
  <c r="CA315" i="3"/>
  <c r="BZ315" i="3"/>
  <c r="BY315" i="3"/>
  <c r="BX315" i="3"/>
  <c r="BW315" i="3"/>
  <c r="BV315" i="3"/>
  <c r="BU315" i="3"/>
  <c r="BT315" i="3"/>
  <c r="BS315" i="3"/>
  <c r="BR315" i="3"/>
  <c r="BQ315" i="3"/>
  <c r="BP315" i="3"/>
  <c r="BO315" i="3"/>
  <c r="BN315" i="3"/>
  <c r="BM315" i="3"/>
  <c r="BL315" i="3"/>
  <c r="BK315" i="3"/>
  <c r="BJ315" i="3"/>
  <c r="BI315" i="3"/>
  <c r="BH315" i="3"/>
  <c r="BG315" i="3"/>
  <c r="BF315" i="3"/>
  <c r="BE315" i="3"/>
  <c r="BD315" i="3"/>
  <c r="BC315" i="3"/>
  <c r="BB315" i="3"/>
  <c r="BA315" i="3"/>
  <c r="AZ315" i="3"/>
  <c r="AY315" i="3"/>
  <c r="AX315" i="3"/>
  <c r="AW315" i="3"/>
  <c r="AV315" i="3"/>
  <c r="AU315" i="3"/>
  <c r="AT315" i="3"/>
  <c r="CG314" i="3"/>
  <c r="CF314" i="3"/>
  <c r="CE314" i="3"/>
  <c r="CD314" i="3"/>
  <c r="CC314" i="3"/>
  <c r="CB314" i="3"/>
  <c r="CA314" i="3"/>
  <c r="BZ314" i="3"/>
  <c r="BY314" i="3"/>
  <c r="BX314" i="3"/>
  <c r="BW314" i="3"/>
  <c r="BV314" i="3"/>
  <c r="BU314" i="3"/>
  <c r="BT314" i="3"/>
  <c r="BS314" i="3"/>
  <c r="BR314" i="3"/>
  <c r="BQ314" i="3"/>
  <c r="BP314" i="3"/>
  <c r="BO314" i="3"/>
  <c r="BN314" i="3"/>
  <c r="BM314" i="3"/>
  <c r="BL314" i="3"/>
  <c r="BK314" i="3"/>
  <c r="BJ314" i="3"/>
  <c r="BI314" i="3"/>
  <c r="BH314" i="3"/>
  <c r="BG314" i="3"/>
  <c r="BF314" i="3"/>
  <c r="BE314" i="3"/>
  <c r="BD314" i="3"/>
  <c r="BC314" i="3"/>
  <c r="BB314" i="3"/>
  <c r="BA314" i="3"/>
  <c r="AZ314" i="3"/>
  <c r="AY314" i="3"/>
  <c r="AX314" i="3"/>
  <c r="AW314" i="3"/>
  <c r="AV314" i="3"/>
  <c r="AU314" i="3"/>
  <c r="AT314" i="3"/>
  <c r="CG313" i="3"/>
  <c r="CF313" i="3"/>
  <c r="CE313" i="3"/>
  <c r="CD313" i="3"/>
  <c r="CC313" i="3"/>
  <c r="CB313" i="3"/>
  <c r="CA313" i="3"/>
  <c r="BZ313" i="3"/>
  <c r="BY313" i="3"/>
  <c r="BX313" i="3"/>
  <c r="BW313" i="3"/>
  <c r="BV313" i="3"/>
  <c r="BU313" i="3"/>
  <c r="BT313" i="3"/>
  <c r="BS313" i="3"/>
  <c r="BR313" i="3"/>
  <c r="BQ313" i="3"/>
  <c r="BP313" i="3"/>
  <c r="BO313" i="3"/>
  <c r="BN313" i="3"/>
  <c r="BM313" i="3"/>
  <c r="BL313" i="3"/>
  <c r="BK313" i="3"/>
  <c r="BJ313" i="3"/>
  <c r="BI313" i="3"/>
  <c r="BH313" i="3"/>
  <c r="BG313" i="3"/>
  <c r="BF313" i="3"/>
  <c r="BE313" i="3"/>
  <c r="BD313" i="3"/>
  <c r="BC313" i="3"/>
  <c r="BB313" i="3"/>
  <c r="BA313" i="3"/>
  <c r="AZ313" i="3"/>
  <c r="AY313" i="3"/>
  <c r="AX313" i="3"/>
  <c r="AW313" i="3"/>
  <c r="AV313" i="3"/>
  <c r="AU313" i="3"/>
  <c r="AT313" i="3"/>
  <c r="CG312" i="3"/>
  <c r="CF312" i="3"/>
  <c r="CE312" i="3"/>
  <c r="CD312" i="3"/>
  <c r="CC312" i="3"/>
  <c r="CB312" i="3"/>
  <c r="CA312" i="3"/>
  <c r="BZ312" i="3"/>
  <c r="BY312" i="3"/>
  <c r="BX312" i="3"/>
  <c r="BW312" i="3"/>
  <c r="BV312" i="3"/>
  <c r="BU312" i="3"/>
  <c r="BT312" i="3"/>
  <c r="BS312" i="3"/>
  <c r="BR312" i="3"/>
  <c r="BQ312" i="3"/>
  <c r="BP312" i="3"/>
  <c r="BO312" i="3"/>
  <c r="BN312" i="3"/>
  <c r="BM312" i="3"/>
  <c r="BL312" i="3"/>
  <c r="BK312" i="3"/>
  <c r="BJ312" i="3"/>
  <c r="BI312" i="3"/>
  <c r="BH312" i="3"/>
  <c r="BG312" i="3"/>
  <c r="BF312" i="3"/>
  <c r="BE312" i="3"/>
  <c r="BD312" i="3"/>
  <c r="BC312" i="3"/>
  <c r="BB312" i="3"/>
  <c r="BA312" i="3"/>
  <c r="AZ312" i="3"/>
  <c r="AY312" i="3"/>
  <c r="AX312" i="3"/>
  <c r="AW312" i="3"/>
  <c r="AV312" i="3"/>
  <c r="AU312" i="3"/>
  <c r="AT312" i="3"/>
  <c r="CG311" i="3"/>
  <c r="CF311" i="3"/>
  <c r="CE311" i="3"/>
  <c r="CD311" i="3"/>
  <c r="CC311" i="3"/>
  <c r="CB311" i="3"/>
  <c r="CA311" i="3"/>
  <c r="BZ311" i="3"/>
  <c r="BY311" i="3"/>
  <c r="BX311" i="3"/>
  <c r="BW311" i="3"/>
  <c r="BV311" i="3"/>
  <c r="BU311" i="3"/>
  <c r="BT311" i="3"/>
  <c r="BS311" i="3"/>
  <c r="BR311" i="3"/>
  <c r="BQ311" i="3"/>
  <c r="BP311" i="3"/>
  <c r="BO311" i="3"/>
  <c r="BN311" i="3"/>
  <c r="BM311" i="3"/>
  <c r="BL311" i="3"/>
  <c r="BK311" i="3"/>
  <c r="BJ311" i="3"/>
  <c r="BI311" i="3"/>
  <c r="BH311" i="3"/>
  <c r="BG311" i="3"/>
  <c r="BF311" i="3"/>
  <c r="BE311" i="3"/>
  <c r="BD311" i="3"/>
  <c r="BC311" i="3"/>
  <c r="BB311" i="3"/>
  <c r="BA311" i="3"/>
  <c r="AZ311" i="3"/>
  <c r="AY311" i="3"/>
  <c r="AX311" i="3"/>
  <c r="AW311" i="3"/>
  <c r="AV311" i="3"/>
  <c r="AU311" i="3"/>
  <c r="AT311" i="3"/>
  <c r="CG310" i="3"/>
  <c r="CF310" i="3"/>
  <c r="CE310" i="3"/>
  <c r="CD310" i="3"/>
  <c r="CC310" i="3"/>
  <c r="CB310" i="3"/>
  <c r="CA310" i="3"/>
  <c r="BZ310" i="3"/>
  <c r="BY310" i="3"/>
  <c r="BX310" i="3"/>
  <c r="BW310" i="3"/>
  <c r="BV310" i="3"/>
  <c r="BU310" i="3"/>
  <c r="BT310" i="3"/>
  <c r="BS310" i="3"/>
  <c r="BR310" i="3"/>
  <c r="BQ310" i="3"/>
  <c r="BP310" i="3"/>
  <c r="BO310" i="3"/>
  <c r="BN310" i="3"/>
  <c r="BM310" i="3"/>
  <c r="BL310" i="3"/>
  <c r="BK310" i="3"/>
  <c r="BJ310" i="3"/>
  <c r="BI310" i="3"/>
  <c r="BH310" i="3"/>
  <c r="BG310" i="3"/>
  <c r="BF310" i="3"/>
  <c r="BE310" i="3"/>
  <c r="BD310" i="3"/>
  <c r="BC310" i="3"/>
  <c r="BB310" i="3"/>
  <c r="BA310" i="3"/>
  <c r="AZ310" i="3"/>
  <c r="AY310" i="3"/>
  <c r="AX310" i="3"/>
  <c r="AW310" i="3"/>
  <c r="AV310" i="3"/>
  <c r="AU310" i="3"/>
  <c r="AT310" i="3"/>
  <c r="CG309" i="3"/>
  <c r="CF309" i="3"/>
  <c r="CE309" i="3"/>
  <c r="CD309" i="3"/>
  <c r="CC309" i="3"/>
  <c r="CB309" i="3"/>
  <c r="CA309" i="3"/>
  <c r="BZ309" i="3"/>
  <c r="BY309" i="3"/>
  <c r="BX309" i="3"/>
  <c r="BW309" i="3"/>
  <c r="BV309" i="3"/>
  <c r="BU309" i="3"/>
  <c r="BT309" i="3"/>
  <c r="BS309" i="3"/>
  <c r="BR309" i="3"/>
  <c r="BQ309" i="3"/>
  <c r="BP309" i="3"/>
  <c r="BO309" i="3"/>
  <c r="BN309" i="3"/>
  <c r="BM309" i="3"/>
  <c r="BL309" i="3"/>
  <c r="BK309" i="3"/>
  <c r="BJ309" i="3"/>
  <c r="BI309" i="3"/>
  <c r="BH309" i="3"/>
  <c r="BG309" i="3"/>
  <c r="BF309" i="3"/>
  <c r="BE309" i="3"/>
  <c r="BD309" i="3"/>
  <c r="BC309" i="3"/>
  <c r="BB309" i="3"/>
  <c r="BA309" i="3"/>
  <c r="AZ309" i="3"/>
  <c r="AY309" i="3"/>
  <c r="AX309" i="3"/>
  <c r="AW309" i="3"/>
  <c r="AV309" i="3"/>
  <c r="AU309" i="3"/>
  <c r="AT309" i="3"/>
  <c r="CG308" i="3"/>
  <c r="CF308" i="3"/>
  <c r="CE308" i="3"/>
  <c r="CD308" i="3"/>
  <c r="CC308" i="3"/>
  <c r="CB308" i="3"/>
  <c r="CA308" i="3"/>
  <c r="BZ308" i="3"/>
  <c r="BY308" i="3"/>
  <c r="BX308" i="3"/>
  <c r="BW308" i="3"/>
  <c r="BV308" i="3"/>
  <c r="BU308" i="3"/>
  <c r="BT308" i="3"/>
  <c r="BS308" i="3"/>
  <c r="BR308" i="3"/>
  <c r="BQ308" i="3"/>
  <c r="BP308" i="3"/>
  <c r="BO308" i="3"/>
  <c r="BN308" i="3"/>
  <c r="BM308" i="3"/>
  <c r="BL308" i="3"/>
  <c r="BK308" i="3"/>
  <c r="BJ308" i="3"/>
  <c r="BI308" i="3"/>
  <c r="BH308" i="3"/>
  <c r="BG308" i="3"/>
  <c r="BF308" i="3"/>
  <c r="BE308" i="3"/>
  <c r="BD308" i="3"/>
  <c r="BC308" i="3"/>
  <c r="BB308" i="3"/>
  <c r="BA308" i="3"/>
  <c r="AZ308" i="3"/>
  <c r="AY308" i="3"/>
  <c r="AX308" i="3"/>
  <c r="AW308" i="3"/>
  <c r="AV308" i="3"/>
  <c r="AU308" i="3"/>
  <c r="AT308" i="3"/>
  <c r="CG307" i="3"/>
  <c r="CF307" i="3"/>
  <c r="CE307" i="3"/>
  <c r="CD307" i="3"/>
  <c r="CC307" i="3"/>
  <c r="CB307" i="3"/>
  <c r="CA307" i="3"/>
  <c r="BZ307" i="3"/>
  <c r="BY307" i="3"/>
  <c r="BX307" i="3"/>
  <c r="BW307" i="3"/>
  <c r="BV307" i="3"/>
  <c r="BU307" i="3"/>
  <c r="BT307" i="3"/>
  <c r="BS307" i="3"/>
  <c r="BR307" i="3"/>
  <c r="BQ307" i="3"/>
  <c r="BP307" i="3"/>
  <c r="BO307" i="3"/>
  <c r="BN307" i="3"/>
  <c r="BM307" i="3"/>
  <c r="BL307" i="3"/>
  <c r="BK307" i="3"/>
  <c r="BJ307" i="3"/>
  <c r="BI307" i="3"/>
  <c r="BH307" i="3"/>
  <c r="BG307" i="3"/>
  <c r="BF307" i="3"/>
  <c r="BE307" i="3"/>
  <c r="BD307" i="3"/>
  <c r="BC307" i="3"/>
  <c r="BB307" i="3"/>
  <c r="BA307" i="3"/>
  <c r="AZ307" i="3"/>
  <c r="AY307" i="3"/>
  <c r="AX307" i="3"/>
  <c r="AW307" i="3"/>
  <c r="AV307" i="3"/>
  <c r="AU307" i="3"/>
  <c r="AT307" i="3"/>
  <c r="CG306" i="3"/>
  <c r="CF306" i="3"/>
  <c r="CE306" i="3"/>
  <c r="CD306" i="3"/>
  <c r="CC306" i="3"/>
  <c r="CB306" i="3"/>
  <c r="CA306" i="3"/>
  <c r="BZ306" i="3"/>
  <c r="BY306" i="3"/>
  <c r="BX306" i="3"/>
  <c r="BW306" i="3"/>
  <c r="BV306" i="3"/>
  <c r="BU306" i="3"/>
  <c r="BT306" i="3"/>
  <c r="BS306" i="3"/>
  <c r="BR306" i="3"/>
  <c r="BQ306" i="3"/>
  <c r="BP306" i="3"/>
  <c r="BO306" i="3"/>
  <c r="BN306" i="3"/>
  <c r="BM306" i="3"/>
  <c r="BL306" i="3"/>
  <c r="BK306" i="3"/>
  <c r="BJ306" i="3"/>
  <c r="BI306" i="3"/>
  <c r="BH306" i="3"/>
  <c r="BG306" i="3"/>
  <c r="BF306" i="3"/>
  <c r="BE306" i="3"/>
  <c r="BD306" i="3"/>
  <c r="BC306" i="3"/>
  <c r="BB306" i="3"/>
  <c r="BA306" i="3"/>
  <c r="AZ306" i="3"/>
  <c r="AY306" i="3"/>
  <c r="AX306" i="3"/>
  <c r="AW306" i="3"/>
  <c r="AV306" i="3"/>
  <c r="AU306" i="3"/>
  <c r="AT306" i="3"/>
  <c r="CG305" i="3"/>
  <c r="CF305" i="3"/>
  <c r="CE305" i="3"/>
  <c r="CD305" i="3"/>
  <c r="CC305" i="3"/>
  <c r="CB305" i="3"/>
  <c r="CA305" i="3"/>
  <c r="BZ305" i="3"/>
  <c r="BY305" i="3"/>
  <c r="BX305" i="3"/>
  <c r="BW305" i="3"/>
  <c r="BV305" i="3"/>
  <c r="BU305" i="3"/>
  <c r="BT305" i="3"/>
  <c r="BS305" i="3"/>
  <c r="BR305" i="3"/>
  <c r="BQ305" i="3"/>
  <c r="BP305" i="3"/>
  <c r="BO305" i="3"/>
  <c r="BN305" i="3"/>
  <c r="BM305" i="3"/>
  <c r="BL305" i="3"/>
  <c r="BK305" i="3"/>
  <c r="BJ305" i="3"/>
  <c r="BI305" i="3"/>
  <c r="BH305" i="3"/>
  <c r="BG305" i="3"/>
  <c r="BF305" i="3"/>
  <c r="BE305" i="3"/>
  <c r="BD305" i="3"/>
  <c r="BC305" i="3"/>
  <c r="BB305" i="3"/>
  <c r="BA305" i="3"/>
  <c r="AZ305" i="3"/>
  <c r="AY305" i="3"/>
  <c r="AX305" i="3"/>
  <c r="AW305" i="3"/>
  <c r="AV305" i="3"/>
  <c r="AU305" i="3"/>
  <c r="AT305" i="3"/>
  <c r="CG304" i="3"/>
  <c r="CF304" i="3"/>
  <c r="CE304" i="3"/>
  <c r="CD304" i="3"/>
  <c r="CC304" i="3"/>
  <c r="CB304" i="3"/>
  <c r="CA304" i="3"/>
  <c r="BZ304" i="3"/>
  <c r="BY304" i="3"/>
  <c r="BX304" i="3"/>
  <c r="BW304" i="3"/>
  <c r="BV304" i="3"/>
  <c r="BU304" i="3"/>
  <c r="BT304" i="3"/>
  <c r="BS304" i="3"/>
  <c r="BR304" i="3"/>
  <c r="BQ304" i="3"/>
  <c r="BP304" i="3"/>
  <c r="BO304" i="3"/>
  <c r="BN304" i="3"/>
  <c r="BM304" i="3"/>
  <c r="BL304" i="3"/>
  <c r="BK304" i="3"/>
  <c r="BJ304" i="3"/>
  <c r="BI304" i="3"/>
  <c r="BH304" i="3"/>
  <c r="BG304" i="3"/>
  <c r="BF304" i="3"/>
  <c r="BE304" i="3"/>
  <c r="BD304" i="3"/>
  <c r="BC304" i="3"/>
  <c r="BB304" i="3"/>
  <c r="BA304" i="3"/>
  <c r="AZ304" i="3"/>
  <c r="AY304" i="3"/>
  <c r="AX304" i="3"/>
  <c r="AW304" i="3"/>
  <c r="AV304" i="3"/>
  <c r="AU304" i="3"/>
  <c r="AT304" i="3"/>
  <c r="CG303" i="3"/>
  <c r="CF303" i="3"/>
  <c r="CE303" i="3"/>
  <c r="CD303" i="3"/>
  <c r="CC303" i="3"/>
  <c r="CB303" i="3"/>
  <c r="CA303" i="3"/>
  <c r="BZ303" i="3"/>
  <c r="BY303" i="3"/>
  <c r="BX303" i="3"/>
  <c r="BW303" i="3"/>
  <c r="BV303" i="3"/>
  <c r="BU303" i="3"/>
  <c r="BT303" i="3"/>
  <c r="BS303" i="3"/>
  <c r="BR303" i="3"/>
  <c r="BQ303" i="3"/>
  <c r="BP303" i="3"/>
  <c r="BO303" i="3"/>
  <c r="BN303" i="3"/>
  <c r="BM303" i="3"/>
  <c r="BL303" i="3"/>
  <c r="BK303" i="3"/>
  <c r="BJ303" i="3"/>
  <c r="BI303" i="3"/>
  <c r="BH303" i="3"/>
  <c r="BG303" i="3"/>
  <c r="BF303" i="3"/>
  <c r="BE303" i="3"/>
  <c r="BD303" i="3"/>
  <c r="BC303" i="3"/>
  <c r="BB303" i="3"/>
  <c r="BA303" i="3"/>
  <c r="AZ303" i="3"/>
  <c r="AY303" i="3"/>
  <c r="AX303" i="3"/>
  <c r="AW303" i="3"/>
  <c r="AV303" i="3"/>
  <c r="AU303" i="3"/>
  <c r="AT303" i="3"/>
  <c r="CG302" i="3"/>
  <c r="CF302" i="3"/>
  <c r="CE302" i="3"/>
  <c r="CD302" i="3"/>
  <c r="CC302" i="3"/>
  <c r="CB302" i="3"/>
  <c r="CA302" i="3"/>
  <c r="BZ302" i="3"/>
  <c r="BY302" i="3"/>
  <c r="BX302" i="3"/>
  <c r="BW302" i="3"/>
  <c r="BV302" i="3"/>
  <c r="BU302" i="3"/>
  <c r="BT302" i="3"/>
  <c r="BS302" i="3"/>
  <c r="BR302" i="3"/>
  <c r="BQ302" i="3"/>
  <c r="BP302" i="3"/>
  <c r="BO302" i="3"/>
  <c r="BN302" i="3"/>
  <c r="BM302" i="3"/>
  <c r="BL302" i="3"/>
  <c r="BK302" i="3"/>
  <c r="BJ302" i="3"/>
  <c r="BI302" i="3"/>
  <c r="BH302" i="3"/>
  <c r="BG302" i="3"/>
  <c r="BF302" i="3"/>
  <c r="BE302" i="3"/>
  <c r="BD302" i="3"/>
  <c r="BC302" i="3"/>
  <c r="BB302" i="3"/>
  <c r="BA302" i="3"/>
  <c r="AZ302" i="3"/>
  <c r="AY302" i="3"/>
  <c r="AX302" i="3"/>
  <c r="AW302" i="3"/>
  <c r="AV302" i="3"/>
  <c r="AU302" i="3"/>
  <c r="AT302" i="3"/>
  <c r="CG301" i="3"/>
  <c r="CF301" i="3"/>
  <c r="CE301" i="3"/>
  <c r="CD301" i="3"/>
  <c r="CC301" i="3"/>
  <c r="CB301" i="3"/>
  <c r="CA301" i="3"/>
  <c r="BZ301" i="3"/>
  <c r="BY301" i="3"/>
  <c r="BX301" i="3"/>
  <c r="BW301" i="3"/>
  <c r="BV301" i="3"/>
  <c r="BU301" i="3"/>
  <c r="BT301" i="3"/>
  <c r="BS301" i="3"/>
  <c r="BR301" i="3"/>
  <c r="BQ301" i="3"/>
  <c r="BP301" i="3"/>
  <c r="BO301" i="3"/>
  <c r="BN301" i="3"/>
  <c r="BM301" i="3"/>
  <c r="BL301" i="3"/>
  <c r="BK301" i="3"/>
  <c r="BJ301" i="3"/>
  <c r="BI301" i="3"/>
  <c r="BH301" i="3"/>
  <c r="BG301" i="3"/>
  <c r="BF301" i="3"/>
  <c r="BE301" i="3"/>
  <c r="BD301" i="3"/>
  <c r="BC301" i="3"/>
  <c r="BB301" i="3"/>
  <c r="BA301" i="3"/>
  <c r="AZ301" i="3"/>
  <c r="AY301" i="3"/>
  <c r="AX301" i="3"/>
  <c r="AW301" i="3"/>
  <c r="AV301" i="3"/>
  <c r="AU301" i="3"/>
  <c r="AT301" i="3"/>
  <c r="CG300" i="3"/>
  <c r="CF300" i="3"/>
  <c r="CE300" i="3"/>
  <c r="CD300" i="3"/>
  <c r="CC300" i="3"/>
  <c r="CB300" i="3"/>
  <c r="CA300" i="3"/>
  <c r="BZ300" i="3"/>
  <c r="BY300" i="3"/>
  <c r="BX300" i="3"/>
  <c r="BW300" i="3"/>
  <c r="BV300" i="3"/>
  <c r="BU300" i="3"/>
  <c r="BT300" i="3"/>
  <c r="BS300" i="3"/>
  <c r="BR300" i="3"/>
  <c r="BQ300" i="3"/>
  <c r="BP300" i="3"/>
  <c r="BO300" i="3"/>
  <c r="BN300" i="3"/>
  <c r="BM300" i="3"/>
  <c r="BL300" i="3"/>
  <c r="BK300" i="3"/>
  <c r="BJ300" i="3"/>
  <c r="BI300" i="3"/>
  <c r="BH300" i="3"/>
  <c r="BG300" i="3"/>
  <c r="BF300" i="3"/>
  <c r="BE300" i="3"/>
  <c r="BD300" i="3"/>
  <c r="BC300" i="3"/>
  <c r="BB300" i="3"/>
  <c r="BA300" i="3"/>
  <c r="AZ300" i="3"/>
  <c r="AY300" i="3"/>
  <c r="AX300" i="3"/>
  <c r="AW300" i="3"/>
  <c r="AV300" i="3"/>
  <c r="AU300" i="3"/>
  <c r="AT300" i="3"/>
  <c r="CG299" i="3"/>
  <c r="CF299" i="3"/>
  <c r="CE299" i="3"/>
  <c r="CD299" i="3"/>
  <c r="CC299" i="3"/>
  <c r="CB299" i="3"/>
  <c r="CA299" i="3"/>
  <c r="BZ299" i="3"/>
  <c r="BY299" i="3"/>
  <c r="BX299" i="3"/>
  <c r="BW299" i="3"/>
  <c r="BV299" i="3"/>
  <c r="BU299" i="3"/>
  <c r="BT299" i="3"/>
  <c r="BS299" i="3"/>
  <c r="BR299" i="3"/>
  <c r="BQ299" i="3"/>
  <c r="BP299" i="3"/>
  <c r="BO299" i="3"/>
  <c r="BN299" i="3"/>
  <c r="BM299" i="3"/>
  <c r="BL299" i="3"/>
  <c r="BK299" i="3"/>
  <c r="BJ299" i="3"/>
  <c r="BI299" i="3"/>
  <c r="BH299" i="3"/>
  <c r="BG299" i="3"/>
  <c r="BF299" i="3"/>
  <c r="BE299" i="3"/>
  <c r="BD299" i="3"/>
  <c r="BC299" i="3"/>
  <c r="BB299" i="3"/>
  <c r="BA299" i="3"/>
  <c r="AZ299" i="3"/>
  <c r="AY299" i="3"/>
  <c r="AX299" i="3"/>
  <c r="AW299" i="3"/>
  <c r="AV299" i="3"/>
  <c r="AU299" i="3"/>
  <c r="AT299" i="3"/>
  <c r="CG298" i="3"/>
  <c r="CF298" i="3"/>
  <c r="CE298" i="3"/>
  <c r="CD298" i="3"/>
  <c r="CC298" i="3"/>
  <c r="CB298" i="3"/>
  <c r="CA298" i="3"/>
  <c r="BZ298" i="3"/>
  <c r="BY298" i="3"/>
  <c r="BX298" i="3"/>
  <c r="BW298" i="3"/>
  <c r="BV298" i="3"/>
  <c r="BU298" i="3"/>
  <c r="BT298" i="3"/>
  <c r="BS298" i="3"/>
  <c r="BR298" i="3"/>
  <c r="BQ298" i="3"/>
  <c r="BP298" i="3"/>
  <c r="BO298" i="3"/>
  <c r="BN298" i="3"/>
  <c r="BM298" i="3"/>
  <c r="BL298" i="3"/>
  <c r="BK298" i="3"/>
  <c r="BJ298" i="3"/>
  <c r="BI298" i="3"/>
  <c r="BH298" i="3"/>
  <c r="BG298" i="3"/>
  <c r="BF298" i="3"/>
  <c r="BE298" i="3"/>
  <c r="BD298" i="3"/>
  <c r="BC298" i="3"/>
  <c r="BB298" i="3"/>
  <c r="BA298" i="3"/>
  <c r="AZ298" i="3"/>
  <c r="AY298" i="3"/>
  <c r="AX298" i="3"/>
  <c r="AW298" i="3"/>
  <c r="AV298" i="3"/>
  <c r="AU298" i="3"/>
  <c r="AT298" i="3"/>
  <c r="CG297" i="3"/>
  <c r="CF297" i="3"/>
  <c r="CE297" i="3"/>
  <c r="CD297" i="3"/>
  <c r="CC297" i="3"/>
  <c r="CB297" i="3"/>
  <c r="CA297" i="3"/>
  <c r="BZ297" i="3"/>
  <c r="BY297" i="3"/>
  <c r="BX297" i="3"/>
  <c r="BW297" i="3"/>
  <c r="BV297" i="3"/>
  <c r="BU297" i="3"/>
  <c r="BT297" i="3"/>
  <c r="BS297" i="3"/>
  <c r="BR297" i="3"/>
  <c r="BQ297" i="3"/>
  <c r="BP297" i="3"/>
  <c r="BO297" i="3"/>
  <c r="BN297" i="3"/>
  <c r="BM297" i="3"/>
  <c r="BL297" i="3"/>
  <c r="BK297" i="3"/>
  <c r="BJ297" i="3"/>
  <c r="BI297" i="3"/>
  <c r="BH297" i="3"/>
  <c r="BG297" i="3"/>
  <c r="BF297" i="3"/>
  <c r="BE297" i="3"/>
  <c r="BD297" i="3"/>
  <c r="BC297" i="3"/>
  <c r="BB297" i="3"/>
  <c r="BA297" i="3"/>
  <c r="AZ297" i="3"/>
  <c r="AY297" i="3"/>
  <c r="AX297" i="3"/>
  <c r="AW297" i="3"/>
  <c r="AV297" i="3"/>
  <c r="AU297" i="3"/>
  <c r="AT297" i="3"/>
  <c r="CG296" i="3"/>
  <c r="CF296" i="3"/>
  <c r="CE296" i="3"/>
  <c r="CD296" i="3"/>
  <c r="CC296" i="3"/>
  <c r="CB296" i="3"/>
  <c r="CA296" i="3"/>
  <c r="BZ296" i="3"/>
  <c r="BY296" i="3"/>
  <c r="BX296" i="3"/>
  <c r="BW296" i="3"/>
  <c r="BV296" i="3"/>
  <c r="BU296" i="3"/>
  <c r="BT296" i="3"/>
  <c r="BS296" i="3"/>
  <c r="BR296" i="3"/>
  <c r="BQ296" i="3"/>
  <c r="BP296" i="3"/>
  <c r="BO296" i="3"/>
  <c r="BN296" i="3"/>
  <c r="BM296" i="3"/>
  <c r="BL296" i="3"/>
  <c r="BK296" i="3"/>
  <c r="BJ296" i="3"/>
  <c r="BI296" i="3"/>
  <c r="BH296" i="3"/>
  <c r="BG296" i="3"/>
  <c r="BF296" i="3"/>
  <c r="BE296" i="3"/>
  <c r="BD296" i="3"/>
  <c r="BC296" i="3"/>
  <c r="BB296" i="3"/>
  <c r="BA296" i="3"/>
  <c r="AZ296" i="3"/>
  <c r="AY296" i="3"/>
  <c r="AX296" i="3"/>
  <c r="AW296" i="3"/>
  <c r="AV296" i="3"/>
  <c r="AU296" i="3"/>
  <c r="AT296" i="3"/>
  <c r="CG295" i="3"/>
  <c r="CF295" i="3"/>
  <c r="CE295" i="3"/>
  <c r="CD295" i="3"/>
  <c r="CC295" i="3"/>
  <c r="CB295" i="3"/>
  <c r="CA295" i="3"/>
  <c r="BZ295" i="3"/>
  <c r="BY295" i="3"/>
  <c r="BX295" i="3"/>
  <c r="BW295" i="3"/>
  <c r="BV295" i="3"/>
  <c r="BU295" i="3"/>
  <c r="BT295" i="3"/>
  <c r="BS295" i="3"/>
  <c r="BR295" i="3"/>
  <c r="BQ295" i="3"/>
  <c r="BP295" i="3"/>
  <c r="BO295" i="3"/>
  <c r="BN295" i="3"/>
  <c r="BM295" i="3"/>
  <c r="BL295" i="3"/>
  <c r="BK295" i="3"/>
  <c r="BJ295" i="3"/>
  <c r="BI295" i="3"/>
  <c r="BH295" i="3"/>
  <c r="BG295" i="3"/>
  <c r="BF295" i="3"/>
  <c r="BE295" i="3"/>
  <c r="BD295" i="3"/>
  <c r="BC295" i="3"/>
  <c r="BB295" i="3"/>
  <c r="BA295" i="3"/>
  <c r="AZ295" i="3"/>
  <c r="AY295" i="3"/>
  <c r="AX295" i="3"/>
  <c r="AW295" i="3"/>
  <c r="AV295" i="3"/>
  <c r="AU295" i="3"/>
  <c r="AT295" i="3"/>
  <c r="CG294" i="3"/>
  <c r="CF294" i="3"/>
  <c r="CE294" i="3"/>
  <c r="CD294" i="3"/>
  <c r="CC294" i="3"/>
  <c r="CB294" i="3"/>
  <c r="CA294" i="3"/>
  <c r="BZ294" i="3"/>
  <c r="BY294" i="3"/>
  <c r="BX294" i="3"/>
  <c r="BW294" i="3"/>
  <c r="BV294" i="3"/>
  <c r="BU294" i="3"/>
  <c r="BT294" i="3"/>
  <c r="BS294" i="3"/>
  <c r="BR294" i="3"/>
  <c r="BQ294" i="3"/>
  <c r="BP294" i="3"/>
  <c r="BO294" i="3"/>
  <c r="BN294" i="3"/>
  <c r="BM294" i="3"/>
  <c r="BL294" i="3"/>
  <c r="BK294" i="3"/>
  <c r="BJ294" i="3"/>
  <c r="BI294" i="3"/>
  <c r="BH294" i="3"/>
  <c r="BG294" i="3"/>
  <c r="BF294" i="3"/>
  <c r="BE294" i="3"/>
  <c r="BD294" i="3"/>
  <c r="BC294" i="3"/>
  <c r="BB294" i="3"/>
  <c r="BA294" i="3"/>
  <c r="AZ294" i="3"/>
  <c r="AY294" i="3"/>
  <c r="AX294" i="3"/>
  <c r="AW294" i="3"/>
  <c r="AV294" i="3"/>
  <c r="AU294" i="3"/>
  <c r="AT294" i="3"/>
  <c r="A294" i="3"/>
  <c r="CG293" i="3"/>
  <c r="CF293" i="3"/>
  <c r="CE293" i="3"/>
  <c r="CD293" i="3"/>
  <c r="CC293" i="3"/>
  <c r="CB293" i="3"/>
  <c r="CA293" i="3"/>
  <c r="BZ293" i="3"/>
  <c r="BY293" i="3"/>
  <c r="BX293" i="3"/>
  <c r="BW293" i="3"/>
  <c r="BV293" i="3"/>
  <c r="BU293" i="3"/>
  <c r="BT293" i="3"/>
  <c r="BS293" i="3"/>
  <c r="BR293" i="3"/>
  <c r="BQ293" i="3"/>
  <c r="BP293" i="3"/>
  <c r="BO293" i="3"/>
  <c r="BN293" i="3"/>
  <c r="BM293" i="3"/>
  <c r="BL293" i="3"/>
  <c r="BK293" i="3"/>
  <c r="BJ293" i="3"/>
  <c r="BI293" i="3"/>
  <c r="BH293" i="3"/>
  <c r="BG293" i="3"/>
  <c r="BF293" i="3"/>
  <c r="BE293" i="3"/>
  <c r="BD293" i="3"/>
  <c r="BC293" i="3"/>
  <c r="BB293" i="3"/>
  <c r="BA293" i="3"/>
  <c r="AZ293" i="3"/>
  <c r="AY293" i="3"/>
  <c r="AX293" i="3"/>
  <c r="AW293" i="3"/>
  <c r="AV293" i="3"/>
  <c r="AU293" i="3"/>
  <c r="AT293" i="3"/>
  <c r="B293" i="3"/>
  <c r="B379" i="3" s="1"/>
  <c r="A293" i="3"/>
  <c r="CG292" i="3"/>
  <c r="CF292" i="3"/>
  <c r="CE292" i="3"/>
  <c r="CD292" i="3"/>
  <c r="CC292" i="3"/>
  <c r="CB292" i="3"/>
  <c r="CA292" i="3"/>
  <c r="BZ292" i="3"/>
  <c r="BY292" i="3"/>
  <c r="BX292" i="3"/>
  <c r="BW292" i="3"/>
  <c r="BV292" i="3"/>
  <c r="BU292" i="3"/>
  <c r="BT292" i="3"/>
  <c r="BS292" i="3"/>
  <c r="BR292" i="3"/>
  <c r="BQ292" i="3"/>
  <c r="BP292" i="3"/>
  <c r="BO292" i="3"/>
  <c r="BN292" i="3"/>
  <c r="BM292" i="3"/>
  <c r="BL292" i="3"/>
  <c r="BK292" i="3"/>
  <c r="BJ292" i="3"/>
  <c r="BI292" i="3"/>
  <c r="BH292" i="3"/>
  <c r="BG292" i="3"/>
  <c r="BF292" i="3"/>
  <c r="BE292" i="3"/>
  <c r="BD292" i="3"/>
  <c r="BC292" i="3"/>
  <c r="BB292" i="3"/>
  <c r="BA292" i="3"/>
  <c r="AZ292" i="3"/>
  <c r="AY292" i="3"/>
  <c r="AX292" i="3"/>
  <c r="AW292" i="3"/>
  <c r="AV292" i="3"/>
  <c r="AU292" i="3"/>
  <c r="AT292" i="3"/>
  <c r="B292" i="3"/>
  <c r="A292" i="3"/>
  <c r="CG291" i="3"/>
  <c r="CF291" i="3"/>
  <c r="CE291" i="3"/>
  <c r="CD291" i="3"/>
  <c r="CC291" i="3"/>
  <c r="CB291" i="3"/>
  <c r="CA291" i="3"/>
  <c r="BZ291" i="3"/>
  <c r="BY291" i="3"/>
  <c r="BX291" i="3"/>
  <c r="BW291" i="3"/>
  <c r="BV291" i="3"/>
  <c r="BU291" i="3"/>
  <c r="BT291" i="3"/>
  <c r="BS291" i="3"/>
  <c r="BR291" i="3"/>
  <c r="BQ291" i="3"/>
  <c r="BP291" i="3"/>
  <c r="BO291" i="3"/>
  <c r="BN291" i="3"/>
  <c r="BM291" i="3"/>
  <c r="BL291" i="3"/>
  <c r="BK291" i="3"/>
  <c r="BJ291" i="3"/>
  <c r="BI291" i="3"/>
  <c r="BH291" i="3"/>
  <c r="BG291" i="3"/>
  <c r="BF291" i="3"/>
  <c r="BE291" i="3"/>
  <c r="BD291" i="3"/>
  <c r="BC291" i="3"/>
  <c r="BB291" i="3"/>
  <c r="BA291" i="3"/>
  <c r="AZ291" i="3"/>
  <c r="AY291" i="3"/>
  <c r="AX291" i="3"/>
  <c r="AW291" i="3"/>
  <c r="AV291" i="3"/>
  <c r="AU291" i="3"/>
  <c r="AT291" i="3"/>
  <c r="B291" i="3"/>
  <c r="C292" i="3" s="1"/>
  <c r="A291" i="3"/>
  <c r="CG290" i="3"/>
  <c r="CF290" i="3"/>
  <c r="CE290" i="3"/>
  <c r="CD290" i="3"/>
  <c r="CC290" i="3"/>
  <c r="CB290" i="3"/>
  <c r="CA290" i="3"/>
  <c r="BZ290" i="3"/>
  <c r="BY290" i="3"/>
  <c r="BX290" i="3"/>
  <c r="BW290" i="3"/>
  <c r="BV290" i="3"/>
  <c r="BU290" i="3"/>
  <c r="BT290" i="3"/>
  <c r="BS290" i="3"/>
  <c r="BR290" i="3"/>
  <c r="BQ290" i="3"/>
  <c r="BP290" i="3"/>
  <c r="BO290" i="3"/>
  <c r="BN290" i="3"/>
  <c r="BM290" i="3"/>
  <c r="BL290" i="3"/>
  <c r="BK290" i="3"/>
  <c r="BJ290" i="3"/>
  <c r="BI290" i="3"/>
  <c r="BH290" i="3"/>
  <c r="BG290" i="3"/>
  <c r="BF290" i="3"/>
  <c r="BE290" i="3"/>
  <c r="BD290" i="3"/>
  <c r="BC290" i="3"/>
  <c r="BB290" i="3"/>
  <c r="BA290" i="3"/>
  <c r="AZ290" i="3"/>
  <c r="AY290" i="3"/>
  <c r="AX290" i="3"/>
  <c r="AW290" i="3"/>
  <c r="AV290" i="3"/>
  <c r="AU290" i="3"/>
  <c r="AT290" i="3"/>
  <c r="C290" i="3"/>
  <c r="B290" i="3"/>
  <c r="A290" i="3"/>
  <c r="CG289" i="3"/>
  <c r="CF289" i="3"/>
  <c r="CE289" i="3"/>
  <c r="CD289" i="3"/>
  <c r="CC289" i="3"/>
  <c r="CB289" i="3"/>
  <c r="CA289" i="3"/>
  <c r="BZ289" i="3"/>
  <c r="BY289" i="3"/>
  <c r="BX289" i="3"/>
  <c r="BW289" i="3"/>
  <c r="BV289" i="3"/>
  <c r="BU289" i="3"/>
  <c r="BT289" i="3"/>
  <c r="BS289" i="3"/>
  <c r="BR289" i="3"/>
  <c r="BQ289" i="3"/>
  <c r="BP289" i="3"/>
  <c r="BO289" i="3"/>
  <c r="BN289" i="3"/>
  <c r="BM289" i="3"/>
  <c r="BL289" i="3"/>
  <c r="BK289" i="3"/>
  <c r="BJ289" i="3"/>
  <c r="BI289" i="3"/>
  <c r="BH289" i="3"/>
  <c r="BG289" i="3"/>
  <c r="BF289" i="3"/>
  <c r="BE289" i="3"/>
  <c r="BD289" i="3"/>
  <c r="BC289" i="3"/>
  <c r="BB289" i="3"/>
  <c r="BA289" i="3"/>
  <c r="AZ289" i="3"/>
  <c r="AY289" i="3"/>
  <c r="AX289" i="3"/>
  <c r="AW289" i="3"/>
  <c r="AV289" i="3"/>
  <c r="AU289" i="3"/>
  <c r="AT289" i="3"/>
  <c r="B289" i="3"/>
  <c r="A289" i="3"/>
  <c r="CG288" i="3"/>
  <c r="CF288" i="3"/>
  <c r="CE288" i="3"/>
  <c r="CD288" i="3"/>
  <c r="CC288" i="3"/>
  <c r="CB288" i="3"/>
  <c r="CA288" i="3"/>
  <c r="BZ288" i="3"/>
  <c r="BY288" i="3"/>
  <c r="BX288" i="3"/>
  <c r="BW288" i="3"/>
  <c r="BV288" i="3"/>
  <c r="BU288" i="3"/>
  <c r="BT288" i="3"/>
  <c r="BS288" i="3"/>
  <c r="BR288" i="3"/>
  <c r="BQ288" i="3"/>
  <c r="BP288" i="3"/>
  <c r="BO288" i="3"/>
  <c r="BN288" i="3"/>
  <c r="BM288" i="3"/>
  <c r="BL288" i="3"/>
  <c r="BK288" i="3"/>
  <c r="BJ288" i="3"/>
  <c r="BI288" i="3"/>
  <c r="BH288" i="3"/>
  <c r="BG288" i="3"/>
  <c r="BF288" i="3"/>
  <c r="BE288" i="3"/>
  <c r="BD288" i="3"/>
  <c r="BC288" i="3"/>
  <c r="BB288" i="3"/>
  <c r="BA288" i="3"/>
  <c r="AZ288" i="3"/>
  <c r="AY288" i="3"/>
  <c r="AX288" i="3"/>
  <c r="AW288" i="3"/>
  <c r="AV288" i="3"/>
  <c r="AU288" i="3"/>
  <c r="AT288" i="3"/>
  <c r="CG287" i="3"/>
  <c r="CF287" i="3"/>
  <c r="CE287" i="3"/>
  <c r="CD287" i="3"/>
  <c r="CC287" i="3"/>
  <c r="CB287" i="3"/>
  <c r="CA287" i="3"/>
  <c r="BZ287" i="3"/>
  <c r="BY287" i="3"/>
  <c r="BX287" i="3"/>
  <c r="BW287" i="3"/>
  <c r="BV287" i="3"/>
  <c r="BU287" i="3"/>
  <c r="BT287" i="3"/>
  <c r="BS287" i="3"/>
  <c r="BR287" i="3"/>
  <c r="BQ287" i="3"/>
  <c r="BP287" i="3"/>
  <c r="BO287" i="3"/>
  <c r="BN287" i="3"/>
  <c r="BM287" i="3"/>
  <c r="BL287" i="3"/>
  <c r="BK287" i="3"/>
  <c r="BJ287" i="3"/>
  <c r="BI287" i="3"/>
  <c r="BH287" i="3"/>
  <c r="BG287" i="3"/>
  <c r="BF287" i="3"/>
  <c r="BE287" i="3"/>
  <c r="BD287" i="3"/>
  <c r="BC287" i="3"/>
  <c r="BB287" i="3"/>
  <c r="BA287" i="3"/>
  <c r="AZ287" i="3"/>
  <c r="AY287" i="3"/>
  <c r="AX287" i="3"/>
  <c r="AW287" i="3"/>
  <c r="AV287" i="3"/>
  <c r="AU287" i="3"/>
  <c r="AT287" i="3"/>
  <c r="A287" i="3"/>
  <c r="CG286" i="3"/>
  <c r="CF286" i="3"/>
  <c r="CE286" i="3"/>
  <c r="CD286" i="3"/>
  <c r="CC286" i="3"/>
  <c r="CB286" i="3"/>
  <c r="CA286" i="3"/>
  <c r="BZ286" i="3"/>
  <c r="BY286" i="3"/>
  <c r="BX286" i="3"/>
  <c r="BW286" i="3"/>
  <c r="BV286" i="3"/>
  <c r="BU286" i="3"/>
  <c r="BT286" i="3"/>
  <c r="BS286" i="3"/>
  <c r="BR286" i="3"/>
  <c r="BQ286" i="3"/>
  <c r="BP286" i="3"/>
  <c r="BO286" i="3"/>
  <c r="BN286" i="3"/>
  <c r="BM286" i="3"/>
  <c r="BL286" i="3"/>
  <c r="BK286" i="3"/>
  <c r="BJ286" i="3"/>
  <c r="BI286" i="3"/>
  <c r="BH286" i="3"/>
  <c r="BG286" i="3"/>
  <c r="BF286" i="3"/>
  <c r="BE286" i="3"/>
  <c r="BD286" i="3"/>
  <c r="BC286" i="3"/>
  <c r="BB286" i="3"/>
  <c r="BA286" i="3"/>
  <c r="AZ286" i="3"/>
  <c r="AY286" i="3"/>
  <c r="AX286" i="3"/>
  <c r="AW286" i="3"/>
  <c r="AV286" i="3"/>
  <c r="AU286" i="3"/>
  <c r="AT286" i="3"/>
  <c r="AS286" i="3"/>
  <c r="AR286" i="3"/>
  <c r="AQ286" i="3"/>
  <c r="AP286" i="3"/>
  <c r="AO286" i="3"/>
  <c r="AN286" i="3"/>
  <c r="AM286" i="3"/>
  <c r="AL286" i="3"/>
  <c r="AK286" i="3"/>
  <c r="AJ286" i="3"/>
  <c r="AI286" i="3"/>
  <c r="AH286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A286" i="3"/>
  <c r="CG285" i="3"/>
  <c r="CF285" i="3"/>
  <c r="CE285" i="3"/>
  <c r="CD285" i="3"/>
  <c r="CC285" i="3"/>
  <c r="CB285" i="3"/>
  <c r="CA285" i="3"/>
  <c r="BZ285" i="3"/>
  <c r="BY285" i="3"/>
  <c r="BX285" i="3"/>
  <c r="BW285" i="3"/>
  <c r="BV285" i="3"/>
  <c r="BU285" i="3"/>
  <c r="BT285" i="3"/>
  <c r="BS285" i="3"/>
  <c r="BR285" i="3"/>
  <c r="BQ285" i="3"/>
  <c r="BP285" i="3"/>
  <c r="BO285" i="3"/>
  <c r="BN285" i="3"/>
  <c r="BM285" i="3"/>
  <c r="BL285" i="3"/>
  <c r="BK285" i="3"/>
  <c r="BJ285" i="3"/>
  <c r="BI285" i="3"/>
  <c r="BH285" i="3"/>
  <c r="BG285" i="3"/>
  <c r="BF285" i="3"/>
  <c r="BE285" i="3"/>
  <c r="BD285" i="3"/>
  <c r="BC285" i="3"/>
  <c r="BB285" i="3"/>
  <c r="BA285" i="3"/>
  <c r="AZ285" i="3"/>
  <c r="AY285" i="3"/>
  <c r="AX285" i="3"/>
  <c r="AW285" i="3"/>
  <c r="AV285" i="3"/>
  <c r="AU285" i="3"/>
  <c r="AT285" i="3"/>
  <c r="CG284" i="3"/>
  <c r="CF284" i="3"/>
  <c r="CE284" i="3"/>
  <c r="CD284" i="3"/>
  <c r="CC284" i="3"/>
  <c r="CB284" i="3"/>
  <c r="CA284" i="3"/>
  <c r="BZ284" i="3"/>
  <c r="BY284" i="3"/>
  <c r="BX284" i="3"/>
  <c r="BW284" i="3"/>
  <c r="BV284" i="3"/>
  <c r="BU284" i="3"/>
  <c r="BT284" i="3"/>
  <c r="BS284" i="3"/>
  <c r="BR284" i="3"/>
  <c r="BQ284" i="3"/>
  <c r="BP284" i="3"/>
  <c r="BO284" i="3"/>
  <c r="BN284" i="3"/>
  <c r="BM284" i="3"/>
  <c r="BL284" i="3"/>
  <c r="BK284" i="3"/>
  <c r="BJ284" i="3"/>
  <c r="BI284" i="3"/>
  <c r="BH284" i="3"/>
  <c r="BG284" i="3"/>
  <c r="BF284" i="3"/>
  <c r="BE284" i="3"/>
  <c r="BD284" i="3"/>
  <c r="BC284" i="3"/>
  <c r="BB284" i="3"/>
  <c r="BA284" i="3"/>
  <c r="AZ284" i="3"/>
  <c r="AY284" i="3"/>
  <c r="AX284" i="3"/>
  <c r="AW284" i="3"/>
  <c r="AV284" i="3"/>
  <c r="AU284" i="3"/>
  <c r="AT284" i="3"/>
  <c r="CG283" i="3"/>
  <c r="CF283" i="3"/>
  <c r="CE283" i="3"/>
  <c r="CD283" i="3"/>
  <c r="CC283" i="3"/>
  <c r="CB283" i="3"/>
  <c r="CA283" i="3"/>
  <c r="BZ283" i="3"/>
  <c r="BY283" i="3"/>
  <c r="BX283" i="3"/>
  <c r="BW283" i="3"/>
  <c r="BV283" i="3"/>
  <c r="BU283" i="3"/>
  <c r="BT283" i="3"/>
  <c r="BS283" i="3"/>
  <c r="BR283" i="3"/>
  <c r="BQ283" i="3"/>
  <c r="BP283" i="3"/>
  <c r="BO283" i="3"/>
  <c r="BN283" i="3"/>
  <c r="BM283" i="3"/>
  <c r="BL283" i="3"/>
  <c r="BK283" i="3"/>
  <c r="BJ283" i="3"/>
  <c r="BI283" i="3"/>
  <c r="BH283" i="3"/>
  <c r="BG283" i="3"/>
  <c r="BF283" i="3"/>
  <c r="BE283" i="3"/>
  <c r="BD283" i="3"/>
  <c r="BC283" i="3"/>
  <c r="BB283" i="3"/>
  <c r="BA283" i="3"/>
  <c r="AZ283" i="3"/>
  <c r="AY283" i="3"/>
  <c r="AX283" i="3"/>
  <c r="AW283" i="3"/>
  <c r="AV283" i="3"/>
  <c r="AU283" i="3"/>
  <c r="AT283" i="3"/>
  <c r="CG282" i="3"/>
  <c r="CF282" i="3"/>
  <c r="CE282" i="3"/>
  <c r="CD282" i="3"/>
  <c r="CC282" i="3"/>
  <c r="CB282" i="3"/>
  <c r="CA282" i="3"/>
  <c r="BZ282" i="3"/>
  <c r="BY282" i="3"/>
  <c r="BX282" i="3"/>
  <c r="BW282" i="3"/>
  <c r="BV282" i="3"/>
  <c r="BU282" i="3"/>
  <c r="BT282" i="3"/>
  <c r="BS282" i="3"/>
  <c r="BR282" i="3"/>
  <c r="BQ282" i="3"/>
  <c r="BP282" i="3"/>
  <c r="BO282" i="3"/>
  <c r="BN282" i="3"/>
  <c r="BM282" i="3"/>
  <c r="BL282" i="3"/>
  <c r="BK282" i="3"/>
  <c r="BJ282" i="3"/>
  <c r="BI282" i="3"/>
  <c r="BH282" i="3"/>
  <c r="BG282" i="3"/>
  <c r="BF282" i="3"/>
  <c r="BE282" i="3"/>
  <c r="BD282" i="3"/>
  <c r="BC282" i="3"/>
  <c r="BB282" i="3"/>
  <c r="BA282" i="3"/>
  <c r="AZ282" i="3"/>
  <c r="AY282" i="3"/>
  <c r="AX282" i="3"/>
  <c r="AW282" i="3"/>
  <c r="AV282" i="3"/>
  <c r="AU282" i="3"/>
  <c r="AT282" i="3"/>
  <c r="CG281" i="3"/>
  <c r="CF281" i="3"/>
  <c r="CE281" i="3"/>
  <c r="CD281" i="3"/>
  <c r="CC281" i="3"/>
  <c r="CB281" i="3"/>
  <c r="CA281" i="3"/>
  <c r="BZ281" i="3"/>
  <c r="BY281" i="3"/>
  <c r="BX281" i="3"/>
  <c r="BW281" i="3"/>
  <c r="BV281" i="3"/>
  <c r="BU281" i="3"/>
  <c r="BT281" i="3"/>
  <c r="BS281" i="3"/>
  <c r="BR281" i="3"/>
  <c r="BQ281" i="3"/>
  <c r="BP281" i="3"/>
  <c r="BO281" i="3"/>
  <c r="BN281" i="3"/>
  <c r="BM281" i="3"/>
  <c r="BL281" i="3"/>
  <c r="BK281" i="3"/>
  <c r="BJ281" i="3"/>
  <c r="BI281" i="3"/>
  <c r="BH281" i="3"/>
  <c r="BG281" i="3"/>
  <c r="BF281" i="3"/>
  <c r="BE281" i="3"/>
  <c r="BD281" i="3"/>
  <c r="BC281" i="3"/>
  <c r="BB281" i="3"/>
  <c r="BA281" i="3"/>
  <c r="AZ281" i="3"/>
  <c r="AY281" i="3"/>
  <c r="AX281" i="3"/>
  <c r="AW281" i="3"/>
  <c r="AV281" i="3"/>
  <c r="AU281" i="3"/>
  <c r="AT281" i="3"/>
  <c r="CG280" i="3"/>
  <c r="CF280" i="3"/>
  <c r="CE280" i="3"/>
  <c r="CD280" i="3"/>
  <c r="CC280" i="3"/>
  <c r="CB280" i="3"/>
  <c r="CA280" i="3"/>
  <c r="BZ280" i="3"/>
  <c r="BY280" i="3"/>
  <c r="BX280" i="3"/>
  <c r="BW280" i="3"/>
  <c r="BV280" i="3"/>
  <c r="BU280" i="3"/>
  <c r="BT280" i="3"/>
  <c r="BS280" i="3"/>
  <c r="BR280" i="3"/>
  <c r="BQ280" i="3"/>
  <c r="BP280" i="3"/>
  <c r="BO280" i="3"/>
  <c r="BN280" i="3"/>
  <c r="BM280" i="3"/>
  <c r="BL280" i="3"/>
  <c r="BK280" i="3"/>
  <c r="BJ280" i="3"/>
  <c r="BI280" i="3"/>
  <c r="BH280" i="3"/>
  <c r="BG280" i="3"/>
  <c r="BF280" i="3"/>
  <c r="BE280" i="3"/>
  <c r="BD280" i="3"/>
  <c r="BC280" i="3"/>
  <c r="BB280" i="3"/>
  <c r="BA280" i="3"/>
  <c r="AZ280" i="3"/>
  <c r="AY280" i="3"/>
  <c r="AX280" i="3"/>
  <c r="AW280" i="3"/>
  <c r="AV280" i="3"/>
  <c r="AU280" i="3"/>
  <c r="AT280" i="3"/>
  <c r="CG279" i="3"/>
  <c r="CF279" i="3"/>
  <c r="CE279" i="3"/>
  <c r="CD279" i="3"/>
  <c r="CC279" i="3"/>
  <c r="CB279" i="3"/>
  <c r="CA279" i="3"/>
  <c r="BZ279" i="3"/>
  <c r="BY279" i="3"/>
  <c r="BX279" i="3"/>
  <c r="BW279" i="3"/>
  <c r="BV279" i="3"/>
  <c r="BU279" i="3"/>
  <c r="BT279" i="3"/>
  <c r="BS279" i="3"/>
  <c r="BR279" i="3"/>
  <c r="BQ279" i="3"/>
  <c r="BP279" i="3"/>
  <c r="BO279" i="3"/>
  <c r="BN279" i="3"/>
  <c r="BM279" i="3"/>
  <c r="BL279" i="3"/>
  <c r="BK279" i="3"/>
  <c r="BJ279" i="3"/>
  <c r="BI279" i="3"/>
  <c r="BH279" i="3"/>
  <c r="BG279" i="3"/>
  <c r="BF279" i="3"/>
  <c r="BE279" i="3"/>
  <c r="BD279" i="3"/>
  <c r="BC279" i="3"/>
  <c r="BB279" i="3"/>
  <c r="BA279" i="3"/>
  <c r="AZ279" i="3"/>
  <c r="AY279" i="3"/>
  <c r="AX279" i="3"/>
  <c r="AW279" i="3"/>
  <c r="AV279" i="3"/>
  <c r="AU279" i="3"/>
  <c r="AT279" i="3"/>
  <c r="CG278" i="3"/>
  <c r="CF278" i="3"/>
  <c r="CE278" i="3"/>
  <c r="CD278" i="3"/>
  <c r="CC278" i="3"/>
  <c r="CB278" i="3"/>
  <c r="CA278" i="3"/>
  <c r="BZ278" i="3"/>
  <c r="BY278" i="3"/>
  <c r="BX278" i="3"/>
  <c r="BW278" i="3"/>
  <c r="BV278" i="3"/>
  <c r="BU278" i="3"/>
  <c r="BT278" i="3"/>
  <c r="BS278" i="3"/>
  <c r="BR278" i="3"/>
  <c r="BQ278" i="3"/>
  <c r="BP278" i="3"/>
  <c r="BO278" i="3"/>
  <c r="BN278" i="3"/>
  <c r="BM278" i="3"/>
  <c r="BL278" i="3"/>
  <c r="BK278" i="3"/>
  <c r="BJ278" i="3"/>
  <c r="BI278" i="3"/>
  <c r="BH278" i="3"/>
  <c r="BG278" i="3"/>
  <c r="BF278" i="3"/>
  <c r="BE278" i="3"/>
  <c r="BD278" i="3"/>
  <c r="BC278" i="3"/>
  <c r="BB278" i="3"/>
  <c r="BA278" i="3"/>
  <c r="AZ278" i="3"/>
  <c r="AY278" i="3"/>
  <c r="AX278" i="3"/>
  <c r="AW278" i="3"/>
  <c r="AV278" i="3"/>
  <c r="AU278" i="3"/>
  <c r="AT278" i="3"/>
  <c r="E278" i="3"/>
  <c r="B278" i="3"/>
  <c r="A278" i="3"/>
  <c r="CG277" i="3"/>
  <c r="CF277" i="3"/>
  <c r="CE277" i="3"/>
  <c r="CD277" i="3"/>
  <c r="CC277" i="3"/>
  <c r="CB277" i="3"/>
  <c r="CA277" i="3"/>
  <c r="BZ277" i="3"/>
  <c r="BY277" i="3"/>
  <c r="BX277" i="3"/>
  <c r="BW277" i="3"/>
  <c r="BV277" i="3"/>
  <c r="BU277" i="3"/>
  <c r="BT277" i="3"/>
  <c r="BS277" i="3"/>
  <c r="BR277" i="3"/>
  <c r="BQ277" i="3"/>
  <c r="BP277" i="3"/>
  <c r="BO277" i="3"/>
  <c r="BN277" i="3"/>
  <c r="BM277" i="3"/>
  <c r="BL277" i="3"/>
  <c r="BK277" i="3"/>
  <c r="BJ277" i="3"/>
  <c r="BI277" i="3"/>
  <c r="BH277" i="3"/>
  <c r="BG277" i="3"/>
  <c r="BF277" i="3"/>
  <c r="BE277" i="3"/>
  <c r="BD277" i="3"/>
  <c r="BC277" i="3"/>
  <c r="BB277" i="3"/>
  <c r="BA277" i="3"/>
  <c r="AZ277" i="3"/>
  <c r="AY277" i="3"/>
  <c r="AX277" i="3"/>
  <c r="AW277" i="3"/>
  <c r="AV277" i="3"/>
  <c r="AU277" i="3"/>
  <c r="AT277" i="3"/>
  <c r="E277" i="3"/>
  <c r="E370" i="3" s="1"/>
  <c r="D277" i="3"/>
  <c r="D370" i="3" s="1"/>
  <c r="C277" i="3"/>
  <c r="C370" i="3" s="1"/>
  <c r="B277" i="3"/>
  <c r="B370" i="3" s="1"/>
  <c r="A277" i="3"/>
  <c r="A370" i="3" s="1"/>
  <c r="CG276" i="3"/>
  <c r="CF276" i="3"/>
  <c r="CE276" i="3"/>
  <c r="CD276" i="3"/>
  <c r="CC276" i="3"/>
  <c r="CB276" i="3"/>
  <c r="CA276" i="3"/>
  <c r="BZ276" i="3"/>
  <c r="BY276" i="3"/>
  <c r="BX276" i="3"/>
  <c r="BW276" i="3"/>
  <c r="BV276" i="3"/>
  <c r="BU276" i="3"/>
  <c r="BT276" i="3"/>
  <c r="BS276" i="3"/>
  <c r="BR276" i="3"/>
  <c r="BQ276" i="3"/>
  <c r="BP276" i="3"/>
  <c r="BO276" i="3"/>
  <c r="BN276" i="3"/>
  <c r="BM276" i="3"/>
  <c r="BL276" i="3"/>
  <c r="BK276" i="3"/>
  <c r="BJ276" i="3"/>
  <c r="BI276" i="3"/>
  <c r="BH276" i="3"/>
  <c r="BG276" i="3"/>
  <c r="BF276" i="3"/>
  <c r="BE276" i="3"/>
  <c r="BD276" i="3"/>
  <c r="BC276" i="3"/>
  <c r="BB276" i="3"/>
  <c r="BA276" i="3"/>
  <c r="AZ276" i="3"/>
  <c r="AY276" i="3"/>
  <c r="AX276" i="3"/>
  <c r="AW276" i="3"/>
  <c r="AV276" i="3"/>
  <c r="AU276" i="3"/>
  <c r="AT276" i="3"/>
  <c r="E276" i="3"/>
  <c r="E369" i="3" s="1"/>
  <c r="D276" i="3"/>
  <c r="D369" i="3" s="1"/>
  <c r="C276" i="3"/>
  <c r="C369" i="3" s="1"/>
  <c r="B276" i="3"/>
  <c r="B369" i="3" s="1"/>
  <c r="A276" i="3"/>
  <c r="A369" i="3" s="1"/>
  <c r="CG275" i="3"/>
  <c r="CF275" i="3"/>
  <c r="CE275" i="3"/>
  <c r="CD275" i="3"/>
  <c r="CC275" i="3"/>
  <c r="CB275" i="3"/>
  <c r="CA275" i="3"/>
  <c r="BZ275" i="3"/>
  <c r="BY275" i="3"/>
  <c r="BX275" i="3"/>
  <c r="BW275" i="3"/>
  <c r="BV275" i="3"/>
  <c r="BU275" i="3"/>
  <c r="BT275" i="3"/>
  <c r="BS275" i="3"/>
  <c r="BR275" i="3"/>
  <c r="BQ275" i="3"/>
  <c r="BP275" i="3"/>
  <c r="BO275" i="3"/>
  <c r="BN275" i="3"/>
  <c r="BM275" i="3"/>
  <c r="BL275" i="3"/>
  <c r="BK275" i="3"/>
  <c r="BJ275" i="3"/>
  <c r="BI275" i="3"/>
  <c r="BH275" i="3"/>
  <c r="BG275" i="3"/>
  <c r="BF275" i="3"/>
  <c r="BE275" i="3"/>
  <c r="BD275" i="3"/>
  <c r="BC275" i="3"/>
  <c r="BB275" i="3"/>
  <c r="BA275" i="3"/>
  <c r="AZ275" i="3"/>
  <c r="AY275" i="3"/>
  <c r="AX275" i="3"/>
  <c r="AW275" i="3"/>
  <c r="AV275" i="3"/>
  <c r="AU275" i="3"/>
  <c r="AT275" i="3"/>
  <c r="E275" i="3"/>
  <c r="E368" i="3" s="1"/>
  <c r="D275" i="3"/>
  <c r="D368" i="3" s="1"/>
  <c r="C275" i="3"/>
  <c r="C368" i="3" s="1"/>
  <c r="B275" i="3"/>
  <c r="B368" i="3" s="1"/>
  <c r="A275" i="3"/>
  <c r="A368" i="3" s="1"/>
  <c r="CG274" i="3"/>
  <c r="CF274" i="3"/>
  <c r="CE274" i="3"/>
  <c r="CD274" i="3"/>
  <c r="CC274" i="3"/>
  <c r="CB274" i="3"/>
  <c r="CA274" i="3"/>
  <c r="BZ274" i="3"/>
  <c r="BY274" i="3"/>
  <c r="BX274" i="3"/>
  <c r="BW274" i="3"/>
  <c r="BV274" i="3"/>
  <c r="BU274" i="3"/>
  <c r="BT274" i="3"/>
  <c r="BS274" i="3"/>
  <c r="BR274" i="3"/>
  <c r="BQ274" i="3"/>
  <c r="BP274" i="3"/>
  <c r="BO274" i="3"/>
  <c r="BN274" i="3"/>
  <c r="BM274" i="3"/>
  <c r="BL274" i="3"/>
  <c r="BK274" i="3"/>
  <c r="BJ274" i="3"/>
  <c r="BI274" i="3"/>
  <c r="BH274" i="3"/>
  <c r="BG274" i="3"/>
  <c r="BF274" i="3"/>
  <c r="BE274" i="3"/>
  <c r="BD274" i="3"/>
  <c r="BC274" i="3"/>
  <c r="BB274" i="3"/>
  <c r="BA274" i="3"/>
  <c r="AZ274" i="3"/>
  <c r="AY274" i="3"/>
  <c r="AX274" i="3"/>
  <c r="AW274" i="3"/>
  <c r="AV274" i="3"/>
  <c r="AU274" i="3"/>
  <c r="AT274" i="3"/>
  <c r="E274" i="3"/>
  <c r="E367" i="3" s="1"/>
  <c r="D274" i="3"/>
  <c r="D367" i="3" s="1"/>
  <c r="C274" i="3"/>
  <c r="C367" i="3" s="1"/>
  <c r="B274" i="3"/>
  <c r="B367" i="3" s="1"/>
  <c r="A274" i="3"/>
  <c r="A367" i="3" s="1"/>
  <c r="CG273" i="3"/>
  <c r="CF273" i="3"/>
  <c r="CE273" i="3"/>
  <c r="CD273" i="3"/>
  <c r="CC273" i="3"/>
  <c r="CB273" i="3"/>
  <c r="CA273" i="3"/>
  <c r="BZ273" i="3"/>
  <c r="BY273" i="3"/>
  <c r="BX273" i="3"/>
  <c r="BW273" i="3"/>
  <c r="BV273" i="3"/>
  <c r="BU273" i="3"/>
  <c r="BT273" i="3"/>
  <c r="BS273" i="3"/>
  <c r="BR273" i="3"/>
  <c r="BQ273" i="3"/>
  <c r="BP273" i="3"/>
  <c r="BO273" i="3"/>
  <c r="BN273" i="3"/>
  <c r="BM273" i="3"/>
  <c r="BL273" i="3"/>
  <c r="BK273" i="3"/>
  <c r="BJ273" i="3"/>
  <c r="BI273" i="3"/>
  <c r="BH273" i="3"/>
  <c r="BG273" i="3"/>
  <c r="BF273" i="3"/>
  <c r="BE273" i="3"/>
  <c r="BD273" i="3"/>
  <c r="BC273" i="3"/>
  <c r="BB273" i="3"/>
  <c r="BA273" i="3"/>
  <c r="AZ273" i="3"/>
  <c r="AY273" i="3"/>
  <c r="AX273" i="3"/>
  <c r="AW273" i="3"/>
  <c r="AV273" i="3"/>
  <c r="AU273" i="3"/>
  <c r="AT273" i="3"/>
  <c r="E273" i="3"/>
  <c r="E366" i="3" s="1"/>
  <c r="D273" i="3"/>
  <c r="D366" i="3" s="1"/>
  <c r="C273" i="3"/>
  <c r="C366" i="3" s="1"/>
  <c r="B273" i="3"/>
  <c r="B366" i="3" s="1"/>
  <c r="A273" i="3"/>
  <c r="A366" i="3" s="1"/>
  <c r="CG272" i="3"/>
  <c r="CF272" i="3"/>
  <c r="CE272" i="3"/>
  <c r="CD272" i="3"/>
  <c r="CC272" i="3"/>
  <c r="CB272" i="3"/>
  <c r="CA272" i="3"/>
  <c r="BZ272" i="3"/>
  <c r="BY272" i="3"/>
  <c r="BX272" i="3"/>
  <c r="BW272" i="3"/>
  <c r="BV272" i="3"/>
  <c r="BU272" i="3"/>
  <c r="BT272" i="3"/>
  <c r="BS272" i="3"/>
  <c r="BR272" i="3"/>
  <c r="BQ272" i="3"/>
  <c r="BP272" i="3"/>
  <c r="BO272" i="3"/>
  <c r="BN272" i="3"/>
  <c r="BM272" i="3"/>
  <c r="BL272" i="3"/>
  <c r="BK272" i="3"/>
  <c r="BJ272" i="3"/>
  <c r="BI272" i="3"/>
  <c r="BH272" i="3"/>
  <c r="BG272" i="3"/>
  <c r="BF272" i="3"/>
  <c r="BE272" i="3"/>
  <c r="BD272" i="3"/>
  <c r="BC272" i="3"/>
  <c r="BB272" i="3"/>
  <c r="BA272" i="3"/>
  <c r="AZ272" i="3"/>
  <c r="AY272" i="3"/>
  <c r="AX272" i="3"/>
  <c r="AW272" i="3"/>
  <c r="AV272" i="3"/>
  <c r="AU272" i="3"/>
  <c r="AT272" i="3"/>
  <c r="E272" i="3"/>
  <c r="E365" i="3" s="1"/>
  <c r="D272" i="3"/>
  <c r="D365" i="3" s="1"/>
  <c r="C272" i="3"/>
  <c r="C365" i="3" s="1"/>
  <c r="B272" i="3"/>
  <c r="B365" i="3" s="1"/>
  <c r="A272" i="3"/>
  <c r="A365" i="3" s="1"/>
  <c r="CG271" i="3"/>
  <c r="CF271" i="3"/>
  <c r="CE271" i="3"/>
  <c r="CD271" i="3"/>
  <c r="CC271" i="3"/>
  <c r="CB271" i="3"/>
  <c r="CA271" i="3"/>
  <c r="BZ271" i="3"/>
  <c r="BY271" i="3"/>
  <c r="BX271" i="3"/>
  <c r="BW271" i="3"/>
  <c r="BV271" i="3"/>
  <c r="BU271" i="3"/>
  <c r="BT271" i="3"/>
  <c r="BS271" i="3"/>
  <c r="BR271" i="3"/>
  <c r="BQ271" i="3"/>
  <c r="BP271" i="3"/>
  <c r="BO271" i="3"/>
  <c r="BN271" i="3"/>
  <c r="BM271" i="3"/>
  <c r="BL271" i="3"/>
  <c r="BK271" i="3"/>
  <c r="BJ271" i="3"/>
  <c r="BI271" i="3"/>
  <c r="BH271" i="3"/>
  <c r="BG271" i="3"/>
  <c r="BF271" i="3"/>
  <c r="BE271" i="3"/>
  <c r="BD271" i="3"/>
  <c r="BC271" i="3"/>
  <c r="BB271" i="3"/>
  <c r="BA271" i="3"/>
  <c r="AZ271" i="3"/>
  <c r="AY271" i="3"/>
  <c r="AX271" i="3"/>
  <c r="AW271" i="3"/>
  <c r="AV271" i="3"/>
  <c r="AU271" i="3"/>
  <c r="AT271" i="3"/>
  <c r="E271" i="3"/>
  <c r="E364" i="3" s="1"/>
  <c r="D271" i="3"/>
  <c r="D364" i="3" s="1"/>
  <c r="C271" i="3"/>
  <c r="C364" i="3" s="1"/>
  <c r="B271" i="3"/>
  <c r="B364" i="3" s="1"/>
  <c r="A271" i="3"/>
  <c r="A364" i="3" s="1"/>
  <c r="CG270" i="3"/>
  <c r="CF270" i="3"/>
  <c r="CE270" i="3"/>
  <c r="CD270" i="3"/>
  <c r="CC270" i="3"/>
  <c r="CB270" i="3"/>
  <c r="CA270" i="3"/>
  <c r="BZ270" i="3"/>
  <c r="BY270" i="3"/>
  <c r="BX270" i="3"/>
  <c r="BW270" i="3"/>
  <c r="BV270" i="3"/>
  <c r="BU270" i="3"/>
  <c r="BT270" i="3"/>
  <c r="BS270" i="3"/>
  <c r="BR270" i="3"/>
  <c r="BQ270" i="3"/>
  <c r="BP270" i="3"/>
  <c r="BO270" i="3"/>
  <c r="BN270" i="3"/>
  <c r="BM270" i="3"/>
  <c r="BL270" i="3"/>
  <c r="BK270" i="3"/>
  <c r="BJ270" i="3"/>
  <c r="BI270" i="3"/>
  <c r="BH270" i="3"/>
  <c r="BG270" i="3"/>
  <c r="BF270" i="3"/>
  <c r="BE270" i="3"/>
  <c r="BD270" i="3"/>
  <c r="BC270" i="3"/>
  <c r="BB270" i="3"/>
  <c r="BA270" i="3"/>
  <c r="AZ270" i="3"/>
  <c r="AY270" i="3"/>
  <c r="AX270" i="3"/>
  <c r="AW270" i="3"/>
  <c r="AV270" i="3"/>
  <c r="AU270" i="3"/>
  <c r="AT270" i="3"/>
  <c r="E270" i="3"/>
  <c r="E363" i="3" s="1"/>
  <c r="D270" i="3"/>
  <c r="D363" i="3" s="1"/>
  <c r="C270" i="3"/>
  <c r="C363" i="3" s="1"/>
  <c r="B270" i="3"/>
  <c r="B363" i="3" s="1"/>
  <c r="A270" i="3"/>
  <c r="A363" i="3" s="1"/>
  <c r="CG269" i="3"/>
  <c r="CF269" i="3"/>
  <c r="CE269" i="3"/>
  <c r="CD269" i="3"/>
  <c r="CC269" i="3"/>
  <c r="CB269" i="3"/>
  <c r="CA269" i="3"/>
  <c r="BZ269" i="3"/>
  <c r="BY269" i="3"/>
  <c r="BX269" i="3"/>
  <c r="BW269" i="3"/>
  <c r="BV269" i="3"/>
  <c r="BU269" i="3"/>
  <c r="BT269" i="3"/>
  <c r="BS269" i="3"/>
  <c r="BR269" i="3"/>
  <c r="BQ269" i="3"/>
  <c r="BP269" i="3"/>
  <c r="BO269" i="3"/>
  <c r="BN269" i="3"/>
  <c r="BM269" i="3"/>
  <c r="BL269" i="3"/>
  <c r="BK269" i="3"/>
  <c r="BJ269" i="3"/>
  <c r="BI269" i="3"/>
  <c r="BH269" i="3"/>
  <c r="BG269" i="3"/>
  <c r="BF269" i="3"/>
  <c r="BE269" i="3"/>
  <c r="BD269" i="3"/>
  <c r="BC269" i="3"/>
  <c r="BB269" i="3"/>
  <c r="BA269" i="3"/>
  <c r="AZ269" i="3"/>
  <c r="AY269" i="3"/>
  <c r="AX269" i="3"/>
  <c r="AW269" i="3"/>
  <c r="AV269" i="3"/>
  <c r="AU269" i="3"/>
  <c r="AT269" i="3"/>
  <c r="E269" i="3"/>
  <c r="E362" i="3" s="1"/>
  <c r="D269" i="3"/>
  <c r="D362" i="3" s="1"/>
  <c r="C269" i="3"/>
  <c r="C362" i="3" s="1"/>
  <c r="B269" i="3"/>
  <c r="B362" i="3" s="1"/>
  <c r="A269" i="3"/>
  <c r="A362" i="3" s="1"/>
  <c r="CG268" i="3"/>
  <c r="CF268" i="3"/>
  <c r="CE268" i="3"/>
  <c r="CD268" i="3"/>
  <c r="CC268" i="3"/>
  <c r="CB268" i="3"/>
  <c r="CA268" i="3"/>
  <c r="BZ268" i="3"/>
  <c r="BY268" i="3"/>
  <c r="BX268" i="3"/>
  <c r="BW268" i="3"/>
  <c r="BV268" i="3"/>
  <c r="BU268" i="3"/>
  <c r="BT268" i="3"/>
  <c r="BS268" i="3"/>
  <c r="BR268" i="3"/>
  <c r="BQ268" i="3"/>
  <c r="BP268" i="3"/>
  <c r="BO268" i="3"/>
  <c r="BN268" i="3"/>
  <c r="BM268" i="3"/>
  <c r="BL268" i="3"/>
  <c r="BK268" i="3"/>
  <c r="BJ268" i="3"/>
  <c r="BI268" i="3"/>
  <c r="BH268" i="3"/>
  <c r="BG268" i="3"/>
  <c r="BF268" i="3"/>
  <c r="BE268" i="3"/>
  <c r="BD268" i="3"/>
  <c r="BC268" i="3"/>
  <c r="BB268" i="3"/>
  <c r="BA268" i="3"/>
  <c r="AZ268" i="3"/>
  <c r="AY268" i="3"/>
  <c r="AX268" i="3"/>
  <c r="AW268" i="3"/>
  <c r="AV268" i="3"/>
  <c r="AU268" i="3"/>
  <c r="AT268" i="3"/>
  <c r="E268" i="3"/>
  <c r="E361" i="3" s="1"/>
  <c r="D268" i="3"/>
  <c r="D361" i="3" s="1"/>
  <c r="C268" i="3"/>
  <c r="C361" i="3" s="1"/>
  <c r="B268" i="3"/>
  <c r="B361" i="3" s="1"/>
  <c r="A268" i="3"/>
  <c r="A361" i="3" s="1"/>
  <c r="CG267" i="3"/>
  <c r="CF267" i="3"/>
  <c r="CE267" i="3"/>
  <c r="CD267" i="3"/>
  <c r="CC267" i="3"/>
  <c r="CB267" i="3"/>
  <c r="CA267" i="3"/>
  <c r="BZ267" i="3"/>
  <c r="BY267" i="3"/>
  <c r="BX267" i="3"/>
  <c r="BW267" i="3"/>
  <c r="BV267" i="3"/>
  <c r="BU267" i="3"/>
  <c r="BT267" i="3"/>
  <c r="BS267" i="3"/>
  <c r="BR267" i="3"/>
  <c r="BQ267" i="3"/>
  <c r="BP267" i="3"/>
  <c r="BO267" i="3"/>
  <c r="BN267" i="3"/>
  <c r="BM267" i="3"/>
  <c r="BL267" i="3"/>
  <c r="BK267" i="3"/>
  <c r="BJ267" i="3"/>
  <c r="BI267" i="3"/>
  <c r="BH267" i="3"/>
  <c r="BG267" i="3"/>
  <c r="BF267" i="3"/>
  <c r="BE267" i="3"/>
  <c r="BD267" i="3"/>
  <c r="BC267" i="3"/>
  <c r="BB267" i="3"/>
  <c r="BA267" i="3"/>
  <c r="AZ267" i="3"/>
  <c r="AY267" i="3"/>
  <c r="AX267" i="3"/>
  <c r="AW267" i="3"/>
  <c r="AV267" i="3"/>
  <c r="AU267" i="3"/>
  <c r="AT267" i="3"/>
  <c r="E267" i="3"/>
  <c r="E360" i="3" s="1"/>
  <c r="D267" i="3"/>
  <c r="D360" i="3" s="1"/>
  <c r="C267" i="3"/>
  <c r="C360" i="3" s="1"/>
  <c r="B267" i="3"/>
  <c r="B360" i="3" s="1"/>
  <c r="A267" i="3"/>
  <c r="A360" i="3" s="1"/>
  <c r="CG266" i="3"/>
  <c r="CF266" i="3"/>
  <c r="CE266" i="3"/>
  <c r="CD266" i="3"/>
  <c r="CC266" i="3"/>
  <c r="CB266" i="3"/>
  <c r="CA266" i="3"/>
  <c r="BZ266" i="3"/>
  <c r="BY266" i="3"/>
  <c r="BX266" i="3"/>
  <c r="BW266" i="3"/>
  <c r="BV266" i="3"/>
  <c r="BU266" i="3"/>
  <c r="BT266" i="3"/>
  <c r="BS266" i="3"/>
  <c r="BR266" i="3"/>
  <c r="BQ266" i="3"/>
  <c r="BP266" i="3"/>
  <c r="BO266" i="3"/>
  <c r="BN266" i="3"/>
  <c r="BM266" i="3"/>
  <c r="BL266" i="3"/>
  <c r="BK266" i="3"/>
  <c r="BJ266" i="3"/>
  <c r="BI266" i="3"/>
  <c r="BH266" i="3"/>
  <c r="BG266" i="3"/>
  <c r="BF266" i="3"/>
  <c r="BE266" i="3"/>
  <c r="BD266" i="3"/>
  <c r="BC266" i="3"/>
  <c r="BB266" i="3"/>
  <c r="BA266" i="3"/>
  <c r="AZ266" i="3"/>
  <c r="AY266" i="3"/>
  <c r="AX266" i="3"/>
  <c r="AW266" i="3"/>
  <c r="AV266" i="3"/>
  <c r="AU266" i="3"/>
  <c r="AT266" i="3"/>
  <c r="E266" i="3"/>
  <c r="E359" i="3" s="1"/>
  <c r="D266" i="3"/>
  <c r="D359" i="3" s="1"/>
  <c r="C266" i="3"/>
  <c r="C359" i="3" s="1"/>
  <c r="B266" i="3"/>
  <c r="B359" i="3" s="1"/>
  <c r="A266" i="3"/>
  <c r="A359" i="3" s="1"/>
  <c r="CG265" i="3"/>
  <c r="CF265" i="3"/>
  <c r="CE265" i="3"/>
  <c r="CD265" i="3"/>
  <c r="CC265" i="3"/>
  <c r="CB265" i="3"/>
  <c r="CA265" i="3"/>
  <c r="BZ265" i="3"/>
  <c r="BY265" i="3"/>
  <c r="BX265" i="3"/>
  <c r="BW265" i="3"/>
  <c r="BV265" i="3"/>
  <c r="BU265" i="3"/>
  <c r="BT265" i="3"/>
  <c r="BS265" i="3"/>
  <c r="BR265" i="3"/>
  <c r="BQ265" i="3"/>
  <c r="BP265" i="3"/>
  <c r="BO265" i="3"/>
  <c r="BN265" i="3"/>
  <c r="BM265" i="3"/>
  <c r="BL265" i="3"/>
  <c r="BK265" i="3"/>
  <c r="BJ265" i="3"/>
  <c r="BI265" i="3"/>
  <c r="BH265" i="3"/>
  <c r="BG265" i="3"/>
  <c r="BF265" i="3"/>
  <c r="BE265" i="3"/>
  <c r="BD265" i="3"/>
  <c r="BC265" i="3"/>
  <c r="BB265" i="3"/>
  <c r="BA265" i="3"/>
  <c r="AZ265" i="3"/>
  <c r="AY265" i="3"/>
  <c r="AX265" i="3"/>
  <c r="AW265" i="3"/>
  <c r="AV265" i="3"/>
  <c r="AU265" i="3"/>
  <c r="AT265" i="3"/>
  <c r="E265" i="3"/>
  <c r="E358" i="3" s="1"/>
  <c r="D265" i="3"/>
  <c r="D358" i="3" s="1"/>
  <c r="C265" i="3"/>
  <c r="C358" i="3" s="1"/>
  <c r="B265" i="3"/>
  <c r="B358" i="3" s="1"/>
  <c r="A265" i="3"/>
  <c r="A358" i="3" s="1"/>
  <c r="CG264" i="3"/>
  <c r="CF264" i="3"/>
  <c r="CE264" i="3"/>
  <c r="CD264" i="3"/>
  <c r="CC264" i="3"/>
  <c r="CB264" i="3"/>
  <c r="CA264" i="3"/>
  <c r="BZ264" i="3"/>
  <c r="BY264" i="3"/>
  <c r="BX264" i="3"/>
  <c r="BW264" i="3"/>
  <c r="BV264" i="3"/>
  <c r="BU264" i="3"/>
  <c r="BT264" i="3"/>
  <c r="BS264" i="3"/>
  <c r="BR264" i="3"/>
  <c r="BQ264" i="3"/>
  <c r="BP264" i="3"/>
  <c r="BO264" i="3"/>
  <c r="BN264" i="3"/>
  <c r="BM264" i="3"/>
  <c r="BL264" i="3"/>
  <c r="BK264" i="3"/>
  <c r="BJ264" i="3"/>
  <c r="BI264" i="3"/>
  <c r="BH264" i="3"/>
  <c r="BG264" i="3"/>
  <c r="BF264" i="3"/>
  <c r="BE264" i="3"/>
  <c r="BD264" i="3"/>
  <c r="BC264" i="3"/>
  <c r="BB264" i="3"/>
  <c r="BA264" i="3"/>
  <c r="AZ264" i="3"/>
  <c r="AY264" i="3"/>
  <c r="AX264" i="3"/>
  <c r="AW264" i="3"/>
  <c r="AV264" i="3"/>
  <c r="AU264" i="3"/>
  <c r="AT264" i="3"/>
  <c r="E264" i="3"/>
  <c r="E357" i="3" s="1"/>
  <c r="D264" i="3"/>
  <c r="D357" i="3" s="1"/>
  <c r="C264" i="3"/>
  <c r="C357" i="3" s="1"/>
  <c r="B264" i="3"/>
  <c r="B357" i="3" s="1"/>
  <c r="A264" i="3"/>
  <c r="A357" i="3" s="1"/>
  <c r="CG263" i="3"/>
  <c r="CF263" i="3"/>
  <c r="CE263" i="3"/>
  <c r="CD263" i="3"/>
  <c r="CC263" i="3"/>
  <c r="CB263" i="3"/>
  <c r="CA263" i="3"/>
  <c r="BZ263" i="3"/>
  <c r="BY263" i="3"/>
  <c r="BX263" i="3"/>
  <c r="BW263" i="3"/>
  <c r="BV263" i="3"/>
  <c r="BU263" i="3"/>
  <c r="BT263" i="3"/>
  <c r="BS263" i="3"/>
  <c r="BR263" i="3"/>
  <c r="BQ263" i="3"/>
  <c r="BP263" i="3"/>
  <c r="BO263" i="3"/>
  <c r="BN263" i="3"/>
  <c r="BM263" i="3"/>
  <c r="BL263" i="3"/>
  <c r="BK263" i="3"/>
  <c r="BJ263" i="3"/>
  <c r="BI263" i="3"/>
  <c r="BH263" i="3"/>
  <c r="BG263" i="3"/>
  <c r="BF263" i="3"/>
  <c r="BE263" i="3"/>
  <c r="BD263" i="3"/>
  <c r="BC263" i="3"/>
  <c r="BB263" i="3"/>
  <c r="BA263" i="3"/>
  <c r="AZ263" i="3"/>
  <c r="AY263" i="3"/>
  <c r="AX263" i="3"/>
  <c r="AW263" i="3"/>
  <c r="AV263" i="3"/>
  <c r="AU263" i="3"/>
  <c r="AT263" i="3"/>
  <c r="E263" i="3"/>
  <c r="E356" i="3" s="1"/>
  <c r="D263" i="3"/>
  <c r="D356" i="3" s="1"/>
  <c r="C263" i="3"/>
  <c r="C356" i="3" s="1"/>
  <c r="B263" i="3"/>
  <c r="B356" i="3" s="1"/>
  <c r="A263" i="3"/>
  <c r="A356" i="3" s="1"/>
  <c r="CG262" i="3"/>
  <c r="CF262" i="3"/>
  <c r="CE262" i="3"/>
  <c r="CD262" i="3"/>
  <c r="CC262" i="3"/>
  <c r="CB262" i="3"/>
  <c r="CA262" i="3"/>
  <c r="BZ262" i="3"/>
  <c r="BY262" i="3"/>
  <c r="BX262" i="3"/>
  <c r="BW262" i="3"/>
  <c r="BV262" i="3"/>
  <c r="BU262" i="3"/>
  <c r="BT262" i="3"/>
  <c r="BS262" i="3"/>
  <c r="BR262" i="3"/>
  <c r="BQ262" i="3"/>
  <c r="BP262" i="3"/>
  <c r="BO262" i="3"/>
  <c r="BN262" i="3"/>
  <c r="BM262" i="3"/>
  <c r="BL262" i="3"/>
  <c r="BK262" i="3"/>
  <c r="BJ262" i="3"/>
  <c r="BI262" i="3"/>
  <c r="BH262" i="3"/>
  <c r="BG262" i="3"/>
  <c r="BF262" i="3"/>
  <c r="BE262" i="3"/>
  <c r="BD262" i="3"/>
  <c r="BC262" i="3"/>
  <c r="BB262" i="3"/>
  <c r="BA262" i="3"/>
  <c r="AZ262" i="3"/>
  <c r="AY262" i="3"/>
  <c r="AX262" i="3"/>
  <c r="AW262" i="3"/>
  <c r="AV262" i="3"/>
  <c r="AU262" i="3"/>
  <c r="AT262" i="3"/>
  <c r="E262" i="3"/>
  <c r="E355" i="3" s="1"/>
  <c r="D262" i="3"/>
  <c r="D355" i="3" s="1"/>
  <c r="C262" i="3"/>
  <c r="C355" i="3" s="1"/>
  <c r="B262" i="3"/>
  <c r="B355" i="3" s="1"/>
  <c r="A262" i="3"/>
  <c r="A355" i="3" s="1"/>
  <c r="CG261" i="3"/>
  <c r="CF261" i="3"/>
  <c r="CE261" i="3"/>
  <c r="CD261" i="3"/>
  <c r="CC261" i="3"/>
  <c r="CB261" i="3"/>
  <c r="CA261" i="3"/>
  <c r="BZ261" i="3"/>
  <c r="BY261" i="3"/>
  <c r="BX261" i="3"/>
  <c r="BW261" i="3"/>
  <c r="BV261" i="3"/>
  <c r="BU261" i="3"/>
  <c r="BT261" i="3"/>
  <c r="BS261" i="3"/>
  <c r="BR261" i="3"/>
  <c r="BQ261" i="3"/>
  <c r="BP261" i="3"/>
  <c r="BO261" i="3"/>
  <c r="BN261" i="3"/>
  <c r="BM261" i="3"/>
  <c r="BL261" i="3"/>
  <c r="BK261" i="3"/>
  <c r="BJ261" i="3"/>
  <c r="BI261" i="3"/>
  <c r="BH261" i="3"/>
  <c r="BG261" i="3"/>
  <c r="BF261" i="3"/>
  <c r="BE261" i="3"/>
  <c r="BD261" i="3"/>
  <c r="BC261" i="3"/>
  <c r="BB261" i="3"/>
  <c r="BA261" i="3"/>
  <c r="AZ261" i="3"/>
  <c r="AY261" i="3"/>
  <c r="AX261" i="3"/>
  <c r="AW261" i="3"/>
  <c r="AV261" i="3"/>
  <c r="AU261" i="3"/>
  <c r="AT261" i="3"/>
  <c r="E261" i="3"/>
  <c r="E354" i="3" s="1"/>
  <c r="D261" i="3"/>
  <c r="D354" i="3" s="1"/>
  <c r="C261" i="3"/>
  <c r="C354" i="3" s="1"/>
  <c r="B261" i="3"/>
  <c r="B354" i="3" s="1"/>
  <c r="A261" i="3"/>
  <c r="A354" i="3" s="1"/>
  <c r="CG260" i="3"/>
  <c r="CF260" i="3"/>
  <c r="CE260" i="3"/>
  <c r="CD260" i="3"/>
  <c r="CC260" i="3"/>
  <c r="CB260" i="3"/>
  <c r="CA260" i="3"/>
  <c r="BZ260" i="3"/>
  <c r="BY260" i="3"/>
  <c r="BX260" i="3"/>
  <c r="BW260" i="3"/>
  <c r="BV260" i="3"/>
  <c r="BU260" i="3"/>
  <c r="BT260" i="3"/>
  <c r="BS260" i="3"/>
  <c r="BR260" i="3"/>
  <c r="BQ260" i="3"/>
  <c r="BP260" i="3"/>
  <c r="BO260" i="3"/>
  <c r="BN260" i="3"/>
  <c r="BM260" i="3"/>
  <c r="BL260" i="3"/>
  <c r="BK260" i="3"/>
  <c r="BJ260" i="3"/>
  <c r="BI260" i="3"/>
  <c r="BH260" i="3"/>
  <c r="BG260" i="3"/>
  <c r="BF260" i="3"/>
  <c r="BE260" i="3"/>
  <c r="BD260" i="3"/>
  <c r="BC260" i="3"/>
  <c r="BB260" i="3"/>
  <c r="BA260" i="3"/>
  <c r="AZ260" i="3"/>
  <c r="AY260" i="3"/>
  <c r="AX260" i="3"/>
  <c r="AW260" i="3"/>
  <c r="AV260" i="3"/>
  <c r="AU260" i="3"/>
  <c r="AT260" i="3"/>
  <c r="E260" i="3"/>
  <c r="E353" i="3" s="1"/>
  <c r="D260" i="3"/>
  <c r="D353" i="3" s="1"/>
  <c r="C260" i="3"/>
  <c r="C353" i="3" s="1"/>
  <c r="B260" i="3"/>
  <c r="B353" i="3" s="1"/>
  <c r="A260" i="3"/>
  <c r="A353" i="3" s="1"/>
  <c r="CG259" i="3"/>
  <c r="CF259" i="3"/>
  <c r="CE259" i="3"/>
  <c r="CD259" i="3"/>
  <c r="CC259" i="3"/>
  <c r="CB259" i="3"/>
  <c r="CA259" i="3"/>
  <c r="BZ259" i="3"/>
  <c r="BY259" i="3"/>
  <c r="BX259" i="3"/>
  <c r="BW259" i="3"/>
  <c r="BV259" i="3"/>
  <c r="BU259" i="3"/>
  <c r="BT259" i="3"/>
  <c r="BS259" i="3"/>
  <c r="BR259" i="3"/>
  <c r="BQ259" i="3"/>
  <c r="BP259" i="3"/>
  <c r="BO259" i="3"/>
  <c r="BN259" i="3"/>
  <c r="BM259" i="3"/>
  <c r="BL259" i="3"/>
  <c r="BK259" i="3"/>
  <c r="BJ259" i="3"/>
  <c r="BI259" i="3"/>
  <c r="BH259" i="3"/>
  <c r="BG259" i="3"/>
  <c r="BF259" i="3"/>
  <c r="BE259" i="3"/>
  <c r="BD259" i="3"/>
  <c r="BC259" i="3"/>
  <c r="BB259" i="3"/>
  <c r="BA259" i="3"/>
  <c r="AZ259" i="3"/>
  <c r="AY259" i="3"/>
  <c r="AX259" i="3"/>
  <c r="AW259" i="3"/>
  <c r="AV259" i="3"/>
  <c r="AU259" i="3"/>
  <c r="AT259" i="3"/>
  <c r="E259" i="3"/>
  <c r="E352" i="3" s="1"/>
  <c r="D259" i="3"/>
  <c r="D352" i="3" s="1"/>
  <c r="C259" i="3"/>
  <c r="C352" i="3" s="1"/>
  <c r="B259" i="3"/>
  <c r="B352" i="3" s="1"/>
  <c r="A259" i="3"/>
  <c r="A352" i="3" s="1"/>
  <c r="CG258" i="3"/>
  <c r="CF258" i="3"/>
  <c r="CE258" i="3"/>
  <c r="CD258" i="3"/>
  <c r="CC258" i="3"/>
  <c r="CB258" i="3"/>
  <c r="CA258" i="3"/>
  <c r="BZ258" i="3"/>
  <c r="BY258" i="3"/>
  <c r="BX258" i="3"/>
  <c r="BW258" i="3"/>
  <c r="BV258" i="3"/>
  <c r="BU258" i="3"/>
  <c r="BT258" i="3"/>
  <c r="BS258" i="3"/>
  <c r="BR258" i="3"/>
  <c r="BQ258" i="3"/>
  <c r="BP258" i="3"/>
  <c r="BO258" i="3"/>
  <c r="BN258" i="3"/>
  <c r="BM258" i="3"/>
  <c r="BL258" i="3"/>
  <c r="BK258" i="3"/>
  <c r="BJ258" i="3"/>
  <c r="BI258" i="3"/>
  <c r="BH258" i="3"/>
  <c r="BG258" i="3"/>
  <c r="BF258" i="3"/>
  <c r="BE258" i="3"/>
  <c r="BD258" i="3"/>
  <c r="BC258" i="3"/>
  <c r="BB258" i="3"/>
  <c r="BA258" i="3"/>
  <c r="AZ258" i="3"/>
  <c r="AY258" i="3"/>
  <c r="AX258" i="3"/>
  <c r="AW258" i="3"/>
  <c r="AV258" i="3"/>
  <c r="AU258" i="3"/>
  <c r="AT258" i="3"/>
  <c r="E258" i="3"/>
  <c r="E351" i="3" s="1"/>
  <c r="D258" i="3"/>
  <c r="D351" i="3" s="1"/>
  <c r="C258" i="3"/>
  <c r="C351" i="3" s="1"/>
  <c r="B258" i="3"/>
  <c r="B351" i="3" s="1"/>
  <c r="A258" i="3"/>
  <c r="A351" i="3" s="1"/>
  <c r="CG257" i="3"/>
  <c r="CF257" i="3"/>
  <c r="CE257" i="3"/>
  <c r="CD257" i="3"/>
  <c r="CC257" i="3"/>
  <c r="CB257" i="3"/>
  <c r="CA257" i="3"/>
  <c r="BZ257" i="3"/>
  <c r="BY257" i="3"/>
  <c r="BX257" i="3"/>
  <c r="BW257" i="3"/>
  <c r="BV257" i="3"/>
  <c r="BU257" i="3"/>
  <c r="BT257" i="3"/>
  <c r="BS257" i="3"/>
  <c r="BR257" i="3"/>
  <c r="BQ257" i="3"/>
  <c r="BP257" i="3"/>
  <c r="BO257" i="3"/>
  <c r="BN257" i="3"/>
  <c r="BM257" i="3"/>
  <c r="BL257" i="3"/>
  <c r="BK257" i="3"/>
  <c r="BJ257" i="3"/>
  <c r="BI257" i="3"/>
  <c r="BH257" i="3"/>
  <c r="BG257" i="3"/>
  <c r="BF257" i="3"/>
  <c r="BE257" i="3"/>
  <c r="BD257" i="3"/>
  <c r="BC257" i="3"/>
  <c r="BB257" i="3"/>
  <c r="BA257" i="3"/>
  <c r="AZ257" i="3"/>
  <c r="AY257" i="3"/>
  <c r="AX257" i="3"/>
  <c r="AW257" i="3"/>
  <c r="AV257" i="3"/>
  <c r="AU257" i="3"/>
  <c r="AT257" i="3"/>
  <c r="E257" i="3"/>
  <c r="E350" i="3" s="1"/>
  <c r="D257" i="3"/>
  <c r="D350" i="3" s="1"/>
  <c r="C257" i="3"/>
  <c r="C350" i="3" s="1"/>
  <c r="B257" i="3"/>
  <c r="B350" i="3" s="1"/>
  <c r="A257" i="3"/>
  <c r="A350" i="3" s="1"/>
  <c r="CG256" i="3"/>
  <c r="CF256" i="3"/>
  <c r="CE256" i="3"/>
  <c r="CD256" i="3"/>
  <c r="CC256" i="3"/>
  <c r="CB256" i="3"/>
  <c r="CA256" i="3"/>
  <c r="BZ256" i="3"/>
  <c r="BY256" i="3"/>
  <c r="BX256" i="3"/>
  <c r="BW256" i="3"/>
  <c r="BV256" i="3"/>
  <c r="BU256" i="3"/>
  <c r="BT256" i="3"/>
  <c r="BS256" i="3"/>
  <c r="BR256" i="3"/>
  <c r="BQ256" i="3"/>
  <c r="BP256" i="3"/>
  <c r="BO256" i="3"/>
  <c r="BN256" i="3"/>
  <c r="BM256" i="3"/>
  <c r="BL256" i="3"/>
  <c r="BK256" i="3"/>
  <c r="BJ256" i="3"/>
  <c r="BI256" i="3"/>
  <c r="BH256" i="3"/>
  <c r="BG256" i="3"/>
  <c r="BF256" i="3"/>
  <c r="BE256" i="3"/>
  <c r="BD256" i="3"/>
  <c r="BC256" i="3"/>
  <c r="BB256" i="3"/>
  <c r="BA256" i="3"/>
  <c r="AZ256" i="3"/>
  <c r="AY256" i="3"/>
  <c r="AX256" i="3"/>
  <c r="AW256" i="3"/>
  <c r="AV256" i="3"/>
  <c r="AU256" i="3"/>
  <c r="AT256" i="3"/>
  <c r="E256" i="3"/>
  <c r="E349" i="3" s="1"/>
  <c r="D256" i="3"/>
  <c r="D349" i="3" s="1"/>
  <c r="C256" i="3"/>
  <c r="C349" i="3" s="1"/>
  <c r="B256" i="3"/>
  <c r="B349" i="3" s="1"/>
  <c r="A256" i="3"/>
  <c r="A349" i="3" s="1"/>
  <c r="CG255" i="3"/>
  <c r="CF255" i="3"/>
  <c r="CE255" i="3"/>
  <c r="CD255" i="3"/>
  <c r="CC255" i="3"/>
  <c r="CB255" i="3"/>
  <c r="CA255" i="3"/>
  <c r="BZ255" i="3"/>
  <c r="BY255" i="3"/>
  <c r="BX255" i="3"/>
  <c r="BW255" i="3"/>
  <c r="BV255" i="3"/>
  <c r="BU255" i="3"/>
  <c r="BT255" i="3"/>
  <c r="BS255" i="3"/>
  <c r="BR255" i="3"/>
  <c r="BQ255" i="3"/>
  <c r="BP255" i="3"/>
  <c r="BO255" i="3"/>
  <c r="BN255" i="3"/>
  <c r="BM255" i="3"/>
  <c r="BL255" i="3"/>
  <c r="BK255" i="3"/>
  <c r="BJ255" i="3"/>
  <c r="BI255" i="3"/>
  <c r="BH255" i="3"/>
  <c r="BG255" i="3"/>
  <c r="BF255" i="3"/>
  <c r="BE255" i="3"/>
  <c r="BD255" i="3"/>
  <c r="BC255" i="3"/>
  <c r="BB255" i="3"/>
  <c r="BA255" i="3"/>
  <c r="AZ255" i="3"/>
  <c r="AY255" i="3"/>
  <c r="AX255" i="3"/>
  <c r="AW255" i="3"/>
  <c r="AV255" i="3"/>
  <c r="AU255" i="3"/>
  <c r="AT255" i="3"/>
  <c r="E255" i="3"/>
  <c r="E348" i="3" s="1"/>
  <c r="D255" i="3"/>
  <c r="D348" i="3" s="1"/>
  <c r="C255" i="3"/>
  <c r="C348" i="3" s="1"/>
  <c r="B255" i="3"/>
  <c r="B348" i="3" s="1"/>
  <c r="A255" i="3"/>
  <c r="A348" i="3" s="1"/>
  <c r="CG254" i="3"/>
  <c r="CF254" i="3"/>
  <c r="CE254" i="3"/>
  <c r="CD254" i="3"/>
  <c r="CC254" i="3"/>
  <c r="CB254" i="3"/>
  <c r="CA254" i="3"/>
  <c r="BZ254" i="3"/>
  <c r="BY254" i="3"/>
  <c r="BX254" i="3"/>
  <c r="BW254" i="3"/>
  <c r="BV254" i="3"/>
  <c r="BU254" i="3"/>
  <c r="BT254" i="3"/>
  <c r="BS254" i="3"/>
  <c r="BR254" i="3"/>
  <c r="BQ254" i="3"/>
  <c r="BP254" i="3"/>
  <c r="BO254" i="3"/>
  <c r="BN254" i="3"/>
  <c r="BM254" i="3"/>
  <c r="BL254" i="3"/>
  <c r="BK254" i="3"/>
  <c r="BJ254" i="3"/>
  <c r="BI254" i="3"/>
  <c r="BH254" i="3"/>
  <c r="BG254" i="3"/>
  <c r="BF254" i="3"/>
  <c r="BE254" i="3"/>
  <c r="BD254" i="3"/>
  <c r="BC254" i="3"/>
  <c r="BB254" i="3"/>
  <c r="BA254" i="3"/>
  <c r="AZ254" i="3"/>
  <c r="AY254" i="3"/>
  <c r="AX254" i="3"/>
  <c r="AW254" i="3"/>
  <c r="AV254" i="3"/>
  <c r="AU254" i="3"/>
  <c r="AT254" i="3"/>
  <c r="E254" i="3"/>
  <c r="E347" i="3" s="1"/>
  <c r="D254" i="3"/>
  <c r="D347" i="3" s="1"/>
  <c r="C254" i="3"/>
  <c r="C347" i="3" s="1"/>
  <c r="B254" i="3"/>
  <c r="B347" i="3" s="1"/>
  <c r="A254" i="3"/>
  <c r="A347" i="3" s="1"/>
  <c r="CG253" i="3"/>
  <c r="CF253" i="3"/>
  <c r="CE253" i="3"/>
  <c r="CD253" i="3"/>
  <c r="CC253" i="3"/>
  <c r="CB253" i="3"/>
  <c r="CA253" i="3"/>
  <c r="BZ253" i="3"/>
  <c r="BY253" i="3"/>
  <c r="BX253" i="3"/>
  <c r="BW253" i="3"/>
  <c r="BV253" i="3"/>
  <c r="BU253" i="3"/>
  <c r="BT253" i="3"/>
  <c r="BS253" i="3"/>
  <c r="BR253" i="3"/>
  <c r="BQ253" i="3"/>
  <c r="BP253" i="3"/>
  <c r="BO253" i="3"/>
  <c r="BN253" i="3"/>
  <c r="BM253" i="3"/>
  <c r="BL253" i="3"/>
  <c r="BK253" i="3"/>
  <c r="BJ253" i="3"/>
  <c r="BI253" i="3"/>
  <c r="BH253" i="3"/>
  <c r="BG253" i="3"/>
  <c r="BF253" i="3"/>
  <c r="BE253" i="3"/>
  <c r="BD253" i="3"/>
  <c r="BC253" i="3"/>
  <c r="BB253" i="3"/>
  <c r="BA253" i="3"/>
  <c r="AZ253" i="3"/>
  <c r="AY253" i="3"/>
  <c r="AX253" i="3"/>
  <c r="AW253" i="3"/>
  <c r="AV253" i="3"/>
  <c r="AU253" i="3"/>
  <c r="AT253" i="3"/>
  <c r="E253" i="3"/>
  <c r="E346" i="3" s="1"/>
  <c r="D253" i="3"/>
  <c r="D346" i="3" s="1"/>
  <c r="C253" i="3"/>
  <c r="C346" i="3" s="1"/>
  <c r="B253" i="3"/>
  <c r="B346" i="3" s="1"/>
  <c r="A253" i="3"/>
  <c r="A346" i="3" s="1"/>
  <c r="CG252" i="3"/>
  <c r="CF252" i="3"/>
  <c r="CE252" i="3"/>
  <c r="CD252" i="3"/>
  <c r="CC252" i="3"/>
  <c r="CB252" i="3"/>
  <c r="CA252" i="3"/>
  <c r="BZ252" i="3"/>
  <c r="BY252" i="3"/>
  <c r="BX252" i="3"/>
  <c r="BW252" i="3"/>
  <c r="BV252" i="3"/>
  <c r="BU252" i="3"/>
  <c r="BT252" i="3"/>
  <c r="BS252" i="3"/>
  <c r="BR252" i="3"/>
  <c r="BQ252" i="3"/>
  <c r="BP252" i="3"/>
  <c r="BO252" i="3"/>
  <c r="BN252" i="3"/>
  <c r="BM252" i="3"/>
  <c r="BL252" i="3"/>
  <c r="BK252" i="3"/>
  <c r="BJ252" i="3"/>
  <c r="BI252" i="3"/>
  <c r="BH252" i="3"/>
  <c r="BG252" i="3"/>
  <c r="BF252" i="3"/>
  <c r="BE252" i="3"/>
  <c r="BD252" i="3"/>
  <c r="BC252" i="3"/>
  <c r="BB252" i="3"/>
  <c r="BA252" i="3"/>
  <c r="AZ252" i="3"/>
  <c r="AY252" i="3"/>
  <c r="AX252" i="3"/>
  <c r="AW252" i="3"/>
  <c r="AV252" i="3"/>
  <c r="AU252" i="3"/>
  <c r="AT252" i="3"/>
  <c r="E252" i="3"/>
  <c r="E345" i="3" s="1"/>
  <c r="D252" i="3"/>
  <c r="D345" i="3" s="1"/>
  <c r="C252" i="3"/>
  <c r="C345" i="3" s="1"/>
  <c r="B252" i="3"/>
  <c r="B345" i="3" s="1"/>
  <c r="A252" i="3"/>
  <c r="A345" i="3" s="1"/>
  <c r="CG251" i="3"/>
  <c r="CF251" i="3"/>
  <c r="CE251" i="3"/>
  <c r="CD251" i="3"/>
  <c r="CC251" i="3"/>
  <c r="CB251" i="3"/>
  <c r="CA251" i="3"/>
  <c r="BZ251" i="3"/>
  <c r="BY251" i="3"/>
  <c r="BX251" i="3"/>
  <c r="BW251" i="3"/>
  <c r="BV251" i="3"/>
  <c r="BU251" i="3"/>
  <c r="BT251" i="3"/>
  <c r="BS251" i="3"/>
  <c r="BR251" i="3"/>
  <c r="BQ251" i="3"/>
  <c r="BP251" i="3"/>
  <c r="BO251" i="3"/>
  <c r="BN251" i="3"/>
  <c r="BM251" i="3"/>
  <c r="BL251" i="3"/>
  <c r="BK251" i="3"/>
  <c r="BJ251" i="3"/>
  <c r="BI251" i="3"/>
  <c r="BH251" i="3"/>
  <c r="BG251" i="3"/>
  <c r="BF251" i="3"/>
  <c r="BE251" i="3"/>
  <c r="BD251" i="3"/>
  <c r="BC251" i="3"/>
  <c r="BB251" i="3"/>
  <c r="BA251" i="3"/>
  <c r="AZ251" i="3"/>
  <c r="AY251" i="3"/>
  <c r="AX251" i="3"/>
  <c r="AW251" i="3"/>
  <c r="AV251" i="3"/>
  <c r="AU251" i="3"/>
  <c r="AT251" i="3"/>
  <c r="E251" i="3"/>
  <c r="E344" i="3" s="1"/>
  <c r="D251" i="3"/>
  <c r="D344" i="3" s="1"/>
  <c r="C251" i="3"/>
  <c r="C344" i="3" s="1"/>
  <c r="B251" i="3"/>
  <c r="B344" i="3" s="1"/>
  <c r="A251" i="3"/>
  <c r="A344" i="3" s="1"/>
  <c r="CG250" i="3"/>
  <c r="CF250" i="3"/>
  <c r="CE250" i="3"/>
  <c r="CD250" i="3"/>
  <c r="CC250" i="3"/>
  <c r="CB250" i="3"/>
  <c r="CA250" i="3"/>
  <c r="BZ250" i="3"/>
  <c r="BY250" i="3"/>
  <c r="BX250" i="3"/>
  <c r="BW250" i="3"/>
  <c r="BV250" i="3"/>
  <c r="BU250" i="3"/>
  <c r="BT250" i="3"/>
  <c r="BS250" i="3"/>
  <c r="BR250" i="3"/>
  <c r="BQ250" i="3"/>
  <c r="BP250" i="3"/>
  <c r="BO250" i="3"/>
  <c r="BN250" i="3"/>
  <c r="BM250" i="3"/>
  <c r="BL250" i="3"/>
  <c r="BK250" i="3"/>
  <c r="BJ250" i="3"/>
  <c r="BI250" i="3"/>
  <c r="BH250" i="3"/>
  <c r="BG250" i="3"/>
  <c r="BF250" i="3"/>
  <c r="BE250" i="3"/>
  <c r="BD250" i="3"/>
  <c r="BC250" i="3"/>
  <c r="BB250" i="3"/>
  <c r="BA250" i="3"/>
  <c r="AZ250" i="3"/>
  <c r="AY250" i="3"/>
  <c r="AX250" i="3"/>
  <c r="AW250" i="3"/>
  <c r="AV250" i="3"/>
  <c r="AU250" i="3"/>
  <c r="AT250" i="3"/>
  <c r="E250" i="3"/>
  <c r="E343" i="3" s="1"/>
  <c r="D250" i="3"/>
  <c r="D343" i="3" s="1"/>
  <c r="C250" i="3"/>
  <c r="C343" i="3" s="1"/>
  <c r="B250" i="3"/>
  <c r="B343" i="3" s="1"/>
  <c r="A250" i="3"/>
  <c r="A343" i="3" s="1"/>
  <c r="CG249" i="3"/>
  <c r="CF249" i="3"/>
  <c r="CE249" i="3"/>
  <c r="CD249" i="3"/>
  <c r="CC249" i="3"/>
  <c r="CB249" i="3"/>
  <c r="CA249" i="3"/>
  <c r="BZ249" i="3"/>
  <c r="BY249" i="3"/>
  <c r="BX249" i="3"/>
  <c r="BW249" i="3"/>
  <c r="BV249" i="3"/>
  <c r="BU249" i="3"/>
  <c r="BT249" i="3"/>
  <c r="BS249" i="3"/>
  <c r="BR249" i="3"/>
  <c r="BQ249" i="3"/>
  <c r="BP249" i="3"/>
  <c r="BO249" i="3"/>
  <c r="BN249" i="3"/>
  <c r="BM249" i="3"/>
  <c r="BL249" i="3"/>
  <c r="BK249" i="3"/>
  <c r="BJ249" i="3"/>
  <c r="BI249" i="3"/>
  <c r="BH249" i="3"/>
  <c r="BG249" i="3"/>
  <c r="BF249" i="3"/>
  <c r="BE249" i="3"/>
  <c r="BD249" i="3"/>
  <c r="BC249" i="3"/>
  <c r="BB249" i="3"/>
  <c r="BA249" i="3"/>
  <c r="AZ249" i="3"/>
  <c r="AY249" i="3"/>
  <c r="AX249" i="3"/>
  <c r="AW249" i="3"/>
  <c r="AV249" i="3"/>
  <c r="AU249" i="3"/>
  <c r="AT249" i="3"/>
  <c r="E249" i="3"/>
  <c r="B249" i="3"/>
  <c r="A249" i="3"/>
  <c r="CG248" i="3"/>
  <c r="CF248" i="3"/>
  <c r="CE248" i="3"/>
  <c r="CD248" i="3"/>
  <c r="CC248" i="3"/>
  <c r="CB248" i="3"/>
  <c r="CA248" i="3"/>
  <c r="BZ248" i="3"/>
  <c r="BY248" i="3"/>
  <c r="BX248" i="3"/>
  <c r="BW248" i="3"/>
  <c r="BV248" i="3"/>
  <c r="BU248" i="3"/>
  <c r="BT248" i="3"/>
  <c r="BS248" i="3"/>
  <c r="BR248" i="3"/>
  <c r="BQ248" i="3"/>
  <c r="BP248" i="3"/>
  <c r="BO248" i="3"/>
  <c r="BN248" i="3"/>
  <c r="BM248" i="3"/>
  <c r="BL248" i="3"/>
  <c r="BK248" i="3"/>
  <c r="BJ248" i="3"/>
  <c r="BI248" i="3"/>
  <c r="BH248" i="3"/>
  <c r="BG248" i="3"/>
  <c r="BF248" i="3"/>
  <c r="BE248" i="3"/>
  <c r="BD248" i="3"/>
  <c r="BC248" i="3"/>
  <c r="BB248" i="3"/>
  <c r="BA248" i="3"/>
  <c r="AZ248" i="3"/>
  <c r="AY248" i="3"/>
  <c r="AX248" i="3"/>
  <c r="AW248" i="3"/>
  <c r="AV248" i="3"/>
  <c r="AU248" i="3"/>
  <c r="AT248" i="3"/>
  <c r="E248" i="3"/>
  <c r="E342" i="3" s="1"/>
  <c r="D248" i="3"/>
  <c r="D342" i="3" s="1"/>
  <c r="C248" i="3"/>
  <c r="C342" i="3" s="1"/>
  <c r="B248" i="3"/>
  <c r="B342" i="3" s="1"/>
  <c r="A248" i="3"/>
  <c r="A342" i="3" s="1"/>
  <c r="CG247" i="3"/>
  <c r="CF247" i="3"/>
  <c r="CE247" i="3"/>
  <c r="CD247" i="3"/>
  <c r="CC247" i="3"/>
  <c r="CB247" i="3"/>
  <c r="CA247" i="3"/>
  <c r="BZ247" i="3"/>
  <c r="BY247" i="3"/>
  <c r="BX247" i="3"/>
  <c r="BW247" i="3"/>
  <c r="BV247" i="3"/>
  <c r="BU247" i="3"/>
  <c r="BT247" i="3"/>
  <c r="BS247" i="3"/>
  <c r="BR247" i="3"/>
  <c r="BQ247" i="3"/>
  <c r="BP247" i="3"/>
  <c r="BO247" i="3"/>
  <c r="BN247" i="3"/>
  <c r="BM247" i="3"/>
  <c r="BL247" i="3"/>
  <c r="BK247" i="3"/>
  <c r="BJ247" i="3"/>
  <c r="BI247" i="3"/>
  <c r="BH247" i="3"/>
  <c r="BG247" i="3"/>
  <c r="BF247" i="3"/>
  <c r="BE247" i="3"/>
  <c r="BD247" i="3"/>
  <c r="BC247" i="3"/>
  <c r="BB247" i="3"/>
  <c r="BA247" i="3"/>
  <c r="AZ247" i="3"/>
  <c r="AY247" i="3"/>
  <c r="AX247" i="3"/>
  <c r="AW247" i="3"/>
  <c r="AV247" i="3"/>
  <c r="AU247" i="3"/>
  <c r="AT247" i="3"/>
  <c r="E247" i="3"/>
  <c r="E341" i="3" s="1"/>
  <c r="D247" i="3"/>
  <c r="D341" i="3" s="1"/>
  <c r="C247" i="3"/>
  <c r="C341" i="3" s="1"/>
  <c r="B247" i="3"/>
  <c r="B341" i="3" s="1"/>
  <c r="A247" i="3"/>
  <c r="A341" i="3" s="1"/>
  <c r="CG246" i="3"/>
  <c r="CF246" i="3"/>
  <c r="CE246" i="3"/>
  <c r="CD246" i="3"/>
  <c r="CC246" i="3"/>
  <c r="CB246" i="3"/>
  <c r="CA246" i="3"/>
  <c r="BZ246" i="3"/>
  <c r="BY246" i="3"/>
  <c r="BX246" i="3"/>
  <c r="BW246" i="3"/>
  <c r="BV246" i="3"/>
  <c r="BU246" i="3"/>
  <c r="BT246" i="3"/>
  <c r="BS246" i="3"/>
  <c r="BR246" i="3"/>
  <c r="BQ246" i="3"/>
  <c r="BP246" i="3"/>
  <c r="BO246" i="3"/>
  <c r="BN246" i="3"/>
  <c r="BM246" i="3"/>
  <c r="BL246" i="3"/>
  <c r="BK246" i="3"/>
  <c r="BJ246" i="3"/>
  <c r="BI246" i="3"/>
  <c r="BH246" i="3"/>
  <c r="BG246" i="3"/>
  <c r="BF246" i="3"/>
  <c r="BE246" i="3"/>
  <c r="BD246" i="3"/>
  <c r="BC246" i="3"/>
  <c r="BB246" i="3"/>
  <c r="BA246" i="3"/>
  <c r="AZ246" i="3"/>
  <c r="AY246" i="3"/>
  <c r="AX246" i="3"/>
  <c r="AW246" i="3"/>
  <c r="AV246" i="3"/>
  <c r="AU246" i="3"/>
  <c r="AT246" i="3"/>
  <c r="E246" i="3"/>
  <c r="E340" i="3" s="1"/>
  <c r="D246" i="3"/>
  <c r="D340" i="3" s="1"/>
  <c r="C246" i="3"/>
  <c r="C340" i="3" s="1"/>
  <c r="B246" i="3"/>
  <c r="B340" i="3" s="1"/>
  <c r="A246" i="3"/>
  <c r="A340" i="3" s="1"/>
  <c r="CG245" i="3"/>
  <c r="CF245" i="3"/>
  <c r="CE245" i="3"/>
  <c r="CD245" i="3"/>
  <c r="CC245" i="3"/>
  <c r="CB245" i="3"/>
  <c r="CA245" i="3"/>
  <c r="BZ245" i="3"/>
  <c r="BY245" i="3"/>
  <c r="BX245" i="3"/>
  <c r="BW245" i="3"/>
  <c r="BV245" i="3"/>
  <c r="BU245" i="3"/>
  <c r="BT245" i="3"/>
  <c r="BS245" i="3"/>
  <c r="BR245" i="3"/>
  <c r="BQ245" i="3"/>
  <c r="BP245" i="3"/>
  <c r="BO245" i="3"/>
  <c r="BN245" i="3"/>
  <c r="BM245" i="3"/>
  <c r="BL245" i="3"/>
  <c r="BK245" i="3"/>
  <c r="BJ245" i="3"/>
  <c r="BI245" i="3"/>
  <c r="BH245" i="3"/>
  <c r="BG245" i="3"/>
  <c r="BF245" i="3"/>
  <c r="BE245" i="3"/>
  <c r="BD245" i="3"/>
  <c r="BC245" i="3"/>
  <c r="BB245" i="3"/>
  <c r="BA245" i="3"/>
  <c r="AZ245" i="3"/>
  <c r="AY245" i="3"/>
  <c r="AX245" i="3"/>
  <c r="AW245" i="3"/>
  <c r="AV245" i="3"/>
  <c r="AU245" i="3"/>
  <c r="AT245" i="3"/>
  <c r="E245" i="3"/>
  <c r="E339" i="3" s="1"/>
  <c r="D245" i="3"/>
  <c r="D339" i="3" s="1"/>
  <c r="C245" i="3"/>
  <c r="C339" i="3" s="1"/>
  <c r="B245" i="3"/>
  <c r="B339" i="3" s="1"/>
  <c r="A245" i="3"/>
  <c r="A339" i="3" s="1"/>
  <c r="CG244" i="3"/>
  <c r="CF244" i="3"/>
  <c r="CE244" i="3"/>
  <c r="CD244" i="3"/>
  <c r="CC244" i="3"/>
  <c r="CB244" i="3"/>
  <c r="CA244" i="3"/>
  <c r="BZ244" i="3"/>
  <c r="BY244" i="3"/>
  <c r="BX244" i="3"/>
  <c r="BW244" i="3"/>
  <c r="BV244" i="3"/>
  <c r="BU244" i="3"/>
  <c r="BT244" i="3"/>
  <c r="BS244" i="3"/>
  <c r="BR244" i="3"/>
  <c r="BQ244" i="3"/>
  <c r="BP244" i="3"/>
  <c r="BO244" i="3"/>
  <c r="BN244" i="3"/>
  <c r="BM244" i="3"/>
  <c r="BL244" i="3"/>
  <c r="BK244" i="3"/>
  <c r="BJ244" i="3"/>
  <c r="BI244" i="3"/>
  <c r="BH244" i="3"/>
  <c r="BG244" i="3"/>
  <c r="BF244" i="3"/>
  <c r="BE244" i="3"/>
  <c r="BD244" i="3"/>
  <c r="BC244" i="3"/>
  <c r="BB244" i="3"/>
  <c r="BA244" i="3"/>
  <c r="AZ244" i="3"/>
  <c r="AY244" i="3"/>
  <c r="AX244" i="3"/>
  <c r="AW244" i="3"/>
  <c r="AV244" i="3"/>
  <c r="AU244" i="3"/>
  <c r="AT244" i="3"/>
  <c r="E244" i="3"/>
  <c r="E338" i="3" s="1"/>
  <c r="D244" i="3"/>
  <c r="D338" i="3" s="1"/>
  <c r="C244" i="3"/>
  <c r="C338" i="3" s="1"/>
  <c r="B244" i="3"/>
  <c r="B338" i="3" s="1"/>
  <c r="A244" i="3"/>
  <c r="A338" i="3" s="1"/>
  <c r="CG243" i="3"/>
  <c r="CF243" i="3"/>
  <c r="CE243" i="3"/>
  <c r="CD243" i="3"/>
  <c r="CC243" i="3"/>
  <c r="CB243" i="3"/>
  <c r="CA243" i="3"/>
  <c r="BZ243" i="3"/>
  <c r="BY243" i="3"/>
  <c r="BX243" i="3"/>
  <c r="BW243" i="3"/>
  <c r="BV243" i="3"/>
  <c r="BU243" i="3"/>
  <c r="BT243" i="3"/>
  <c r="BS243" i="3"/>
  <c r="BR243" i="3"/>
  <c r="BQ243" i="3"/>
  <c r="BP243" i="3"/>
  <c r="BO243" i="3"/>
  <c r="BN243" i="3"/>
  <c r="BM243" i="3"/>
  <c r="BL243" i="3"/>
  <c r="BK243" i="3"/>
  <c r="BJ243" i="3"/>
  <c r="BI243" i="3"/>
  <c r="BH243" i="3"/>
  <c r="BG243" i="3"/>
  <c r="BF243" i="3"/>
  <c r="BE243" i="3"/>
  <c r="BD243" i="3"/>
  <c r="BC243" i="3"/>
  <c r="BB243" i="3"/>
  <c r="BA243" i="3"/>
  <c r="AZ243" i="3"/>
  <c r="AY243" i="3"/>
  <c r="AX243" i="3"/>
  <c r="AW243" i="3"/>
  <c r="AV243" i="3"/>
  <c r="AU243" i="3"/>
  <c r="AT243" i="3"/>
  <c r="E243" i="3"/>
  <c r="E337" i="3" s="1"/>
  <c r="D243" i="3"/>
  <c r="D337" i="3" s="1"/>
  <c r="C243" i="3"/>
  <c r="C337" i="3" s="1"/>
  <c r="B243" i="3"/>
  <c r="B337" i="3" s="1"/>
  <c r="A243" i="3"/>
  <c r="A337" i="3" s="1"/>
  <c r="CG242" i="3"/>
  <c r="CF242" i="3"/>
  <c r="CE242" i="3"/>
  <c r="CD242" i="3"/>
  <c r="CC242" i="3"/>
  <c r="CB242" i="3"/>
  <c r="CA242" i="3"/>
  <c r="BZ242" i="3"/>
  <c r="BY242" i="3"/>
  <c r="BX242" i="3"/>
  <c r="BW242" i="3"/>
  <c r="BV242" i="3"/>
  <c r="BU242" i="3"/>
  <c r="BT242" i="3"/>
  <c r="BS242" i="3"/>
  <c r="BR242" i="3"/>
  <c r="BQ242" i="3"/>
  <c r="BP242" i="3"/>
  <c r="BO242" i="3"/>
  <c r="BN242" i="3"/>
  <c r="BM242" i="3"/>
  <c r="BL242" i="3"/>
  <c r="BK242" i="3"/>
  <c r="BJ242" i="3"/>
  <c r="BI242" i="3"/>
  <c r="BH242" i="3"/>
  <c r="BG242" i="3"/>
  <c r="BF242" i="3"/>
  <c r="BE242" i="3"/>
  <c r="BD242" i="3"/>
  <c r="BC242" i="3"/>
  <c r="BB242" i="3"/>
  <c r="BA242" i="3"/>
  <c r="AZ242" i="3"/>
  <c r="AY242" i="3"/>
  <c r="AX242" i="3"/>
  <c r="AW242" i="3"/>
  <c r="AV242" i="3"/>
  <c r="AU242" i="3"/>
  <c r="AT242" i="3"/>
  <c r="E242" i="3"/>
  <c r="E336" i="3" s="1"/>
  <c r="D242" i="3"/>
  <c r="D336" i="3" s="1"/>
  <c r="C242" i="3"/>
  <c r="C336" i="3" s="1"/>
  <c r="B242" i="3"/>
  <c r="B336" i="3" s="1"/>
  <c r="A242" i="3"/>
  <c r="A336" i="3" s="1"/>
  <c r="CG241" i="3"/>
  <c r="CF241" i="3"/>
  <c r="CE241" i="3"/>
  <c r="CD241" i="3"/>
  <c r="CC241" i="3"/>
  <c r="CB241" i="3"/>
  <c r="CA241" i="3"/>
  <c r="BZ241" i="3"/>
  <c r="BY241" i="3"/>
  <c r="BX241" i="3"/>
  <c r="BW241" i="3"/>
  <c r="BV241" i="3"/>
  <c r="BU241" i="3"/>
  <c r="BT241" i="3"/>
  <c r="BS241" i="3"/>
  <c r="BR241" i="3"/>
  <c r="BQ241" i="3"/>
  <c r="BP241" i="3"/>
  <c r="BO241" i="3"/>
  <c r="BN241" i="3"/>
  <c r="BM241" i="3"/>
  <c r="BL241" i="3"/>
  <c r="BK241" i="3"/>
  <c r="BJ241" i="3"/>
  <c r="BI241" i="3"/>
  <c r="BH241" i="3"/>
  <c r="BG241" i="3"/>
  <c r="BF241" i="3"/>
  <c r="BE241" i="3"/>
  <c r="BD241" i="3"/>
  <c r="BC241" i="3"/>
  <c r="BB241" i="3"/>
  <c r="BA241" i="3"/>
  <c r="AZ241" i="3"/>
  <c r="AY241" i="3"/>
  <c r="AX241" i="3"/>
  <c r="AW241" i="3"/>
  <c r="AV241" i="3"/>
  <c r="AU241" i="3"/>
  <c r="AT241" i="3"/>
  <c r="E241" i="3"/>
  <c r="E335" i="3" s="1"/>
  <c r="D241" i="3"/>
  <c r="D335" i="3" s="1"/>
  <c r="C241" i="3"/>
  <c r="C335" i="3" s="1"/>
  <c r="B241" i="3"/>
  <c r="B335" i="3" s="1"/>
  <c r="A241" i="3"/>
  <c r="A335" i="3" s="1"/>
  <c r="CG240" i="3"/>
  <c r="CF240" i="3"/>
  <c r="CE240" i="3"/>
  <c r="CD240" i="3"/>
  <c r="CC240" i="3"/>
  <c r="CB240" i="3"/>
  <c r="CA240" i="3"/>
  <c r="BZ240" i="3"/>
  <c r="BY240" i="3"/>
  <c r="BX240" i="3"/>
  <c r="BW240" i="3"/>
  <c r="BV240" i="3"/>
  <c r="BU240" i="3"/>
  <c r="BT240" i="3"/>
  <c r="BS240" i="3"/>
  <c r="BR240" i="3"/>
  <c r="BQ240" i="3"/>
  <c r="BP240" i="3"/>
  <c r="BO240" i="3"/>
  <c r="BN240" i="3"/>
  <c r="BM240" i="3"/>
  <c r="BL240" i="3"/>
  <c r="BK240" i="3"/>
  <c r="BJ240" i="3"/>
  <c r="BI240" i="3"/>
  <c r="BH240" i="3"/>
  <c r="BG240" i="3"/>
  <c r="BF240" i="3"/>
  <c r="BE240" i="3"/>
  <c r="BD240" i="3"/>
  <c r="BC240" i="3"/>
  <c r="BB240" i="3"/>
  <c r="BA240" i="3"/>
  <c r="AZ240" i="3"/>
  <c r="AY240" i="3"/>
  <c r="AX240" i="3"/>
  <c r="AW240" i="3"/>
  <c r="AV240" i="3"/>
  <c r="AU240" i="3"/>
  <c r="AT240" i="3"/>
  <c r="E240" i="3"/>
  <c r="E334" i="3" s="1"/>
  <c r="D240" i="3"/>
  <c r="D334" i="3" s="1"/>
  <c r="C240" i="3"/>
  <c r="C334" i="3" s="1"/>
  <c r="B240" i="3"/>
  <c r="B334" i="3" s="1"/>
  <c r="A240" i="3"/>
  <c r="A334" i="3" s="1"/>
  <c r="CG239" i="3"/>
  <c r="CF239" i="3"/>
  <c r="CE239" i="3"/>
  <c r="CD239" i="3"/>
  <c r="CC239" i="3"/>
  <c r="CB239" i="3"/>
  <c r="CA239" i="3"/>
  <c r="BZ239" i="3"/>
  <c r="BY239" i="3"/>
  <c r="BX239" i="3"/>
  <c r="BW239" i="3"/>
  <c r="BV239" i="3"/>
  <c r="BU239" i="3"/>
  <c r="BT239" i="3"/>
  <c r="BS239" i="3"/>
  <c r="BR239" i="3"/>
  <c r="BQ239" i="3"/>
  <c r="BP239" i="3"/>
  <c r="BO239" i="3"/>
  <c r="BN239" i="3"/>
  <c r="BM239" i="3"/>
  <c r="BL239" i="3"/>
  <c r="BK239" i="3"/>
  <c r="BJ239" i="3"/>
  <c r="BI239" i="3"/>
  <c r="BH239" i="3"/>
  <c r="BG239" i="3"/>
  <c r="BF239" i="3"/>
  <c r="BE239" i="3"/>
  <c r="BD239" i="3"/>
  <c r="BC239" i="3"/>
  <c r="BB239" i="3"/>
  <c r="BA239" i="3"/>
  <c r="AZ239" i="3"/>
  <c r="AY239" i="3"/>
  <c r="AX239" i="3"/>
  <c r="AW239" i="3"/>
  <c r="AV239" i="3"/>
  <c r="AU239" i="3"/>
  <c r="AT239" i="3"/>
  <c r="E239" i="3"/>
  <c r="E333" i="3" s="1"/>
  <c r="D239" i="3"/>
  <c r="D333" i="3" s="1"/>
  <c r="C239" i="3"/>
  <c r="C333" i="3" s="1"/>
  <c r="B239" i="3"/>
  <c r="B333" i="3" s="1"/>
  <c r="A239" i="3"/>
  <c r="A333" i="3" s="1"/>
  <c r="CG238" i="3"/>
  <c r="CF238" i="3"/>
  <c r="CE238" i="3"/>
  <c r="CD238" i="3"/>
  <c r="CC238" i="3"/>
  <c r="CB238" i="3"/>
  <c r="CA238" i="3"/>
  <c r="BZ238" i="3"/>
  <c r="BY238" i="3"/>
  <c r="BX238" i="3"/>
  <c r="BW238" i="3"/>
  <c r="BV238" i="3"/>
  <c r="BU238" i="3"/>
  <c r="BT238" i="3"/>
  <c r="BS238" i="3"/>
  <c r="BR238" i="3"/>
  <c r="BQ238" i="3"/>
  <c r="BP238" i="3"/>
  <c r="BO238" i="3"/>
  <c r="BN238" i="3"/>
  <c r="BM238" i="3"/>
  <c r="BL238" i="3"/>
  <c r="BK238" i="3"/>
  <c r="BJ238" i="3"/>
  <c r="BI238" i="3"/>
  <c r="BH238" i="3"/>
  <c r="BG238" i="3"/>
  <c r="BF238" i="3"/>
  <c r="BE238" i="3"/>
  <c r="BD238" i="3"/>
  <c r="BC238" i="3"/>
  <c r="BB238" i="3"/>
  <c r="BA238" i="3"/>
  <c r="AZ238" i="3"/>
  <c r="AY238" i="3"/>
  <c r="AX238" i="3"/>
  <c r="AW238" i="3"/>
  <c r="AV238" i="3"/>
  <c r="AU238" i="3"/>
  <c r="AT238" i="3"/>
  <c r="E238" i="3"/>
  <c r="E332" i="3" s="1"/>
  <c r="D238" i="3"/>
  <c r="D332" i="3" s="1"/>
  <c r="C238" i="3"/>
  <c r="C332" i="3" s="1"/>
  <c r="B238" i="3"/>
  <c r="B332" i="3" s="1"/>
  <c r="A238" i="3"/>
  <c r="A332" i="3" s="1"/>
  <c r="CG237" i="3"/>
  <c r="CF237" i="3"/>
  <c r="CE237" i="3"/>
  <c r="CD237" i="3"/>
  <c r="CC237" i="3"/>
  <c r="CB237" i="3"/>
  <c r="CA237" i="3"/>
  <c r="BZ237" i="3"/>
  <c r="BY237" i="3"/>
  <c r="BX237" i="3"/>
  <c r="BW237" i="3"/>
  <c r="BV237" i="3"/>
  <c r="BU237" i="3"/>
  <c r="BT237" i="3"/>
  <c r="BS237" i="3"/>
  <c r="BR237" i="3"/>
  <c r="BQ237" i="3"/>
  <c r="BP237" i="3"/>
  <c r="BO237" i="3"/>
  <c r="BN237" i="3"/>
  <c r="BM237" i="3"/>
  <c r="BL237" i="3"/>
  <c r="BK237" i="3"/>
  <c r="BJ237" i="3"/>
  <c r="BI237" i="3"/>
  <c r="BH237" i="3"/>
  <c r="BG237" i="3"/>
  <c r="BF237" i="3"/>
  <c r="BE237" i="3"/>
  <c r="BD237" i="3"/>
  <c r="BC237" i="3"/>
  <c r="BB237" i="3"/>
  <c r="BA237" i="3"/>
  <c r="AZ237" i="3"/>
  <c r="AY237" i="3"/>
  <c r="AX237" i="3"/>
  <c r="AW237" i="3"/>
  <c r="AV237" i="3"/>
  <c r="AU237" i="3"/>
  <c r="AT237" i="3"/>
  <c r="E237" i="3"/>
  <c r="E331" i="3" s="1"/>
  <c r="D237" i="3"/>
  <c r="D331" i="3" s="1"/>
  <c r="C237" i="3"/>
  <c r="C331" i="3" s="1"/>
  <c r="B237" i="3"/>
  <c r="B331" i="3" s="1"/>
  <c r="A237" i="3"/>
  <c r="A331" i="3" s="1"/>
  <c r="CG236" i="3"/>
  <c r="CF236" i="3"/>
  <c r="CE236" i="3"/>
  <c r="CD236" i="3"/>
  <c r="CC236" i="3"/>
  <c r="CB236" i="3"/>
  <c r="CA236" i="3"/>
  <c r="BZ236" i="3"/>
  <c r="BY236" i="3"/>
  <c r="BX236" i="3"/>
  <c r="BW236" i="3"/>
  <c r="BV236" i="3"/>
  <c r="BU236" i="3"/>
  <c r="BT236" i="3"/>
  <c r="BS236" i="3"/>
  <c r="BR236" i="3"/>
  <c r="BQ236" i="3"/>
  <c r="BP236" i="3"/>
  <c r="BO236" i="3"/>
  <c r="BN236" i="3"/>
  <c r="BM236" i="3"/>
  <c r="BL236" i="3"/>
  <c r="BK236" i="3"/>
  <c r="BJ236" i="3"/>
  <c r="BI236" i="3"/>
  <c r="BH236" i="3"/>
  <c r="BG236" i="3"/>
  <c r="BF236" i="3"/>
  <c r="BE236" i="3"/>
  <c r="BD236" i="3"/>
  <c r="BC236" i="3"/>
  <c r="BB236" i="3"/>
  <c r="BA236" i="3"/>
  <c r="AZ236" i="3"/>
  <c r="AY236" i="3"/>
  <c r="AX236" i="3"/>
  <c r="AW236" i="3"/>
  <c r="AV236" i="3"/>
  <c r="AU236" i="3"/>
  <c r="AT236" i="3"/>
  <c r="E236" i="3"/>
  <c r="E330" i="3" s="1"/>
  <c r="D236" i="3"/>
  <c r="D330" i="3" s="1"/>
  <c r="C236" i="3"/>
  <c r="C330" i="3" s="1"/>
  <c r="B236" i="3"/>
  <c r="B330" i="3" s="1"/>
  <c r="A236" i="3"/>
  <c r="A330" i="3" s="1"/>
  <c r="CG235" i="3"/>
  <c r="CF235" i="3"/>
  <c r="CE235" i="3"/>
  <c r="CD235" i="3"/>
  <c r="CC235" i="3"/>
  <c r="CB235" i="3"/>
  <c r="CA235" i="3"/>
  <c r="BZ235" i="3"/>
  <c r="BY235" i="3"/>
  <c r="BX235" i="3"/>
  <c r="BW235" i="3"/>
  <c r="BV235" i="3"/>
  <c r="BU235" i="3"/>
  <c r="BT235" i="3"/>
  <c r="BS235" i="3"/>
  <c r="BR235" i="3"/>
  <c r="BQ235" i="3"/>
  <c r="BP235" i="3"/>
  <c r="BO235" i="3"/>
  <c r="BN235" i="3"/>
  <c r="BM235" i="3"/>
  <c r="BL235" i="3"/>
  <c r="BK235" i="3"/>
  <c r="BJ235" i="3"/>
  <c r="BI235" i="3"/>
  <c r="BH235" i="3"/>
  <c r="BG235" i="3"/>
  <c r="BF235" i="3"/>
  <c r="BE235" i="3"/>
  <c r="BD235" i="3"/>
  <c r="BC235" i="3"/>
  <c r="BB235" i="3"/>
  <c r="BA235" i="3"/>
  <c r="AZ235" i="3"/>
  <c r="AY235" i="3"/>
  <c r="AX235" i="3"/>
  <c r="AW235" i="3"/>
  <c r="AV235" i="3"/>
  <c r="AU235" i="3"/>
  <c r="AT235" i="3"/>
  <c r="E235" i="3"/>
  <c r="E329" i="3" s="1"/>
  <c r="D235" i="3"/>
  <c r="D329" i="3" s="1"/>
  <c r="C235" i="3"/>
  <c r="C329" i="3" s="1"/>
  <c r="B235" i="3"/>
  <c r="B329" i="3" s="1"/>
  <c r="A235" i="3"/>
  <c r="A329" i="3" s="1"/>
  <c r="CG234" i="3"/>
  <c r="CF234" i="3"/>
  <c r="CE234" i="3"/>
  <c r="CD234" i="3"/>
  <c r="CC234" i="3"/>
  <c r="CB234" i="3"/>
  <c r="CA234" i="3"/>
  <c r="BZ234" i="3"/>
  <c r="BY234" i="3"/>
  <c r="BX234" i="3"/>
  <c r="BW234" i="3"/>
  <c r="BV234" i="3"/>
  <c r="BU234" i="3"/>
  <c r="BT234" i="3"/>
  <c r="BS234" i="3"/>
  <c r="BR234" i="3"/>
  <c r="BQ234" i="3"/>
  <c r="BP234" i="3"/>
  <c r="BO234" i="3"/>
  <c r="BN234" i="3"/>
  <c r="BM234" i="3"/>
  <c r="BL234" i="3"/>
  <c r="BK234" i="3"/>
  <c r="BJ234" i="3"/>
  <c r="BI234" i="3"/>
  <c r="BH234" i="3"/>
  <c r="BG234" i="3"/>
  <c r="BF234" i="3"/>
  <c r="BE234" i="3"/>
  <c r="BD234" i="3"/>
  <c r="BC234" i="3"/>
  <c r="BB234" i="3"/>
  <c r="BA234" i="3"/>
  <c r="AZ234" i="3"/>
  <c r="AY234" i="3"/>
  <c r="AX234" i="3"/>
  <c r="AW234" i="3"/>
  <c r="AV234" i="3"/>
  <c r="AU234" i="3"/>
  <c r="AT234" i="3"/>
  <c r="E234" i="3"/>
  <c r="E328" i="3" s="1"/>
  <c r="D234" i="3"/>
  <c r="D328" i="3" s="1"/>
  <c r="C234" i="3"/>
  <c r="C328" i="3" s="1"/>
  <c r="B234" i="3"/>
  <c r="B328" i="3" s="1"/>
  <c r="A234" i="3"/>
  <c r="A328" i="3" s="1"/>
  <c r="CG233" i="3"/>
  <c r="CF233" i="3"/>
  <c r="CE233" i="3"/>
  <c r="CD233" i="3"/>
  <c r="CC233" i="3"/>
  <c r="CB233" i="3"/>
  <c r="CA233" i="3"/>
  <c r="BZ233" i="3"/>
  <c r="BY233" i="3"/>
  <c r="BX233" i="3"/>
  <c r="BW233" i="3"/>
  <c r="BV233" i="3"/>
  <c r="BU233" i="3"/>
  <c r="BT233" i="3"/>
  <c r="BS233" i="3"/>
  <c r="BR233" i="3"/>
  <c r="BQ233" i="3"/>
  <c r="BP233" i="3"/>
  <c r="BO233" i="3"/>
  <c r="BN233" i="3"/>
  <c r="BM233" i="3"/>
  <c r="BL233" i="3"/>
  <c r="BK233" i="3"/>
  <c r="BJ233" i="3"/>
  <c r="BI233" i="3"/>
  <c r="BH233" i="3"/>
  <c r="BG233" i="3"/>
  <c r="BF233" i="3"/>
  <c r="BE233" i="3"/>
  <c r="BD233" i="3"/>
  <c r="BC233" i="3"/>
  <c r="BB233" i="3"/>
  <c r="BA233" i="3"/>
  <c r="AZ233" i="3"/>
  <c r="AY233" i="3"/>
  <c r="AX233" i="3"/>
  <c r="AW233" i="3"/>
  <c r="AV233" i="3"/>
  <c r="AU233" i="3"/>
  <c r="AT233" i="3"/>
  <c r="E233" i="3"/>
  <c r="B233" i="3"/>
  <c r="A233" i="3"/>
  <c r="CG232" i="3"/>
  <c r="CF232" i="3"/>
  <c r="CE232" i="3"/>
  <c r="CD232" i="3"/>
  <c r="CC232" i="3"/>
  <c r="CB232" i="3"/>
  <c r="CA232" i="3"/>
  <c r="BZ232" i="3"/>
  <c r="BY232" i="3"/>
  <c r="BX232" i="3"/>
  <c r="BW232" i="3"/>
  <c r="BV232" i="3"/>
  <c r="BU232" i="3"/>
  <c r="BT232" i="3"/>
  <c r="BS232" i="3"/>
  <c r="BR232" i="3"/>
  <c r="BQ232" i="3"/>
  <c r="BP232" i="3"/>
  <c r="BO232" i="3"/>
  <c r="BN232" i="3"/>
  <c r="BM232" i="3"/>
  <c r="BL232" i="3"/>
  <c r="BK232" i="3"/>
  <c r="BJ232" i="3"/>
  <c r="BI232" i="3"/>
  <c r="BH232" i="3"/>
  <c r="BG232" i="3"/>
  <c r="BF232" i="3"/>
  <c r="BE232" i="3"/>
  <c r="BD232" i="3"/>
  <c r="BC232" i="3"/>
  <c r="BB232" i="3"/>
  <c r="BA232" i="3"/>
  <c r="AZ232" i="3"/>
  <c r="AY232" i="3"/>
  <c r="AX232" i="3"/>
  <c r="AW232" i="3"/>
  <c r="AV232" i="3"/>
  <c r="AU232" i="3"/>
  <c r="AT232" i="3"/>
  <c r="E232" i="3"/>
  <c r="B232" i="3"/>
  <c r="A232" i="3"/>
  <c r="CG231" i="3"/>
  <c r="CF231" i="3"/>
  <c r="CE231" i="3"/>
  <c r="CD231" i="3"/>
  <c r="CC231" i="3"/>
  <c r="CB231" i="3"/>
  <c r="CA231" i="3"/>
  <c r="BZ231" i="3"/>
  <c r="BY231" i="3"/>
  <c r="BX231" i="3"/>
  <c r="BW231" i="3"/>
  <c r="BV231" i="3"/>
  <c r="BU231" i="3"/>
  <c r="BT231" i="3"/>
  <c r="BS231" i="3"/>
  <c r="BR231" i="3"/>
  <c r="BQ231" i="3"/>
  <c r="BP231" i="3"/>
  <c r="BO231" i="3"/>
  <c r="BN231" i="3"/>
  <c r="BM231" i="3"/>
  <c r="BL231" i="3"/>
  <c r="BK231" i="3"/>
  <c r="BJ231" i="3"/>
  <c r="BI231" i="3"/>
  <c r="BH231" i="3"/>
  <c r="BG231" i="3"/>
  <c r="BF231" i="3"/>
  <c r="BE231" i="3"/>
  <c r="BD231" i="3"/>
  <c r="BC231" i="3"/>
  <c r="BB231" i="3"/>
  <c r="BA231" i="3"/>
  <c r="AZ231" i="3"/>
  <c r="AY231" i="3"/>
  <c r="AX231" i="3"/>
  <c r="AW231" i="3"/>
  <c r="AV231" i="3"/>
  <c r="AU231" i="3"/>
  <c r="AT231" i="3"/>
  <c r="E231" i="3"/>
  <c r="B231" i="3"/>
  <c r="A231" i="3"/>
  <c r="CG230" i="3"/>
  <c r="CF230" i="3"/>
  <c r="CE230" i="3"/>
  <c r="CD230" i="3"/>
  <c r="CC230" i="3"/>
  <c r="CB230" i="3"/>
  <c r="CA230" i="3"/>
  <c r="BZ230" i="3"/>
  <c r="BY230" i="3"/>
  <c r="BX230" i="3"/>
  <c r="BW230" i="3"/>
  <c r="BV230" i="3"/>
  <c r="BU230" i="3"/>
  <c r="BT230" i="3"/>
  <c r="BS230" i="3"/>
  <c r="BR230" i="3"/>
  <c r="BQ230" i="3"/>
  <c r="BP230" i="3"/>
  <c r="BO230" i="3"/>
  <c r="BN230" i="3"/>
  <c r="BM230" i="3"/>
  <c r="BL230" i="3"/>
  <c r="BK230" i="3"/>
  <c r="BJ230" i="3"/>
  <c r="BI230" i="3"/>
  <c r="BH230" i="3"/>
  <c r="BG230" i="3"/>
  <c r="BF230" i="3"/>
  <c r="BE230" i="3"/>
  <c r="BD230" i="3"/>
  <c r="BC230" i="3"/>
  <c r="BB230" i="3"/>
  <c r="BA230" i="3"/>
  <c r="AZ230" i="3"/>
  <c r="AY230" i="3"/>
  <c r="AX230" i="3"/>
  <c r="AW230" i="3"/>
  <c r="AV230" i="3"/>
  <c r="AU230" i="3"/>
  <c r="AT230" i="3"/>
  <c r="E230" i="3"/>
  <c r="B230" i="3"/>
  <c r="A230" i="3"/>
  <c r="CG229" i="3"/>
  <c r="CF229" i="3"/>
  <c r="CE229" i="3"/>
  <c r="CD229" i="3"/>
  <c r="CC229" i="3"/>
  <c r="CB229" i="3"/>
  <c r="CA229" i="3"/>
  <c r="BZ229" i="3"/>
  <c r="BY229" i="3"/>
  <c r="BX229" i="3"/>
  <c r="BW229" i="3"/>
  <c r="BV229" i="3"/>
  <c r="BU229" i="3"/>
  <c r="BT229" i="3"/>
  <c r="BS229" i="3"/>
  <c r="BR229" i="3"/>
  <c r="BQ229" i="3"/>
  <c r="BP229" i="3"/>
  <c r="BO229" i="3"/>
  <c r="BN229" i="3"/>
  <c r="BM229" i="3"/>
  <c r="BL229" i="3"/>
  <c r="BK229" i="3"/>
  <c r="BJ229" i="3"/>
  <c r="BI229" i="3"/>
  <c r="BH229" i="3"/>
  <c r="BG229" i="3"/>
  <c r="BF229" i="3"/>
  <c r="BE229" i="3"/>
  <c r="BD229" i="3"/>
  <c r="BC229" i="3"/>
  <c r="BB229" i="3"/>
  <c r="BA229" i="3"/>
  <c r="AZ229" i="3"/>
  <c r="AY229" i="3"/>
  <c r="AX229" i="3"/>
  <c r="AW229" i="3"/>
  <c r="AV229" i="3"/>
  <c r="AU229" i="3"/>
  <c r="AT229" i="3"/>
  <c r="E229" i="3"/>
  <c r="B229" i="3"/>
  <c r="A229" i="3"/>
  <c r="CG228" i="3"/>
  <c r="CF228" i="3"/>
  <c r="CE228" i="3"/>
  <c r="CD228" i="3"/>
  <c r="CC228" i="3"/>
  <c r="CB228" i="3"/>
  <c r="CA228" i="3"/>
  <c r="BZ228" i="3"/>
  <c r="BY228" i="3"/>
  <c r="BX228" i="3"/>
  <c r="BW228" i="3"/>
  <c r="BV228" i="3"/>
  <c r="BU228" i="3"/>
  <c r="BT228" i="3"/>
  <c r="BS228" i="3"/>
  <c r="BR228" i="3"/>
  <c r="BQ228" i="3"/>
  <c r="BP228" i="3"/>
  <c r="BO228" i="3"/>
  <c r="BN228" i="3"/>
  <c r="BM228" i="3"/>
  <c r="BL228" i="3"/>
  <c r="BK228" i="3"/>
  <c r="BJ228" i="3"/>
  <c r="BI228" i="3"/>
  <c r="BH228" i="3"/>
  <c r="BG228" i="3"/>
  <c r="BF228" i="3"/>
  <c r="BE228" i="3"/>
  <c r="BD228" i="3"/>
  <c r="BC228" i="3"/>
  <c r="BB228" i="3"/>
  <c r="BA228" i="3"/>
  <c r="AZ228" i="3"/>
  <c r="AY228" i="3"/>
  <c r="AX228" i="3"/>
  <c r="AW228" i="3"/>
  <c r="AV228" i="3"/>
  <c r="AU228" i="3"/>
  <c r="AT228" i="3"/>
  <c r="E228" i="3"/>
  <c r="B228" i="3"/>
  <c r="A228" i="3"/>
  <c r="CG227" i="3"/>
  <c r="CF227" i="3"/>
  <c r="CE227" i="3"/>
  <c r="CD227" i="3"/>
  <c r="CC227" i="3"/>
  <c r="CB227" i="3"/>
  <c r="CA227" i="3"/>
  <c r="BZ227" i="3"/>
  <c r="BY227" i="3"/>
  <c r="BX227" i="3"/>
  <c r="BW227" i="3"/>
  <c r="BV227" i="3"/>
  <c r="BU227" i="3"/>
  <c r="BT227" i="3"/>
  <c r="BS227" i="3"/>
  <c r="BR227" i="3"/>
  <c r="BQ227" i="3"/>
  <c r="BP227" i="3"/>
  <c r="BO227" i="3"/>
  <c r="BN227" i="3"/>
  <c r="BM227" i="3"/>
  <c r="BL227" i="3"/>
  <c r="BK227" i="3"/>
  <c r="BJ227" i="3"/>
  <c r="BI227" i="3"/>
  <c r="BH227" i="3"/>
  <c r="BG227" i="3"/>
  <c r="BF227" i="3"/>
  <c r="BE227" i="3"/>
  <c r="BD227" i="3"/>
  <c r="BC227" i="3"/>
  <c r="BB227" i="3"/>
  <c r="BA227" i="3"/>
  <c r="AZ227" i="3"/>
  <c r="AY227" i="3"/>
  <c r="AX227" i="3"/>
  <c r="AW227" i="3"/>
  <c r="AV227" i="3"/>
  <c r="AU227" i="3"/>
  <c r="AT227" i="3"/>
  <c r="E227" i="3"/>
  <c r="B227" i="3"/>
  <c r="A227" i="3"/>
  <c r="CG226" i="3"/>
  <c r="CF226" i="3"/>
  <c r="CE226" i="3"/>
  <c r="CD226" i="3"/>
  <c r="CC226" i="3"/>
  <c r="CB226" i="3"/>
  <c r="CA226" i="3"/>
  <c r="BZ226" i="3"/>
  <c r="BY226" i="3"/>
  <c r="BX226" i="3"/>
  <c r="BW226" i="3"/>
  <c r="BV226" i="3"/>
  <c r="BU226" i="3"/>
  <c r="BT226" i="3"/>
  <c r="BS226" i="3"/>
  <c r="BR226" i="3"/>
  <c r="BQ226" i="3"/>
  <c r="BP226" i="3"/>
  <c r="BO226" i="3"/>
  <c r="BN226" i="3"/>
  <c r="BM226" i="3"/>
  <c r="BL226" i="3"/>
  <c r="BK226" i="3"/>
  <c r="BJ226" i="3"/>
  <c r="BI226" i="3"/>
  <c r="BH226" i="3"/>
  <c r="BG226" i="3"/>
  <c r="BF226" i="3"/>
  <c r="BE226" i="3"/>
  <c r="BD226" i="3"/>
  <c r="BC226" i="3"/>
  <c r="BB226" i="3"/>
  <c r="BA226" i="3"/>
  <c r="AZ226" i="3"/>
  <c r="AY226" i="3"/>
  <c r="AX226" i="3"/>
  <c r="AW226" i="3"/>
  <c r="AV226" i="3"/>
  <c r="AU226" i="3"/>
  <c r="AT226" i="3"/>
  <c r="E226" i="3"/>
  <c r="B226" i="3"/>
  <c r="A226" i="3"/>
  <c r="CG225" i="3"/>
  <c r="CF225" i="3"/>
  <c r="CE225" i="3"/>
  <c r="CD225" i="3"/>
  <c r="CC225" i="3"/>
  <c r="CB225" i="3"/>
  <c r="CA225" i="3"/>
  <c r="BZ225" i="3"/>
  <c r="BY225" i="3"/>
  <c r="BX225" i="3"/>
  <c r="BW225" i="3"/>
  <c r="BV225" i="3"/>
  <c r="BU225" i="3"/>
  <c r="BT225" i="3"/>
  <c r="BS225" i="3"/>
  <c r="BR225" i="3"/>
  <c r="BQ225" i="3"/>
  <c r="BP225" i="3"/>
  <c r="BO225" i="3"/>
  <c r="BN225" i="3"/>
  <c r="BM225" i="3"/>
  <c r="BL225" i="3"/>
  <c r="BK225" i="3"/>
  <c r="BJ225" i="3"/>
  <c r="BI225" i="3"/>
  <c r="BH225" i="3"/>
  <c r="BG225" i="3"/>
  <c r="BF225" i="3"/>
  <c r="BE225" i="3"/>
  <c r="BD225" i="3"/>
  <c r="BC225" i="3"/>
  <c r="BB225" i="3"/>
  <c r="BA225" i="3"/>
  <c r="AZ225" i="3"/>
  <c r="AY225" i="3"/>
  <c r="AX225" i="3"/>
  <c r="AW225" i="3"/>
  <c r="AV225" i="3"/>
  <c r="AU225" i="3"/>
  <c r="AT225" i="3"/>
  <c r="E225" i="3"/>
  <c r="B225" i="3"/>
  <c r="A225" i="3"/>
  <c r="CG224" i="3"/>
  <c r="CF224" i="3"/>
  <c r="CE224" i="3"/>
  <c r="CD224" i="3"/>
  <c r="CC224" i="3"/>
  <c r="CB224" i="3"/>
  <c r="CA224" i="3"/>
  <c r="BZ224" i="3"/>
  <c r="BY224" i="3"/>
  <c r="BX224" i="3"/>
  <c r="BW224" i="3"/>
  <c r="BV224" i="3"/>
  <c r="BU224" i="3"/>
  <c r="BT224" i="3"/>
  <c r="BS224" i="3"/>
  <c r="BR224" i="3"/>
  <c r="BQ224" i="3"/>
  <c r="BP224" i="3"/>
  <c r="BO224" i="3"/>
  <c r="BN224" i="3"/>
  <c r="BM224" i="3"/>
  <c r="BL224" i="3"/>
  <c r="BK224" i="3"/>
  <c r="BJ224" i="3"/>
  <c r="BI224" i="3"/>
  <c r="BH224" i="3"/>
  <c r="BG224" i="3"/>
  <c r="BF224" i="3"/>
  <c r="BE224" i="3"/>
  <c r="BD224" i="3"/>
  <c r="BC224" i="3"/>
  <c r="BB224" i="3"/>
  <c r="BA224" i="3"/>
  <c r="AZ224" i="3"/>
  <c r="AY224" i="3"/>
  <c r="AX224" i="3"/>
  <c r="AW224" i="3"/>
  <c r="AV224" i="3"/>
  <c r="AU224" i="3"/>
  <c r="AT224" i="3"/>
  <c r="E224" i="3"/>
  <c r="B224" i="3"/>
  <c r="A224" i="3"/>
  <c r="CG223" i="3"/>
  <c r="CF223" i="3"/>
  <c r="CE223" i="3"/>
  <c r="CD223" i="3"/>
  <c r="CC223" i="3"/>
  <c r="CB223" i="3"/>
  <c r="CA223" i="3"/>
  <c r="BZ223" i="3"/>
  <c r="BY223" i="3"/>
  <c r="BX223" i="3"/>
  <c r="BW223" i="3"/>
  <c r="BV223" i="3"/>
  <c r="BU223" i="3"/>
  <c r="BT223" i="3"/>
  <c r="BS223" i="3"/>
  <c r="BR223" i="3"/>
  <c r="BQ223" i="3"/>
  <c r="BP223" i="3"/>
  <c r="BO223" i="3"/>
  <c r="BN223" i="3"/>
  <c r="BM223" i="3"/>
  <c r="BL223" i="3"/>
  <c r="BK223" i="3"/>
  <c r="BJ223" i="3"/>
  <c r="BI223" i="3"/>
  <c r="BH223" i="3"/>
  <c r="BG223" i="3"/>
  <c r="BF223" i="3"/>
  <c r="BE223" i="3"/>
  <c r="BD223" i="3"/>
  <c r="BC223" i="3"/>
  <c r="BB223" i="3"/>
  <c r="BA223" i="3"/>
  <c r="AZ223" i="3"/>
  <c r="AY223" i="3"/>
  <c r="AX223" i="3"/>
  <c r="AW223" i="3"/>
  <c r="AV223" i="3"/>
  <c r="AU223" i="3"/>
  <c r="AT223" i="3"/>
  <c r="E223" i="3"/>
  <c r="B223" i="3"/>
  <c r="A223" i="3"/>
  <c r="CG222" i="3"/>
  <c r="CF222" i="3"/>
  <c r="CE222" i="3"/>
  <c r="CD222" i="3"/>
  <c r="CC222" i="3"/>
  <c r="CB222" i="3"/>
  <c r="CA222" i="3"/>
  <c r="BZ222" i="3"/>
  <c r="BY222" i="3"/>
  <c r="BX222" i="3"/>
  <c r="BW222" i="3"/>
  <c r="BV222" i="3"/>
  <c r="BU222" i="3"/>
  <c r="BT222" i="3"/>
  <c r="BS222" i="3"/>
  <c r="BR222" i="3"/>
  <c r="BQ222" i="3"/>
  <c r="BP222" i="3"/>
  <c r="BO222" i="3"/>
  <c r="BN222" i="3"/>
  <c r="BM222" i="3"/>
  <c r="BL222" i="3"/>
  <c r="BK222" i="3"/>
  <c r="BJ222" i="3"/>
  <c r="BI222" i="3"/>
  <c r="BH222" i="3"/>
  <c r="BG222" i="3"/>
  <c r="BF222" i="3"/>
  <c r="BE222" i="3"/>
  <c r="BD222" i="3"/>
  <c r="BC222" i="3"/>
  <c r="BB222" i="3"/>
  <c r="BA222" i="3"/>
  <c r="AZ222" i="3"/>
  <c r="AY222" i="3"/>
  <c r="AX222" i="3"/>
  <c r="AW222" i="3"/>
  <c r="AV222" i="3"/>
  <c r="AU222" i="3"/>
  <c r="AT222" i="3"/>
  <c r="E222" i="3"/>
  <c r="B222" i="3"/>
  <c r="A222" i="3"/>
  <c r="CG221" i="3"/>
  <c r="CF221" i="3"/>
  <c r="CE221" i="3"/>
  <c r="CD221" i="3"/>
  <c r="CC221" i="3"/>
  <c r="CB221" i="3"/>
  <c r="CA221" i="3"/>
  <c r="BZ221" i="3"/>
  <c r="BY221" i="3"/>
  <c r="BX221" i="3"/>
  <c r="BW221" i="3"/>
  <c r="BV221" i="3"/>
  <c r="BU221" i="3"/>
  <c r="BT221" i="3"/>
  <c r="BS221" i="3"/>
  <c r="BR221" i="3"/>
  <c r="BQ221" i="3"/>
  <c r="BP221" i="3"/>
  <c r="BO221" i="3"/>
  <c r="BN221" i="3"/>
  <c r="BM221" i="3"/>
  <c r="BL221" i="3"/>
  <c r="BK221" i="3"/>
  <c r="BJ221" i="3"/>
  <c r="BI221" i="3"/>
  <c r="BH221" i="3"/>
  <c r="BG221" i="3"/>
  <c r="BF221" i="3"/>
  <c r="BE221" i="3"/>
  <c r="BD221" i="3"/>
  <c r="BC221" i="3"/>
  <c r="BB221" i="3"/>
  <c r="BA221" i="3"/>
  <c r="AZ221" i="3"/>
  <c r="AY221" i="3"/>
  <c r="AX221" i="3"/>
  <c r="AW221" i="3"/>
  <c r="AV221" i="3"/>
  <c r="AU221" i="3"/>
  <c r="AT221" i="3"/>
  <c r="E221" i="3"/>
  <c r="B221" i="3"/>
  <c r="A221" i="3"/>
  <c r="CG220" i="3"/>
  <c r="CF220" i="3"/>
  <c r="CE220" i="3"/>
  <c r="CD220" i="3"/>
  <c r="CC220" i="3"/>
  <c r="CB220" i="3"/>
  <c r="CA220" i="3"/>
  <c r="BZ220" i="3"/>
  <c r="BY220" i="3"/>
  <c r="BX220" i="3"/>
  <c r="BW220" i="3"/>
  <c r="BV220" i="3"/>
  <c r="BU220" i="3"/>
  <c r="BT220" i="3"/>
  <c r="BS220" i="3"/>
  <c r="BR220" i="3"/>
  <c r="BQ220" i="3"/>
  <c r="BP220" i="3"/>
  <c r="BO220" i="3"/>
  <c r="BN220" i="3"/>
  <c r="BM220" i="3"/>
  <c r="BL220" i="3"/>
  <c r="BK220" i="3"/>
  <c r="BJ220" i="3"/>
  <c r="BI220" i="3"/>
  <c r="BH220" i="3"/>
  <c r="BG220" i="3"/>
  <c r="BF220" i="3"/>
  <c r="BE220" i="3"/>
  <c r="BD220" i="3"/>
  <c r="BC220" i="3"/>
  <c r="BB220" i="3"/>
  <c r="BA220" i="3"/>
  <c r="AZ220" i="3"/>
  <c r="AY220" i="3"/>
  <c r="AX220" i="3"/>
  <c r="AW220" i="3"/>
  <c r="AV220" i="3"/>
  <c r="AU220" i="3"/>
  <c r="AT220" i="3"/>
  <c r="E220" i="3"/>
  <c r="B220" i="3"/>
  <c r="A220" i="3"/>
  <c r="CG219" i="3"/>
  <c r="CF219" i="3"/>
  <c r="CE219" i="3"/>
  <c r="CD219" i="3"/>
  <c r="CC219" i="3"/>
  <c r="CB219" i="3"/>
  <c r="CA219" i="3"/>
  <c r="BZ219" i="3"/>
  <c r="BY219" i="3"/>
  <c r="BX219" i="3"/>
  <c r="BW219" i="3"/>
  <c r="BV219" i="3"/>
  <c r="BU219" i="3"/>
  <c r="BT219" i="3"/>
  <c r="BS219" i="3"/>
  <c r="BR219" i="3"/>
  <c r="BQ219" i="3"/>
  <c r="BP219" i="3"/>
  <c r="BO219" i="3"/>
  <c r="BN219" i="3"/>
  <c r="BM219" i="3"/>
  <c r="BL219" i="3"/>
  <c r="BK219" i="3"/>
  <c r="BJ219" i="3"/>
  <c r="BI219" i="3"/>
  <c r="BH219" i="3"/>
  <c r="BG219" i="3"/>
  <c r="BF219" i="3"/>
  <c r="BE219" i="3"/>
  <c r="BD219" i="3"/>
  <c r="BC219" i="3"/>
  <c r="BB219" i="3"/>
  <c r="BA219" i="3"/>
  <c r="AZ219" i="3"/>
  <c r="AY219" i="3"/>
  <c r="AX219" i="3"/>
  <c r="AW219" i="3"/>
  <c r="AV219" i="3"/>
  <c r="AU219" i="3"/>
  <c r="AT219" i="3"/>
  <c r="E219" i="3"/>
  <c r="B219" i="3"/>
  <c r="A219" i="3"/>
  <c r="CG218" i="3"/>
  <c r="CF218" i="3"/>
  <c r="CE218" i="3"/>
  <c r="CD218" i="3"/>
  <c r="CC218" i="3"/>
  <c r="CB218" i="3"/>
  <c r="CA218" i="3"/>
  <c r="BZ218" i="3"/>
  <c r="BY218" i="3"/>
  <c r="BX218" i="3"/>
  <c r="BW218" i="3"/>
  <c r="BV218" i="3"/>
  <c r="BU218" i="3"/>
  <c r="BT218" i="3"/>
  <c r="BS218" i="3"/>
  <c r="BR218" i="3"/>
  <c r="BQ218" i="3"/>
  <c r="BP218" i="3"/>
  <c r="BO218" i="3"/>
  <c r="BN218" i="3"/>
  <c r="BM218" i="3"/>
  <c r="BL218" i="3"/>
  <c r="BK218" i="3"/>
  <c r="BJ218" i="3"/>
  <c r="BI218" i="3"/>
  <c r="BH218" i="3"/>
  <c r="BG218" i="3"/>
  <c r="BF218" i="3"/>
  <c r="BE218" i="3"/>
  <c r="BD218" i="3"/>
  <c r="BC218" i="3"/>
  <c r="BB218" i="3"/>
  <c r="BA218" i="3"/>
  <c r="AZ218" i="3"/>
  <c r="AY218" i="3"/>
  <c r="AX218" i="3"/>
  <c r="AW218" i="3"/>
  <c r="AV218" i="3"/>
  <c r="AU218" i="3"/>
  <c r="AT218" i="3"/>
  <c r="E218" i="3"/>
  <c r="B218" i="3"/>
  <c r="A218" i="3"/>
  <c r="CG217" i="3"/>
  <c r="CF217" i="3"/>
  <c r="CE217" i="3"/>
  <c r="CD217" i="3"/>
  <c r="CC217" i="3"/>
  <c r="CB217" i="3"/>
  <c r="CA217" i="3"/>
  <c r="BZ217" i="3"/>
  <c r="BY217" i="3"/>
  <c r="BX217" i="3"/>
  <c r="BW217" i="3"/>
  <c r="BV217" i="3"/>
  <c r="BU217" i="3"/>
  <c r="BT217" i="3"/>
  <c r="BS217" i="3"/>
  <c r="BR217" i="3"/>
  <c r="BQ217" i="3"/>
  <c r="BP217" i="3"/>
  <c r="BO217" i="3"/>
  <c r="BN217" i="3"/>
  <c r="BM217" i="3"/>
  <c r="BL217" i="3"/>
  <c r="BK217" i="3"/>
  <c r="BJ217" i="3"/>
  <c r="BI217" i="3"/>
  <c r="BH217" i="3"/>
  <c r="BG217" i="3"/>
  <c r="BF217" i="3"/>
  <c r="BE217" i="3"/>
  <c r="BD217" i="3"/>
  <c r="BC217" i="3"/>
  <c r="BB217" i="3"/>
  <c r="BA217" i="3"/>
  <c r="AZ217" i="3"/>
  <c r="AY217" i="3"/>
  <c r="AX217" i="3"/>
  <c r="AW217" i="3"/>
  <c r="AV217" i="3"/>
  <c r="AU217" i="3"/>
  <c r="AT217" i="3"/>
  <c r="E217" i="3"/>
  <c r="B217" i="3"/>
  <c r="A217" i="3"/>
  <c r="CG216" i="3"/>
  <c r="CF216" i="3"/>
  <c r="CE216" i="3"/>
  <c r="CD216" i="3"/>
  <c r="CC216" i="3"/>
  <c r="CB216" i="3"/>
  <c r="CA216" i="3"/>
  <c r="BZ216" i="3"/>
  <c r="BY216" i="3"/>
  <c r="BX216" i="3"/>
  <c r="BW216" i="3"/>
  <c r="BV216" i="3"/>
  <c r="BU216" i="3"/>
  <c r="BT216" i="3"/>
  <c r="BS216" i="3"/>
  <c r="BR216" i="3"/>
  <c r="BQ216" i="3"/>
  <c r="BP216" i="3"/>
  <c r="BO216" i="3"/>
  <c r="BN216" i="3"/>
  <c r="BM216" i="3"/>
  <c r="BL216" i="3"/>
  <c r="BK216" i="3"/>
  <c r="BJ216" i="3"/>
  <c r="BI216" i="3"/>
  <c r="BH216" i="3"/>
  <c r="BG216" i="3"/>
  <c r="BF216" i="3"/>
  <c r="BE216" i="3"/>
  <c r="BD216" i="3"/>
  <c r="BC216" i="3"/>
  <c r="BB216" i="3"/>
  <c r="BA216" i="3"/>
  <c r="AZ216" i="3"/>
  <c r="AY216" i="3"/>
  <c r="AX216" i="3"/>
  <c r="AW216" i="3"/>
  <c r="AV216" i="3"/>
  <c r="AU216" i="3"/>
  <c r="AT216" i="3"/>
  <c r="E216" i="3"/>
  <c r="B216" i="3"/>
  <c r="A216" i="3"/>
  <c r="CG215" i="3"/>
  <c r="CF215" i="3"/>
  <c r="CE215" i="3"/>
  <c r="CD215" i="3"/>
  <c r="CC215" i="3"/>
  <c r="CB215" i="3"/>
  <c r="CA215" i="3"/>
  <c r="BZ215" i="3"/>
  <c r="BY215" i="3"/>
  <c r="BX215" i="3"/>
  <c r="BW215" i="3"/>
  <c r="BV215" i="3"/>
  <c r="BU215" i="3"/>
  <c r="BT215" i="3"/>
  <c r="BS215" i="3"/>
  <c r="BR215" i="3"/>
  <c r="BQ215" i="3"/>
  <c r="BP215" i="3"/>
  <c r="BO215" i="3"/>
  <c r="BN215" i="3"/>
  <c r="BM215" i="3"/>
  <c r="BL215" i="3"/>
  <c r="BK215" i="3"/>
  <c r="BJ215" i="3"/>
  <c r="BI215" i="3"/>
  <c r="BH215" i="3"/>
  <c r="BG215" i="3"/>
  <c r="BF215" i="3"/>
  <c r="BE215" i="3"/>
  <c r="BD215" i="3"/>
  <c r="BC215" i="3"/>
  <c r="BB215" i="3"/>
  <c r="BA215" i="3"/>
  <c r="AZ215" i="3"/>
  <c r="AY215" i="3"/>
  <c r="AX215" i="3"/>
  <c r="AW215" i="3"/>
  <c r="AV215" i="3"/>
  <c r="AU215" i="3"/>
  <c r="AT215" i="3"/>
  <c r="E215" i="3"/>
  <c r="B215" i="3"/>
  <c r="A215" i="3"/>
  <c r="CG214" i="3"/>
  <c r="CF214" i="3"/>
  <c r="CE214" i="3"/>
  <c r="CD214" i="3"/>
  <c r="CC214" i="3"/>
  <c r="CB214" i="3"/>
  <c r="CA214" i="3"/>
  <c r="BZ214" i="3"/>
  <c r="BY214" i="3"/>
  <c r="BX214" i="3"/>
  <c r="BW214" i="3"/>
  <c r="BV214" i="3"/>
  <c r="BU214" i="3"/>
  <c r="BT214" i="3"/>
  <c r="BS214" i="3"/>
  <c r="BR214" i="3"/>
  <c r="BQ214" i="3"/>
  <c r="BP214" i="3"/>
  <c r="BO214" i="3"/>
  <c r="BN214" i="3"/>
  <c r="BM214" i="3"/>
  <c r="BL214" i="3"/>
  <c r="BK214" i="3"/>
  <c r="BJ214" i="3"/>
  <c r="BI214" i="3"/>
  <c r="BH214" i="3"/>
  <c r="BG214" i="3"/>
  <c r="BF214" i="3"/>
  <c r="BE214" i="3"/>
  <c r="BD214" i="3"/>
  <c r="BC214" i="3"/>
  <c r="BB214" i="3"/>
  <c r="BA214" i="3"/>
  <c r="AZ214" i="3"/>
  <c r="AY214" i="3"/>
  <c r="AX214" i="3"/>
  <c r="AW214" i="3"/>
  <c r="AV214" i="3"/>
  <c r="AU214" i="3"/>
  <c r="AT214" i="3"/>
  <c r="E214" i="3"/>
  <c r="B214" i="3"/>
  <c r="A214" i="3"/>
  <c r="CG213" i="3"/>
  <c r="CF213" i="3"/>
  <c r="CE213" i="3"/>
  <c r="CD213" i="3"/>
  <c r="CC213" i="3"/>
  <c r="CB213" i="3"/>
  <c r="CA213" i="3"/>
  <c r="BZ213" i="3"/>
  <c r="BY213" i="3"/>
  <c r="BX213" i="3"/>
  <c r="BW213" i="3"/>
  <c r="BV213" i="3"/>
  <c r="BU213" i="3"/>
  <c r="BT213" i="3"/>
  <c r="BS213" i="3"/>
  <c r="BR213" i="3"/>
  <c r="BQ213" i="3"/>
  <c r="BP213" i="3"/>
  <c r="BO213" i="3"/>
  <c r="BN213" i="3"/>
  <c r="BM213" i="3"/>
  <c r="BL213" i="3"/>
  <c r="BK213" i="3"/>
  <c r="BJ213" i="3"/>
  <c r="BI213" i="3"/>
  <c r="BH213" i="3"/>
  <c r="BG213" i="3"/>
  <c r="BF213" i="3"/>
  <c r="BE213" i="3"/>
  <c r="BD213" i="3"/>
  <c r="BC213" i="3"/>
  <c r="BB213" i="3"/>
  <c r="BA213" i="3"/>
  <c r="AZ213" i="3"/>
  <c r="AY213" i="3"/>
  <c r="AX213" i="3"/>
  <c r="AW213" i="3"/>
  <c r="AV213" i="3"/>
  <c r="AU213" i="3"/>
  <c r="AT213" i="3"/>
  <c r="E213" i="3"/>
  <c r="B213" i="3"/>
  <c r="A213" i="3"/>
  <c r="CG212" i="3"/>
  <c r="CF212" i="3"/>
  <c r="CE212" i="3"/>
  <c r="CD212" i="3"/>
  <c r="CC212" i="3"/>
  <c r="CB212" i="3"/>
  <c r="CA212" i="3"/>
  <c r="BZ212" i="3"/>
  <c r="BY212" i="3"/>
  <c r="BX212" i="3"/>
  <c r="BW212" i="3"/>
  <c r="BV212" i="3"/>
  <c r="BU212" i="3"/>
  <c r="BT212" i="3"/>
  <c r="BS212" i="3"/>
  <c r="BR212" i="3"/>
  <c r="BQ212" i="3"/>
  <c r="BP212" i="3"/>
  <c r="BO212" i="3"/>
  <c r="BN212" i="3"/>
  <c r="BM212" i="3"/>
  <c r="BL212" i="3"/>
  <c r="BK212" i="3"/>
  <c r="BJ212" i="3"/>
  <c r="BI212" i="3"/>
  <c r="BH212" i="3"/>
  <c r="BG212" i="3"/>
  <c r="BF212" i="3"/>
  <c r="BE212" i="3"/>
  <c r="BD212" i="3"/>
  <c r="BC212" i="3"/>
  <c r="BB212" i="3"/>
  <c r="BA212" i="3"/>
  <c r="AZ212" i="3"/>
  <c r="AY212" i="3"/>
  <c r="AX212" i="3"/>
  <c r="AW212" i="3"/>
  <c r="AV212" i="3"/>
  <c r="AU212" i="3"/>
  <c r="AT212" i="3"/>
  <c r="E212" i="3"/>
  <c r="B212" i="3"/>
  <c r="A212" i="3"/>
  <c r="CG211" i="3"/>
  <c r="CF211" i="3"/>
  <c r="CE211" i="3"/>
  <c r="CD211" i="3"/>
  <c r="CC211" i="3"/>
  <c r="CB211" i="3"/>
  <c r="CA211" i="3"/>
  <c r="BZ211" i="3"/>
  <c r="BY211" i="3"/>
  <c r="BX211" i="3"/>
  <c r="BW211" i="3"/>
  <c r="BV211" i="3"/>
  <c r="BU211" i="3"/>
  <c r="BT211" i="3"/>
  <c r="BS211" i="3"/>
  <c r="BR211" i="3"/>
  <c r="BQ211" i="3"/>
  <c r="BP211" i="3"/>
  <c r="BO211" i="3"/>
  <c r="BN211" i="3"/>
  <c r="BM211" i="3"/>
  <c r="BL211" i="3"/>
  <c r="BK211" i="3"/>
  <c r="BJ211" i="3"/>
  <c r="BI211" i="3"/>
  <c r="BH211" i="3"/>
  <c r="BG211" i="3"/>
  <c r="BF211" i="3"/>
  <c r="BE211" i="3"/>
  <c r="BD211" i="3"/>
  <c r="BC211" i="3"/>
  <c r="BB211" i="3"/>
  <c r="BA211" i="3"/>
  <c r="AZ211" i="3"/>
  <c r="AY211" i="3"/>
  <c r="AX211" i="3"/>
  <c r="AW211" i="3"/>
  <c r="AV211" i="3"/>
  <c r="AU211" i="3"/>
  <c r="AT211" i="3"/>
  <c r="E211" i="3"/>
  <c r="B211" i="3"/>
  <c r="A211" i="3"/>
  <c r="CG210" i="3"/>
  <c r="CF210" i="3"/>
  <c r="CE210" i="3"/>
  <c r="CD210" i="3"/>
  <c r="CC210" i="3"/>
  <c r="CB210" i="3"/>
  <c r="CA210" i="3"/>
  <c r="BZ210" i="3"/>
  <c r="BY210" i="3"/>
  <c r="BX210" i="3"/>
  <c r="BW210" i="3"/>
  <c r="BV210" i="3"/>
  <c r="BU210" i="3"/>
  <c r="BT210" i="3"/>
  <c r="BS210" i="3"/>
  <c r="BR210" i="3"/>
  <c r="BQ210" i="3"/>
  <c r="BP210" i="3"/>
  <c r="BO210" i="3"/>
  <c r="BN210" i="3"/>
  <c r="BM210" i="3"/>
  <c r="BL210" i="3"/>
  <c r="BK210" i="3"/>
  <c r="BJ210" i="3"/>
  <c r="BI210" i="3"/>
  <c r="BH210" i="3"/>
  <c r="BG210" i="3"/>
  <c r="BF210" i="3"/>
  <c r="BE210" i="3"/>
  <c r="BD210" i="3"/>
  <c r="BC210" i="3"/>
  <c r="BB210" i="3"/>
  <c r="BA210" i="3"/>
  <c r="AZ210" i="3"/>
  <c r="AY210" i="3"/>
  <c r="AX210" i="3"/>
  <c r="AW210" i="3"/>
  <c r="AV210" i="3"/>
  <c r="AU210" i="3"/>
  <c r="AT210" i="3"/>
  <c r="E210" i="3"/>
  <c r="B210" i="3"/>
  <c r="A210" i="3"/>
  <c r="CG209" i="3"/>
  <c r="CF209" i="3"/>
  <c r="CE209" i="3"/>
  <c r="CD209" i="3"/>
  <c r="CC209" i="3"/>
  <c r="CB209" i="3"/>
  <c r="CA209" i="3"/>
  <c r="BZ209" i="3"/>
  <c r="BY209" i="3"/>
  <c r="BX209" i="3"/>
  <c r="BW209" i="3"/>
  <c r="BV209" i="3"/>
  <c r="BU209" i="3"/>
  <c r="BT209" i="3"/>
  <c r="BS209" i="3"/>
  <c r="BR209" i="3"/>
  <c r="BQ209" i="3"/>
  <c r="BP209" i="3"/>
  <c r="BO209" i="3"/>
  <c r="BN209" i="3"/>
  <c r="BM209" i="3"/>
  <c r="BL209" i="3"/>
  <c r="BK209" i="3"/>
  <c r="BJ209" i="3"/>
  <c r="BI209" i="3"/>
  <c r="BH209" i="3"/>
  <c r="BG209" i="3"/>
  <c r="BF209" i="3"/>
  <c r="BE209" i="3"/>
  <c r="BD209" i="3"/>
  <c r="BC209" i="3"/>
  <c r="BB209" i="3"/>
  <c r="BA209" i="3"/>
  <c r="AZ209" i="3"/>
  <c r="AY209" i="3"/>
  <c r="AX209" i="3"/>
  <c r="AW209" i="3"/>
  <c r="AV209" i="3"/>
  <c r="AU209" i="3"/>
  <c r="AT209" i="3"/>
  <c r="E209" i="3"/>
  <c r="E327" i="3" s="1"/>
  <c r="D209" i="3"/>
  <c r="D327" i="3" s="1"/>
  <c r="C209" i="3"/>
  <c r="C327" i="3" s="1"/>
  <c r="B209" i="3"/>
  <c r="B327" i="3" s="1"/>
  <c r="A209" i="3"/>
  <c r="A327" i="3" s="1"/>
  <c r="CG208" i="3"/>
  <c r="CF208" i="3"/>
  <c r="CE208" i="3"/>
  <c r="CD208" i="3"/>
  <c r="CC208" i="3"/>
  <c r="CB208" i="3"/>
  <c r="CA208" i="3"/>
  <c r="BZ208" i="3"/>
  <c r="BY208" i="3"/>
  <c r="BX208" i="3"/>
  <c r="BW208" i="3"/>
  <c r="BV208" i="3"/>
  <c r="BU208" i="3"/>
  <c r="BT208" i="3"/>
  <c r="BS208" i="3"/>
  <c r="BR208" i="3"/>
  <c r="BQ208" i="3"/>
  <c r="BP208" i="3"/>
  <c r="BO208" i="3"/>
  <c r="BN208" i="3"/>
  <c r="BM208" i="3"/>
  <c r="BL208" i="3"/>
  <c r="BK208" i="3"/>
  <c r="BJ208" i="3"/>
  <c r="BI208" i="3"/>
  <c r="BH208" i="3"/>
  <c r="BG208" i="3"/>
  <c r="BF208" i="3"/>
  <c r="BE208" i="3"/>
  <c r="BD208" i="3"/>
  <c r="BC208" i="3"/>
  <c r="BB208" i="3"/>
  <c r="BA208" i="3"/>
  <c r="AZ208" i="3"/>
  <c r="AY208" i="3"/>
  <c r="AX208" i="3"/>
  <c r="AW208" i="3"/>
  <c r="AV208" i="3"/>
  <c r="AU208" i="3"/>
  <c r="AT208" i="3"/>
  <c r="E208" i="3"/>
  <c r="B208" i="3"/>
  <c r="A208" i="3"/>
  <c r="CG207" i="3"/>
  <c r="CF207" i="3"/>
  <c r="CE207" i="3"/>
  <c r="CD207" i="3"/>
  <c r="CC207" i="3"/>
  <c r="CB207" i="3"/>
  <c r="CA207" i="3"/>
  <c r="BZ207" i="3"/>
  <c r="BY207" i="3"/>
  <c r="BX207" i="3"/>
  <c r="BW207" i="3"/>
  <c r="BV207" i="3"/>
  <c r="BU207" i="3"/>
  <c r="BT207" i="3"/>
  <c r="BS207" i="3"/>
  <c r="BR207" i="3"/>
  <c r="BQ207" i="3"/>
  <c r="BP207" i="3"/>
  <c r="BO207" i="3"/>
  <c r="BN207" i="3"/>
  <c r="BM207" i="3"/>
  <c r="BL207" i="3"/>
  <c r="BK207" i="3"/>
  <c r="BJ207" i="3"/>
  <c r="BI207" i="3"/>
  <c r="BH207" i="3"/>
  <c r="BG207" i="3"/>
  <c r="BF207" i="3"/>
  <c r="BE207" i="3"/>
  <c r="BD207" i="3"/>
  <c r="BC207" i="3"/>
  <c r="BB207" i="3"/>
  <c r="BA207" i="3"/>
  <c r="AZ207" i="3"/>
  <c r="AY207" i="3"/>
  <c r="AX207" i="3"/>
  <c r="AW207" i="3"/>
  <c r="AV207" i="3"/>
  <c r="AU207" i="3"/>
  <c r="AT207" i="3"/>
  <c r="E207" i="3"/>
  <c r="E326" i="3" s="1"/>
  <c r="D207" i="3"/>
  <c r="D326" i="3" s="1"/>
  <c r="C207" i="3"/>
  <c r="C326" i="3" s="1"/>
  <c r="B207" i="3"/>
  <c r="B326" i="3" s="1"/>
  <c r="A207" i="3"/>
  <c r="A326" i="3" s="1"/>
  <c r="CG206" i="3"/>
  <c r="CF206" i="3"/>
  <c r="CE206" i="3"/>
  <c r="CD206" i="3"/>
  <c r="CC206" i="3"/>
  <c r="CB206" i="3"/>
  <c r="CA206" i="3"/>
  <c r="BZ206" i="3"/>
  <c r="BY206" i="3"/>
  <c r="BX206" i="3"/>
  <c r="BW206" i="3"/>
  <c r="BV206" i="3"/>
  <c r="BU206" i="3"/>
  <c r="BT206" i="3"/>
  <c r="BS206" i="3"/>
  <c r="BR206" i="3"/>
  <c r="BQ206" i="3"/>
  <c r="BP206" i="3"/>
  <c r="BO206" i="3"/>
  <c r="BN206" i="3"/>
  <c r="BM206" i="3"/>
  <c r="BL206" i="3"/>
  <c r="BK206" i="3"/>
  <c r="BJ206" i="3"/>
  <c r="BI206" i="3"/>
  <c r="BH206" i="3"/>
  <c r="BG206" i="3"/>
  <c r="BF206" i="3"/>
  <c r="BE206" i="3"/>
  <c r="BD206" i="3"/>
  <c r="BC206" i="3"/>
  <c r="BB206" i="3"/>
  <c r="BA206" i="3"/>
  <c r="AZ206" i="3"/>
  <c r="AY206" i="3"/>
  <c r="AX206" i="3"/>
  <c r="AW206" i="3"/>
  <c r="AV206" i="3"/>
  <c r="AU206" i="3"/>
  <c r="AT206" i="3"/>
  <c r="E206" i="3"/>
  <c r="E325" i="3" s="1"/>
  <c r="D206" i="3"/>
  <c r="D325" i="3" s="1"/>
  <c r="C206" i="3"/>
  <c r="C325" i="3" s="1"/>
  <c r="B206" i="3"/>
  <c r="B325" i="3" s="1"/>
  <c r="A206" i="3"/>
  <c r="A325" i="3" s="1"/>
  <c r="CG205" i="3"/>
  <c r="CF205" i="3"/>
  <c r="CE205" i="3"/>
  <c r="CD205" i="3"/>
  <c r="CC205" i="3"/>
  <c r="CB205" i="3"/>
  <c r="CA205" i="3"/>
  <c r="BZ205" i="3"/>
  <c r="BY205" i="3"/>
  <c r="BX205" i="3"/>
  <c r="BW205" i="3"/>
  <c r="BV205" i="3"/>
  <c r="BU205" i="3"/>
  <c r="BT205" i="3"/>
  <c r="BS205" i="3"/>
  <c r="BR205" i="3"/>
  <c r="BQ205" i="3"/>
  <c r="BP205" i="3"/>
  <c r="BO205" i="3"/>
  <c r="BN205" i="3"/>
  <c r="BM205" i="3"/>
  <c r="BL205" i="3"/>
  <c r="BK205" i="3"/>
  <c r="BJ205" i="3"/>
  <c r="BI205" i="3"/>
  <c r="BH205" i="3"/>
  <c r="BG205" i="3"/>
  <c r="BF205" i="3"/>
  <c r="BE205" i="3"/>
  <c r="BD205" i="3"/>
  <c r="BC205" i="3"/>
  <c r="BB205" i="3"/>
  <c r="BA205" i="3"/>
  <c r="AZ205" i="3"/>
  <c r="AY205" i="3"/>
  <c r="AX205" i="3"/>
  <c r="AW205" i="3"/>
  <c r="AV205" i="3"/>
  <c r="AU205" i="3"/>
  <c r="AT205" i="3"/>
  <c r="E205" i="3"/>
  <c r="E324" i="3" s="1"/>
  <c r="D205" i="3"/>
  <c r="D324" i="3" s="1"/>
  <c r="C205" i="3"/>
  <c r="C324" i="3" s="1"/>
  <c r="B205" i="3"/>
  <c r="B324" i="3" s="1"/>
  <c r="A205" i="3"/>
  <c r="A324" i="3" s="1"/>
  <c r="CG204" i="3"/>
  <c r="CF204" i="3"/>
  <c r="CE204" i="3"/>
  <c r="CD204" i="3"/>
  <c r="CC204" i="3"/>
  <c r="CB204" i="3"/>
  <c r="CA204" i="3"/>
  <c r="BZ204" i="3"/>
  <c r="BY204" i="3"/>
  <c r="BX204" i="3"/>
  <c r="BW204" i="3"/>
  <c r="BV204" i="3"/>
  <c r="BU204" i="3"/>
  <c r="BT204" i="3"/>
  <c r="BS204" i="3"/>
  <c r="BR204" i="3"/>
  <c r="BQ204" i="3"/>
  <c r="BP204" i="3"/>
  <c r="BO204" i="3"/>
  <c r="BN204" i="3"/>
  <c r="BM204" i="3"/>
  <c r="BL204" i="3"/>
  <c r="BK204" i="3"/>
  <c r="BJ204" i="3"/>
  <c r="BI204" i="3"/>
  <c r="BH204" i="3"/>
  <c r="BG204" i="3"/>
  <c r="BF204" i="3"/>
  <c r="BE204" i="3"/>
  <c r="BD204" i="3"/>
  <c r="BC204" i="3"/>
  <c r="BB204" i="3"/>
  <c r="BA204" i="3"/>
  <c r="AZ204" i="3"/>
  <c r="AY204" i="3"/>
  <c r="AX204" i="3"/>
  <c r="AW204" i="3"/>
  <c r="AV204" i="3"/>
  <c r="AU204" i="3"/>
  <c r="AT204" i="3"/>
  <c r="E204" i="3"/>
  <c r="E323" i="3" s="1"/>
  <c r="D204" i="3"/>
  <c r="D323" i="3" s="1"/>
  <c r="C204" i="3"/>
  <c r="C323" i="3" s="1"/>
  <c r="B204" i="3"/>
  <c r="B323" i="3" s="1"/>
  <c r="A204" i="3"/>
  <c r="A323" i="3" s="1"/>
  <c r="CG203" i="3"/>
  <c r="CF203" i="3"/>
  <c r="CE203" i="3"/>
  <c r="CD203" i="3"/>
  <c r="CC203" i="3"/>
  <c r="CB203" i="3"/>
  <c r="CA203" i="3"/>
  <c r="BZ203" i="3"/>
  <c r="BY203" i="3"/>
  <c r="BX203" i="3"/>
  <c r="BW203" i="3"/>
  <c r="BV203" i="3"/>
  <c r="BU203" i="3"/>
  <c r="BT203" i="3"/>
  <c r="BS203" i="3"/>
  <c r="BR203" i="3"/>
  <c r="BQ203" i="3"/>
  <c r="BP203" i="3"/>
  <c r="BO203" i="3"/>
  <c r="BN203" i="3"/>
  <c r="BM203" i="3"/>
  <c r="BL203" i="3"/>
  <c r="BK203" i="3"/>
  <c r="BJ203" i="3"/>
  <c r="BI203" i="3"/>
  <c r="BH203" i="3"/>
  <c r="BG203" i="3"/>
  <c r="BF203" i="3"/>
  <c r="BE203" i="3"/>
  <c r="BD203" i="3"/>
  <c r="BC203" i="3"/>
  <c r="BB203" i="3"/>
  <c r="BA203" i="3"/>
  <c r="AZ203" i="3"/>
  <c r="AY203" i="3"/>
  <c r="AX203" i="3"/>
  <c r="AW203" i="3"/>
  <c r="AV203" i="3"/>
  <c r="AU203" i="3"/>
  <c r="AT203" i="3"/>
  <c r="E203" i="3"/>
  <c r="E322" i="3" s="1"/>
  <c r="D203" i="3"/>
  <c r="D322" i="3" s="1"/>
  <c r="C203" i="3"/>
  <c r="C322" i="3" s="1"/>
  <c r="B203" i="3"/>
  <c r="B322" i="3" s="1"/>
  <c r="A203" i="3"/>
  <c r="A322" i="3" s="1"/>
  <c r="CG202" i="3"/>
  <c r="CF202" i="3"/>
  <c r="CE202" i="3"/>
  <c r="CD202" i="3"/>
  <c r="CC202" i="3"/>
  <c r="CB202" i="3"/>
  <c r="CA202" i="3"/>
  <c r="BZ202" i="3"/>
  <c r="BY202" i="3"/>
  <c r="BX202" i="3"/>
  <c r="BW202" i="3"/>
  <c r="BV202" i="3"/>
  <c r="BU202" i="3"/>
  <c r="BT202" i="3"/>
  <c r="BS202" i="3"/>
  <c r="BR202" i="3"/>
  <c r="BQ202" i="3"/>
  <c r="BP202" i="3"/>
  <c r="BO202" i="3"/>
  <c r="BN202" i="3"/>
  <c r="BM202" i="3"/>
  <c r="BL202" i="3"/>
  <c r="BK202" i="3"/>
  <c r="BJ202" i="3"/>
  <c r="BI202" i="3"/>
  <c r="BH202" i="3"/>
  <c r="BG202" i="3"/>
  <c r="BF202" i="3"/>
  <c r="BE202" i="3"/>
  <c r="BD202" i="3"/>
  <c r="BC202" i="3"/>
  <c r="BB202" i="3"/>
  <c r="BA202" i="3"/>
  <c r="AZ202" i="3"/>
  <c r="AY202" i="3"/>
  <c r="AX202" i="3"/>
  <c r="AW202" i="3"/>
  <c r="AV202" i="3"/>
  <c r="AU202" i="3"/>
  <c r="AT202" i="3"/>
  <c r="E202" i="3"/>
  <c r="E321" i="3" s="1"/>
  <c r="D202" i="3"/>
  <c r="D321" i="3" s="1"/>
  <c r="C202" i="3"/>
  <c r="C321" i="3" s="1"/>
  <c r="B202" i="3"/>
  <c r="B321" i="3" s="1"/>
  <c r="A202" i="3"/>
  <c r="A321" i="3" s="1"/>
  <c r="CG201" i="3"/>
  <c r="CF201" i="3"/>
  <c r="CE201" i="3"/>
  <c r="CD201" i="3"/>
  <c r="CC201" i="3"/>
  <c r="CB201" i="3"/>
  <c r="CA201" i="3"/>
  <c r="BZ201" i="3"/>
  <c r="BY201" i="3"/>
  <c r="BX201" i="3"/>
  <c r="BW201" i="3"/>
  <c r="BV201" i="3"/>
  <c r="BU201" i="3"/>
  <c r="BT201" i="3"/>
  <c r="BS201" i="3"/>
  <c r="BR201" i="3"/>
  <c r="BQ201" i="3"/>
  <c r="BP201" i="3"/>
  <c r="BO201" i="3"/>
  <c r="BN201" i="3"/>
  <c r="BM201" i="3"/>
  <c r="BL201" i="3"/>
  <c r="BK201" i="3"/>
  <c r="BJ201" i="3"/>
  <c r="BI201" i="3"/>
  <c r="BH201" i="3"/>
  <c r="BG201" i="3"/>
  <c r="BF201" i="3"/>
  <c r="BE201" i="3"/>
  <c r="BD201" i="3"/>
  <c r="BC201" i="3"/>
  <c r="BB201" i="3"/>
  <c r="BA201" i="3"/>
  <c r="AZ201" i="3"/>
  <c r="AY201" i="3"/>
  <c r="AX201" i="3"/>
  <c r="AW201" i="3"/>
  <c r="AV201" i="3"/>
  <c r="AU201" i="3"/>
  <c r="AT201" i="3"/>
  <c r="E201" i="3"/>
  <c r="E320" i="3" s="1"/>
  <c r="D201" i="3"/>
  <c r="D320" i="3" s="1"/>
  <c r="C201" i="3"/>
  <c r="C320" i="3" s="1"/>
  <c r="B201" i="3"/>
  <c r="B320" i="3" s="1"/>
  <c r="A201" i="3"/>
  <c r="A320" i="3" s="1"/>
  <c r="CG200" i="3"/>
  <c r="CF200" i="3"/>
  <c r="CE200" i="3"/>
  <c r="CD200" i="3"/>
  <c r="CC200" i="3"/>
  <c r="CB200" i="3"/>
  <c r="CA200" i="3"/>
  <c r="BZ200" i="3"/>
  <c r="BY200" i="3"/>
  <c r="BX200" i="3"/>
  <c r="BW200" i="3"/>
  <c r="BV200" i="3"/>
  <c r="BU200" i="3"/>
  <c r="BT200" i="3"/>
  <c r="BS200" i="3"/>
  <c r="BR200" i="3"/>
  <c r="BQ200" i="3"/>
  <c r="BP200" i="3"/>
  <c r="BO200" i="3"/>
  <c r="BN200" i="3"/>
  <c r="BM200" i="3"/>
  <c r="BL200" i="3"/>
  <c r="BK200" i="3"/>
  <c r="BJ200" i="3"/>
  <c r="BI200" i="3"/>
  <c r="BH200" i="3"/>
  <c r="BG200" i="3"/>
  <c r="BF200" i="3"/>
  <c r="BE200" i="3"/>
  <c r="BD200" i="3"/>
  <c r="BC200" i="3"/>
  <c r="BB200" i="3"/>
  <c r="BA200" i="3"/>
  <c r="AZ200" i="3"/>
  <c r="AY200" i="3"/>
  <c r="AX200" i="3"/>
  <c r="AW200" i="3"/>
  <c r="AV200" i="3"/>
  <c r="AU200" i="3"/>
  <c r="AT200" i="3"/>
  <c r="E200" i="3"/>
  <c r="E319" i="3" s="1"/>
  <c r="D200" i="3"/>
  <c r="D319" i="3" s="1"/>
  <c r="C200" i="3"/>
  <c r="C319" i="3" s="1"/>
  <c r="B200" i="3"/>
  <c r="B319" i="3" s="1"/>
  <c r="A200" i="3"/>
  <c r="A319" i="3" s="1"/>
  <c r="CG199" i="3"/>
  <c r="CF199" i="3"/>
  <c r="CE199" i="3"/>
  <c r="CD199" i="3"/>
  <c r="CC199" i="3"/>
  <c r="CB199" i="3"/>
  <c r="CA199" i="3"/>
  <c r="BZ199" i="3"/>
  <c r="BY199" i="3"/>
  <c r="BX199" i="3"/>
  <c r="BW199" i="3"/>
  <c r="BV199" i="3"/>
  <c r="BU199" i="3"/>
  <c r="BT199" i="3"/>
  <c r="BS199" i="3"/>
  <c r="BR199" i="3"/>
  <c r="BQ199" i="3"/>
  <c r="BP199" i="3"/>
  <c r="BO199" i="3"/>
  <c r="BN199" i="3"/>
  <c r="BM199" i="3"/>
  <c r="BL199" i="3"/>
  <c r="BK199" i="3"/>
  <c r="BJ199" i="3"/>
  <c r="BI199" i="3"/>
  <c r="BH199" i="3"/>
  <c r="BG199" i="3"/>
  <c r="BF199" i="3"/>
  <c r="BE199" i="3"/>
  <c r="BD199" i="3"/>
  <c r="BC199" i="3"/>
  <c r="BB199" i="3"/>
  <c r="BA199" i="3"/>
  <c r="AZ199" i="3"/>
  <c r="AY199" i="3"/>
  <c r="AX199" i="3"/>
  <c r="AW199" i="3"/>
  <c r="AV199" i="3"/>
  <c r="AU199" i="3"/>
  <c r="AT199" i="3"/>
  <c r="E199" i="3"/>
  <c r="E318" i="3" s="1"/>
  <c r="D199" i="3"/>
  <c r="D318" i="3" s="1"/>
  <c r="C199" i="3"/>
  <c r="C318" i="3" s="1"/>
  <c r="B199" i="3"/>
  <c r="B318" i="3" s="1"/>
  <c r="A199" i="3"/>
  <c r="A318" i="3" s="1"/>
  <c r="CG198" i="3"/>
  <c r="CF198" i="3"/>
  <c r="CE198" i="3"/>
  <c r="CD198" i="3"/>
  <c r="CC198" i="3"/>
  <c r="CB198" i="3"/>
  <c r="CA198" i="3"/>
  <c r="BZ198" i="3"/>
  <c r="BY198" i="3"/>
  <c r="BX198" i="3"/>
  <c r="BW198" i="3"/>
  <c r="BV198" i="3"/>
  <c r="BU198" i="3"/>
  <c r="BT198" i="3"/>
  <c r="BS198" i="3"/>
  <c r="BR198" i="3"/>
  <c r="BQ198" i="3"/>
  <c r="BP198" i="3"/>
  <c r="BO198" i="3"/>
  <c r="BN198" i="3"/>
  <c r="BM198" i="3"/>
  <c r="BL198" i="3"/>
  <c r="BK198" i="3"/>
  <c r="BJ198" i="3"/>
  <c r="BI198" i="3"/>
  <c r="BH198" i="3"/>
  <c r="BG198" i="3"/>
  <c r="BF198" i="3"/>
  <c r="BE198" i="3"/>
  <c r="BD198" i="3"/>
  <c r="BC198" i="3"/>
  <c r="BB198" i="3"/>
  <c r="BA198" i="3"/>
  <c r="AZ198" i="3"/>
  <c r="AY198" i="3"/>
  <c r="AX198" i="3"/>
  <c r="AW198" i="3"/>
  <c r="AV198" i="3"/>
  <c r="AU198" i="3"/>
  <c r="AT198" i="3"/>
  <c r="E198" i="3"/>
  <c r="E317" i="3" s="1"/>
  <c r="D198" i="3"/>
  <c r="D317" i="3" s="1"/>
  <c r="C198" i="3"/>
  <c r="C317" i="3" s="1"/>
  <c r="B198" i="3"/>
  <c r="B317" i="3" s="1"/>
  <c r="A198" i="3"/>
  <c r="A317" i="3" s="1"/>
  <c r="CG197" i="3"/>
  <c r="CF197" i="3"/>
  <c r="CE197" i="3"/>
  <c r="CD197" i="3"/>
  <c r="CC197" i="3"/>
  <c r="CB197" i="3"/>
  <c r="CA197" i="3"/>
  <c r="BZ197" i="3"/>
  <c r="BY197" i="3"/>
  <c r="BX197" i="3"/>
  <c r="BW197" i="3"/>
  <c r="BV197" i="3"/>
  <c r="BU197" i="3"/>
  <c r="BT197" i="3"/>
  <c r="BS197" i="3"/>
  <c r="BR197" i="3"/>
  <c r="BQ197" i="3"/>
  <c r="BP197" i="3"/>
  <c r="BO197" i="3"/>
  <c r="BN197" i="3"/>
  <c r="BM197" i="3"/>
  <c r="BL197" i="3"/>
  <c r="BK197" i="3"/>
  <c r="BJ197" i="3"/>
  <c r="BI197" i="3"/>
  <c r="BH197" i="3"/>
  <c r="BG197" i="3"/>
  <c r="BF197" i="3"/>
  <c r="BE197" i="3"/>
  <c r="BD197" i="3"/>
  <c r="BC197" i="3"/>
  <c r="BB197" i="3"/>
  <c r="BA197" i="3"/>
  <c r="AZ197" i="3"/>
  <c r="AY197" i="3"/>
  <c r="AX197" i="3"/>
  <c r="AW197" i="3"/>
  <c r="AV197" i="3"/>
  <c r="AU197" i="3"/>
  <c r="AT197" i="3"/>
  <c r="E197" i="3"/>
  <c r="E316" i="3" s="1"/>
  <c r="D197" i="3"/>
  <c r="D316" i="3" s="1"/>
  <c r="C197" i="3"/>
  <c r="C316" i="3" s="1"/>
  <c r="B197" i="3"/>
  <c r="B316" i="3" s="1"/>
  <c r="A197" i="3"/>
  <c r="A316" i="3" s="1"/>
  <c r="CG196" i="3"/>
  <c r="CF196" i="3"/>
  <c r="CE196" i="3"/>
  <c r="CD196" i="3"/>
  <c r="CC196" i="3"/>
  <c r="CB196" i="3"/>
  <c r="CA196" i="3"/>
  <c r="BZ196" i="3"/>
  <c r="BY196" i="3"/>
  <c r="BX196" i="3"/>
  <c r="BW196" i="3"/>
  <c r="BV196" i="3"/>
  <c r="BU196" i="3"/>
  <c r="BT196" i="3"/>
  <c r="BS196" i="3"/>
  <c r="BR196" i="3"/>
  <c r="BQ196" i="3"/>
  <c r="BP196" i="3"/>
  <c r="BO196" i="3"/>
  <c r="BN196" i="3"/>
  <c r="BM196" i="3"/>
  <c r="BL196" i="3"/>
  <c r="BK196" i="3"/>
  <c r="BJ196" i="3"/>
  <c r="BI196" i="3"/>
  <c r="BH196" i="3"/>
  <c r="BG196" i="3"/>
  <c r="BF196" i="3"/>
  <c r="BE196" i="3"/>
  <c r="BD196" i="3"/>
  <c r="BC196" i="3"/>
  <c r="BB196" i="3"/>
  <c r="BA196" i="3"/>
  <c r="AZ196" i="3"/>
  <c r="AY196" i="3"/>
  <c r="AX196" i="3"/>
  <c r="AW196" i="3"/>
  <c r="AV196" i="3"/>
  <c r="AU196" i="3"/>
  <c r="AT196" i="3"/>
  <c r="E196" i="3"/>
  <c r="E315" i="3" s="1"/>
  <c r="D196" i="3"/>
  <c r="D315" i="3" s="1"/>
  <c r="C196" i="3"/>
  <c r="C315" i="3" s="1"/>
  <c r="B196" i="3"/>
  <c r="B315" i="3" s="1"/>
  <c r="A196" i="3"/>
  <c r="A315" i="3" s="1"/>
  <c r="CG195" i="3"/>
  <c r="CF195" i="3"/>
  <c r="CE195" i="3"/>
  <c r="CD195" i="3"/>
  <c r="CC195" i="3"/>
  <c r="CB195" i="3"/>
  <c r="CA195" i="3"/>
  <c r="BZ195" i="3"/>
  <c r="BY195" i="3"/>
  <c r="BX195" i="3"/>
  <c r="BW195" i="3"/>
  <c r="BV195" i="3"/>
  <c r="BU195" i="3"/>
  <c r="BT195" i="3"/>
  <c r="BS195" i="3"/>
  <c r="BR195" i="3"/>
  <c r="BQ195" i="3"/>
  <c r="BP195" i="3"/>
  <c r="BO195" i="3"/>
  <c r="BN195" i="3"/>
  <c r="BM195" i="3"/>
  <c r="BL195" i="3"/>
  <c r="BK195" i="3"/>
  <c r="BJ195" i="3"/>
  <c r="BI195" i="3"/>
  <c r="BH195" i="3"/>
  <c r="BG195" i="3"/>
  <c r="BF195" i="3"/>
  <c r="BE195" i="3"/>
  <c r="BD195" i="3"/>
  <c r="BC195" i="3"/>
  <c r="BB195" i="3"/>
  <c r="BA195" i="3"/>
  <c r="AZ195" i="3"/>
  <c r="AY195" i="3"/>
  <c r="AX195" i="3"/>
  <c r="AW195" i="3"/>
  <c r="AV195" i="3"/>
  <c r="AU195" i="3"/>
  <c r="AT195" i="3"/>
  <c r="E195" i="3"/>
  <c r="E314" i="3" s="1"/>
  <c r="D195" i="3"/>
  <c r="D314" i="3" s="1"/>
  <c r="C195" i="3"/>
  <c r="C314" i="3" s="1"/>
  <c r="B195" i="3"/>
  <c r="B314" i="3" s="1"/>
  <c r="A195" i="3"/>
  <c r="A314" i="3" s="1"/>
  <c r="CG194" i="3"/>
  <c r="CF194" i="3"/>
  <c r="CE194" i="3"/>
  <c r="CD194" i="3"/>
  <c r="CC194" i="3"/>
  <c r="CB194" i="3"/>
  <c r="CA194" i="3"/>
  <c r="BZ194" i="3"/>
  <c r="BY194" i="3"/>
  <c r="BX194" i="3"/>
  <c r="BW194" i="3"/>
  <c r="BV194" i="3"/>
  <c r="BU194" i="3"/>
  <c r="BT194" i="3"/>
  <c r="BS194" i="3"/>
  <c r="BR194" i="3"/>
  <c r="BQ194" i="3"/>
  <c r="BP194" i="3"/>
  <c r="BO194" i="3"/>
  <c r="BN194" i="3"/>
  <c r="BM194" i="3"/>
  <c r="BL194" i="3"/>
  <c r="BK194" i="3"/>
  <c r="BJ194" i="3"/>
  <c r="BI194" i="3"/>
  <c r="BH194" i="3"/>
  <c r="BG194" i="3"/>
  <c r="BF194" i="3"/>
  <c r="BE194" i="3"/>
  <c r="BD194" i="3"/>
  <c r="BC194" i="3"/>
  <c r="BB194" i="3"/>
  <c r="BA194" i="3"/>
  <c r="AZ194" i="3"/>
  <c r="AY194" i="3"/>
  <c r="AX194" i="3"/>
  <c r="AW194" i="3"/>
  <c r="AV194" i="3"/>
  <c r="AU194" i="3"/>
  <c r="AT194" i="3"/>
  <c r="E194" i="3"/>
  <c r="E313" i="3" s="1"/>
  <c r="D194" i="3"/>
  <c r="D313" i="3" s="1"/>
  <c r="C194" i="3"/>
  <c r="C313" i="3" s="1"/>
  <c r="B194" i="3"/>
  <c r="B313" i="3" s="1"/>
  <c r="A194" i="3"/>
  <c r="A313" i="3" s="1"/>
  <c r="CG193" i="3"/>
  <c r="CF193" i="3"/>
  <c r="CE193" i="3"/>
  <c r="CD193" i="3"/>
  <c r="CC193" i="3"/>
  <c r="CB193" i="3"/>
  <c r="CA193" i="3"/>
  <c r="BZ193" i="3"/>
  <c r="BY193" i="3"/>
  <c r="BX193" i="3"/>
  <c r="BW193" i="3"/>
  <c r="BV193" i="3"/>
  <c r="BU193" i="3"/>
  <c r="BT193" i="3"/>
  <c r="BS193" i="3"/>
  <c r="BR193" i="3"/>
  <c r="BQ193" i="3"/>
  <c r="BP193" i="3"/>
  <c r="BO193" i="3"/>
  <c r="BN193" i="3"/>
  <c r="BM193" i="3"/>
  <c r="BL193" i="3"/>
  <c r="BK193" i="3"/>
  <c r="BJ193" i="3"/>
  <c r="BI193" i="3"/>
  <c r="BH193" i="3"/>
  <c r="BG193" i="3"/>
  <c r="BF193" i="3"/>
  <c r="BE193" i="3"/>
  <c r="BD193" i="3"/>
  <c r="BC193" i="3"/>
  <c r="BB193" i="3"/>
  <c r="BA193" i="3"/>
  <c r="AZ193" i="3"/>
  <c r="AY193" i="3"/>
  <c r="AX193" i="3"/>
  <c r="AW193" i="3"/>
  <c r="AV193" i="3"/>
  <c r="AU193" i="3"/>
  <c r="AT193" i="3"/>
  <c r="E193" i="3"/>
  <c r="E312" i="3" s="1"/>
  <c r="D193" i="3"/>
  <c r="D312" i="3" s="1"/>
  <c r="C193" i="3"/>
  <c r="C312" i="3" s="1"/>
  <c r="B193" i="3"/>
  <c r="B312" i="3" s="1"/>
  <c r="A193" i="3"/>
  <c r="A312" i="3" s="1"/>
  <c r="CG192" i="3"/>
  <c r="CF192" i="3"/>
  <c r="CE192" i="3"/>
  <c r="CD192" i="3"/>
  <c r="CC192" i="3"/>
  <c r="CB192" i="3"/>
  <c r="CA192" i="3"/>
  <c r="BZ192" i="3"/>
  <c r="BY192" i="3"/>
  <c r="BX192" i="3"/>
  <c r="BW192" i="3"/>
  <c r="BV192" i="3"/>
  <c r="BU192" i="3"/>
  <c r="BT192" i="3"/>
  <c r="BS192" i="3"/>
  <c r="BR192" i="3"/>
  <c r="BQ192" i="3"/>
  <c r="BP192" i="3"/>
  <c r="BO192" i="3"/>
  <c r="BN192" i="3"/>
  <c r="BM192" i="3"/>
  <c r="BL192" i="3"/>
  <c r="BK192" i="3"/>
  <c r="BJ192" i="3"/>
  <c r="BI192" i="3"/>
  <c r="BH192" i="3"/>
  <c r="BG192" i="3"/>
  <c r="BF192" i="3"/>
  <c r="BE192" i="3"/>
  <c r="BD192" i="3"/>
  <c r="BC192" i="3"/>
  <c r="BB192" i="3"/>
  <c r="BA192" i="3"/>
  <c r="AZ192" i="3"/>
  <c r="AY192" i="3"/>
  <c r="AX192" i="3"/>
  <c r="AW192" i="3"/>
  <c r="AV192" i="3"/>
  <c r="AU192" i="3"/>
  <c r="AT192" i="3"/>
  <c r="E192" i="3"/>
  <c r="E311" i="3" s="1"/>
  <c r="D192" i="3"/>
  <c r="D311" i="3" s="1"/>
  <c r="C192" i="3"/>
  <c r="C311" i="3" s="1"/>
  <c r="B192" i="3"/>
  <c r="B311" i="3" s="1"/>
  <c r="A192" i="3"/>
  <c r="A311" i="3" s="1"/>
  <c r="CG191" i="3"/>
  <c r="CF191" i="3"/>
  <c r="CE191" i="3"/>
  <c r="CD191" i="3"/>
  <c r="CC191" i="3"/>
  <c r="CB191" i="3"/>
  <c r="CA191" i="3"/>
  <c r="BZ191" i="3"/>
  <c r="BY191" i="3"/>
  <c r="BX191" i="3"/>
  <c r="BW191" i="3"/>
  <c r="BV191" i="3"/>
  <c r="BU191" i="3"/>
  <c r="BT191" i="3"/>
  <c r="BS191" i="3"/>
  <c r="BR191" i="3"/>
  <c r="BQ191" i="3"/>
  <c r="BP191" i="3"/>
  <c r="BO191" i="3"/>
  <c r="BN191" i="3"/>
  <c r="BM191" i="3"/>
  <c r="BL191" i="3"/>
  <c r="BK191" i="3"/>
  <c r="BJ191" i="3"/>
  <c r="BI191" i="3"/>
  <c r="BH191" i="3"/>
  <c r="BG191" i="3"/>
  <c r="BF191" i="3"/>
  <c r="BE191" i="3"/>
  <c r="BD191" i="3"/>
  <c r="BC191" i="3"/>
  <c r="BB191" i="3"/>
  <c r="BA191" i="3"/>
  <c r="AZ191" i="3"/>
  <c r="AY191" i="3"/>
  <c r="AX191" i="3"/>
  <c r="AW191" i="3"/>
  <c r="AV191" i="3"/>
  <c r="AU191" i="3"/>
  <c r="AT191" i="3"/>
  <c r="E191" i="3"/>
  <c r="E310" i="3" s="1"/>
  <c r="D191" i="3"/>
  <c r="D310" i="3" s="1"/>
  <c r="C191" i="3"/>
  <c r="C310" i="3" s="1"/>
  <c r="B191" i="3"/>
  <c r="B310" i="3" s="1"/>
  <c r="A191" i="3"/>
  <c r="A310" i="3" s="1"/>
  <c r="CG190" i="3"/>
  <c r="CF190" i="3"/>
  <c r="CE190" i="3"/>
  <c r="CD190" i="3"/>
  <c r="CC190" i="3"/>
  <c r="CB190" i="3"/>
  <c r="CA190" i="3"/>
  <c r="BZ190" i="3"/>
  <c r="BY190" i="3"/>
  <c r="BX190" i="3"/>
  <c r="BW190" i="3"/>
  <c r="BV190" i="3"/>
  <c r="BU190" i="3"/>
  <c r="BT190" i="3"/>
  <c r="BS190" i="3"/>
  <c r="BR190" i="3"/>
  <c r="BQ190" i="3"/>
  <c r="BP190" i="3"/>
  <c r="BO190" i="3"/>
  <c r="BN190" i="3"/>
  <c r="BM190" i="3"/>
  <c r="BL190" i="3"/>
  <c r="BK190" i="3"/>
  <c r="BJ190" i="3"/>
  <c r="BI190" i="3"/>
  <c r="BH190" i="3"/>
  <c r="BG190" i="3"/>
  <c r="BF190" i="3"/>
  <c r="BE190" i="3"/>
  <c r="BD190" i="3"/>
  <c r="BC190" i="3"/>
  <c r="BB190" i="3"/>
  <c r="BA190" i="3"/>
  <c r="AZ190" i="3"/>
  <c r="AY190" i="3"/>
  <c r="AX190" i="3"/>
  <c r="AW190" i="3"/>
  <c r="AV190" i="3"/>
  <c r="AU190" i="3"/>
  <c r="AT190" i="3"/>
  <c r="E190" i="3"/>
  <c r="E309" i="3" s="1"/>
  <c r="D190" i="3"/>
  <c r="D309" i="3" s="1"/>
  <c r="C190" i="3"/>
  <c r="C309" i="3" s="1"/>
  <c r="B190" i="3"/>
  <c r="B309" i="3" s="1"/>
  <c r="A190" i="3"/>
  <c r="A309" i="3" s="1"/>
  <c r="CG189" i="3"/>
  <c r="CF189" i="3"/>
  <c r="CE189" i="3"/>
  <c r="CD189" i="3"/>
  <c r="CC189" i="3"/>
  <c r="CB189" i="3"/>
  <c r="CA189" i="3"/>
  <c r="BZ189" i="3"/>
  <c r="BY189" i="3"/>
  <c r="BX189" i="3"/>
  <c r="BW189" i="3"/>
  <c r="BV189" i="3"/>
  <c r="BU189" i="3"/>
  <c r="BT189" i="3"/>
  <c r="BS189" i="3"/>
  <c r="BR189" i="3"/>
  <c r="BQ189" i="3"/>
  <c r="BP189" i="3"/>
  <c r="BO189" i="3"/>
  <c r="BN189" i="3"/>
  <c r="BM189" i="3"/>
  <c r="BL189" i="3"/>
  <c r="BK189" i="3"/>
  <c r="BJ189" i="3"/>
  <c r="BI189" i="3"/>
  <c r="BH189" i="3"/>
  <c r="BG189" i="3"/>
  <c r="BF189" i="3"/>
  <c r="BE189" i="3"/>
  <c r="BD189" i="3"/>
  <c r="BC189" i="3"/>
  <c r="BB189" i="3"/>
  <c r="BA189" i="3"/>
  <c r="AZ189" i="3"/>
  <c r="AY189" i="3"/>
  <c r="AX189" i="3"/>
  <c r="AW189" i="3"/>
  <c r="AV189" i="3"/>
  <c r="AU189" i="3"/>
  <c r="AT189" i="3"/>
  <c r="E189" i="3"/>
  <c r="E308" i="3" s="1"/>
  <c r="D189" i="3"/>
  <c r="D308" i="3" s="1"/>
  <c r="C189" i="3"/>
  <c r="C308" i="3" s="1"/>
  <c r="B189" i="3"/>
  <c r="B308" i="3" s="1"/>
  <c r="A189" i="3"/>
  <c r="A308" i="3" s="1"/>
  <c r="CG188" i="3"/>
  <c r="CF188" i="3"/>
  <c r="CE188" i="3"/>
  <c r="CD188" i="3"/>
  <c r="CC188" i="3"/>
  <c r="CB188" i="3"/>
  <c r="CA188" i="3"/>
  <c r="BZ188" i="3"/>
  <c r="BY188" i="3"/>
  <c r="BX188" i="3"/>
  <c r="BW188" i="3"/>
  <c r="BV188" i="3"/>
  <c r="BU188" i="3"/>
  <c r="BT188" i="3"/>
  <c r="BS188" i="3"/>
  <c r="BR188" i="3"/>
  <c r="BQ188" i="3"/>
  <c r="BP188" i="3"/>
  <c r="BO188" i="3"/>
  <c r="BN188" i="3"/>
  <c r="BM188" i="3"/>
  <c r="BL188" i="3"/>
  <c r="BK188" i="3"/>
  <c r="BJ188" i="3"/>
  <c r="BI188" i="3"/>
  <c r="BH188" i="3"/>
  <c r="BG188" i="3"/>
  <c r="BF188" i="3"/>
  <c r="BE188" i="3"/>
  <c r="BD188" i="3"/>
  <c r="BC188" i="3"/>
  <c r="BB188" i="3"/>
  <c r="BA188" i="3"/>
  <c r="AZ188" i="3"/>
  <c r="AY188" i="3"/>
  <c r="AX188" i="3"/>
  <c r="AW188" i="3"/>
  <c r="AV188" i="3"/>
  <c r="AU188" i="3"/>
  <c r="AT188" i="3"/>
  <c r="E188" i="3"/>
  <c r="E307" i="3" s="1"/>
  <c r="D188" i="3"/>
  <c r="D307" i="3" s="1"/>
  <c r="C188" i="3"/>
  <c r="C307" i="3" s="1"/>
  <c r="B188" i="3"/>
  <c r="B307" i="3" s="1"/>
  <c r="A188" i="3"/>
  <c r="A307" i="3" s="1"/>
  <c r="CG187" i="3"/>
  <c r="CF187" i="3"/>
  <c r="CE187" i="3"/>
  <c r="CD187" i="3"/>
  <c r="CC187" i="3"/>
  <c r="CB187" i="3"/>
  <c r="CA187" i="3"/>
  <c r="BZ187" i="3"/>
  <c r="BY187" i="3"/>
  <c r="BX187" i="3"/>
  <c r="BW187" i="3"/>
  <c r="BV187" i="3"/>
  <c r="BU187" i="3"/>
  <c r="BT187" i="3"/>
  <c r="BS187" i="3"/>
  <c r="BR187" i="3"/>
  <c r="BQ187" i="3"/>
  <c r="BP187" i="3"/>
  <c r="BO187" i="3"/>
  <c r="BN187" i="3"/>
  <c r="BM187" i="3"/>
  <c r="BL187" i="3"/>
  <c r="BK187" i="3"/>
  <c r="BJ187" i="3"/>
  <c r="BI187" i="3"/>
  <c r="BH187" i="3"/>
  <c r="BG187" i="3"/>
  <c r="BF187" i="3"/>
  <c r="BE187" i="3"/>
  <c r="BD187" i="3"/>
  <c r="BC187" i="3"/>
  <c r="BB187" i="3"/>
  <c r="BA187" i="3"/>
  <c r="AZ187" i="3"/>
  <c r="AY187" i="3"/>
  <c r="AX187" i="3"/>
  <c r="AW187" i="3"/>
  <c r="AV187" i="3"/>
  <c r="AU187" i="3"/>
  <c r="AT187" i="3"/>
  <c r="E187" i="3"/>
  <c r="E306" i="3" s="1"/>
  <c r="D187" i="3"/>
  <c r="D306" i="3" s="1"/>
  <c r="C187" i="3"/>
  <c r="C306" i="3" s="1"/>
  <c r="B187" i="3"/>
  <c r="B306" i="3" s="1"/>
  <c r="A187" i="3"/>
  <c r="A306" i="3" s="1"/>
  <c r="CG186" i="3"/>
  <c r="CF186" i="3"/>
  <c r="CE186" i="3"/>
  <c r="CD186" i="3"/>
  <c r="CC186" i="3"/>
  <c r="CB186" i="3"/>
  <c r="CA186" i="3"/>
  <c r="BZ186" i="3"/>
  <c r="BY186" i="3"/>
  <c r="BX186" i="3"/>
  <c r="BW186" i="3"/>
  <c r="BV186" i="3"/>
  <c r="BU186" i="3"/>
  <c r="BT186" i="3"/>
  <c r="BS186" i="3"/>
  <c r="BR186" i="3"/>
  <c r="BQ186" i="3"/>
  <c r="BP186" i="3"/>
  <c r="BO186" i="3"/>
  <c r="BN186" i="3"/>
  <c r="BM186" i="3"/>
  <c r="BL186" i="3"/>
  <c r="BK186" i="3"/>
  <c r="BJ186" i="3"/>
  <c r="BI186" i="3"/>
  <c r="BH186" i="3"/>
  <c r="BG186" i="3"/>
  <c r="BF186" i="3"/>
  <c r="BE186" i="3"/>
  <c r="BD186" i="3"/>
  <c r="BC186" i="3"/>
  <c r="BB186" i="3"/>
  <c r="BA186" i="3"/>
  <c r="AZ186" i="3"/>
  <c r="AY186" i="3"/>
  <c r="AX186" i="3"/>
  <c r="AW186" i="3"/>
  <c r="AV186" i="3"/>
  <c r="AU186" i="3"/>
  <c r="AT186" i="3"/>
  <c r="E186" i="3"/>
  <c r="B186" i="3"/>
  <c r="A186" i="3"/>
  <c r="CG185" i="3"/>
  <c r="CF185" i="3"/>
  <c r="CE185" i="3"/>
  <c r="CD185" i="3"/>
  <c r="CC185" i="3"/>
  <c r="CB185" i="3"/>
  <c r="CA185" i="3"/>
  <c r="BZ185" i="3"/>
  <c r="BY185" i="3"/>
  <c r="BX185" i="3"/>
  <c r="BW185" i="3"/>
  <c r="BV185" i="3"/>
  <c r="BU185" i="3"/>
  <c r="BT185" i="3"/>
  <c r="BS185" i="3"/>
  <c r="BR185" i="3"/>
  <c r="BQ185" i="3"/>
  <c r="BP185" i="3"/>
  <c r="BO185" i="3"/>
  <c r="BN185" i="3"/>
  <c r="BM185" i="3"/>
  <c r="BL185" i="3"/>
  <c r="BK185" i="3"/>
  <c r="BJ185" i="3"/>
  <c r="BI185" i="3"/>
  <c r="BH185" i="3"/>
  <c r="BG185" i="3"/>
  <c r="BF185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E185" i="3"/>
  <c r="E305" i="3" s="1"/>
  <c r="D185" i="3"/>
  <c r="D305" i="3" s="1"/>
  <c r="C185" i="3"/>
  <c r="C305" i="3" s="1"/>
  <c r="B185" i="3"/>
  <c r="B305" i="3" s="1"/>
  <c r="A185" i="3"/>
  <c r="A305" i="3" s="1"/>
  <c r="CG184" i="3"/>
  <c r="CF184" i="3"/>
  <c r="CE184" i="3"/>
  <c r="CD184" i="3"/>
  <c r="CC184" i="3"/>
  <c r="CB184" i="3"/>
  <c r="CA184" i="3"/>
  <c r="BZ184" i="3"/>
  <c r="BY184" i="3"/>
  <c r="BX184" i="3"/>
  <c r="BW184" i="3"/>
  <c r="BV184" i="3"/>
  <c r="BU184" i="3"/>
  <c r="BT184" i="3"/>
  <c r="BS184" i="3"/>
  <c r="BR184" i="3"/>
  <c r="BQ184" i="3"/>
  <c r="BP184" i="3"/>
  <c r="BO184" i="3"/>
  <c r="BN184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E184" i="3"/>
  <c r="E304" i="3" s="1"/>
  <c r="D184" i="3"/>
  <c r="D304" i="3" s="1"/>
  <c r="C184" i="3"/>
  <c r="C304" i="3" s="1"/>
  <c r="B184" i="3"/>
  <c r="B304" i="3" s="1"/>
  <c r="A184" i="3"/>
  <c r="A304" i="3" s="1"/>
  <c r="CG183" i="3"/>
  <c r="CF183" i="3"/>
  <c r="CE183" i="3"/>
  <c r="CD183" i="3"/>
  <c r="CC183" i="3"/>
  <c r="CB183" i="3"/>
  <c r="CA183" i="3"/>
  <c r="BZ183" i="3"/>
  <c r="BY183" i="3"/>
  <c r="BX183" i="3"/>
  <c r="BW183" i="3"/>
  <c r="BV183" i="3"/>
  <c r="BU183" i="3"/>
  <c r="BT183" i="3"/>
  <c r="BS183" i="3"/>
  <c r="BR183" i="3"/>
  <c r="BQ183" i="3"/>
  <c r="BP183" i="3"/>
  <c r="BO183" i="3"/>
  <c r="BN183" i="3"/>
  <c r="BM183" i="3"/>
  <c r="BL183" i="3"/>
  <c r="BK183" i="3"/>
  <c r="BJ183" i="3"/>
  <c r="BI183" i="3"/>
  <c r="BH183" i="3"/>
  <c r="BG183" i="3"/>
  <c r="BF183" i="3"/>
  <c r="BE183" i="3"/>
  <c r="BD183" i="3"/>
  <c r="BC183" i="3"/>
  <c r="BB183" i="3"/>
  <c r="BA183" i="3"/>
  <c r="AZ183" i="3"/>
  <c r="AY183" i="3"/>
  <c r="AX183" i="3"/>
  <c r="AW183" i="3"/>
  <c r="AV183" i="3"/>
  <c r="AU183" i="3"/>
  <c r="AT183" i="3"/>
  <c r="E183" i="3"/>
  <c r="E303" i="3" s="1"/>
  <c r="D183" i="3"/>
  <c r="D303" i="3" s="1"/>
  <c r="C183" i="3"/>
  <c r="C303" i="3" s="1"/>
  <c r="B183" i="3"/>
  <c r="B303" i="3" s="1"/>
  <c r="A183" i="3"/>
  <c r="A303" i="3" s="1"/>
  <c r="CG182" i="3"/>
  <c r="CF182" i="3"/>
  <c r="CE182" i="3"/>
  <c r="CD182" i="3"/>
  <c r="CC182" i="3"/>
  <c r="CB182" i="3"/>
  <c r="CA182" i="3"/>
  <c r="BZ182" i="3"/>
  <c r="BY182" i="3"/>
  <c r="BX182" i="3"/>
  <c r="BW182" i="3"/>
  <c r="BV182" i="3"/>
  <c r="BU182" i="3"/>
  <c r="BT182" i="3"/>
  <c r="BS182" i="3"/>
  <c r="BR182" i="3"/>
  <c r="BQ182" i="3"/>
  <c r="BP182" i="3"/>
  <c r="BO182" i="3"/>
  <c r="BN182" i="3"/>
  <c r="BM182" i="3"/>
  <c r="BL182" i="3"/>
  <c r="BK182" i="3"/>
  <c r="BJ182" i="3"/>
  <c r="BI182" i="3"/>
  <c r="BH182" i="3"/>
  <c r="BG182" i="3"/>
  <c r="BF182" i="3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E182" i="3"/>
  <c r="E302" i="3" s="1"/>
  <c r="D182" i="3"/>
  <c r="D302" i="3" s="1"/>
  <c r="C182" i="3"/>
  <c r="C302" i="3" s="1"/>
  <c r="B182" i="3"/>
  <c r="B302" i="3" s="1"/>
  <c r="A182" i="3"/>
  <c r="A302" i="3" s="1"/>
  <c r="CG181" i="3"/>
  <c r="CF181" i="3"/>
  <c r="CE181" i="3"/>
  <c r="CD181" i="3"/>
  <c r="CC181" i="3"/>
  <c r="CB181" i="3"/>
  <c r="CA181" i="3"/>
  <c r="BZ181" i="3"/>
  <c r="BY181" i="3"/>
  <c r="BX181" i="3"/>
  <c r="BW181" i="3"/>
  <c r="BV181" i="3"/>
  <c r="BU181" i="3"/>
  <c r="BT181" i="3"/>
  <c r="BS181" i="3"/>
  <c r="BR181" i="3"/>
  <c r="BQ181" i="3"/>
  <c r="BP181" i="3"/>
  <c r="BO181" i="3"/>
  <c r="BN181" i="3"/>
  <c r="BM181" i="3"/>
  <c r="BL181" i="3"/>
  <c r="BK181" i="3"/>
  <c r="BJ181" i="3"/>
  <c r="BI181" i="3"/>
  <c r="BH181" i="3"/>
  <c r="BG181" i="3"/>
  <c r="BF181" i="3"/>
  <c r="BE181" i="3"/>
  <c r="BD181" i="3"/>
  <c r="BC181" i="3"/>
  <c r="BB181" i="3"/>
  <c r="BA181" i="3"/>
  <c r="AZ181" i="3"/>
  <c r="AY181" i="3"/>
  <c r="AX181" i="3"/>
  <c r="AW181" i="3"/>
  <c r="AV181" i="3"/>
  <c r="AU181" i="3"/>
  <c r="AT181" i="3"/>
  <c r="E181" i="3"/>
  <c r="E301" i="3" s="1"/>
  <c r="D181" i="3"/>
  <c r="D301" i="3" s="1"/>
  <c r="C181" i="3"/>
  <c r="C301" i="3" s="1"/>
  <c r="B181" i="3"/>
  <c r="B301" i="3" s="1"/>
  <c r="A181" i="3"/>
  <c r="A301" i="3" s="1"/>
  <c r="CG180" i="3"/>
  <c r="CF180" i="3"/>
  <c r="CE180" i="3"/>
  <c r="CD180" i="3"/>
  <c r="CC180" i="3"/>
  <c r="CB180" i="3"/>
  <c r="CA180" i="3"/>
  <c r="BZ180" i="3"/>
  <c r="BY180" i="3"/>
  <c r="BX180" i="3"/>
  <c r="BW180" i="3"/>
  <c r="BV180" i="3"/>
  <c r="BU180" i="3"/>
  <c r="BT180" i="3"/>
  <c r="BS180" i="3"/>
  <c r="BR180" i="3"/>
  <c r="BQ180" i="3"/>
  <c r="BP180" i="3"/>
  <c r="BO180" i="3"/>
  <c r="BN180" i="3"/>
  <c r="BM180" i="3"/>
  <c r="BL180" i="3"/>
  <c r="BK180" i="3"/>
  <c r="BJ180" i="3"/>
  <c r="BI180" i="3"/>
  <c r="BH180" i="3"/>
  <c r="BG180" i="3"/>
  <c r="BF180" i="3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E180" i="3"/>
  <c r="E300" i="3" s="1"/>
  <c r="D180" i="3"/>
  <c r="D300" i="3" s="1"/>
  <c r="C180" i="3"/>
  <c r="C300" i="3" s="1"/>
  <c r="B180" i="3"/>
  <c r="B300" i="3" s="1"/>
  <c r="A180" i="3"/>
  <c r="A300" i="3" s="1"/>
  <c r="CG179" i="3"/>
  <c r="CF179" i="3"/>
  <c r="CE179" i="3"/>
  <c r="CD179" i="3"/>
  <c r="CC179" i="3"/>
  <c r="CB179" i="3"/>
  <c r="CA179" i="3"/>
  <c r="BZ179" i="3"/>
  <c r="BY179" i="3"/>
  <c r="BX179" i="3"/>
  <c r="BW179" i="3"/>
  <c r="BV179" i="3"/>
  <c r="BU179" i="3"/>
  <c r="BT179" i="3"/>
  <c r="BS179" i="3"/>
  <c r="BR179" i="3"/>
  <c r="BQ179" i="3"/>
  <c r="BP179" i="3"/>
  <c r="BO179" i="3"/>
  <c r="BN179" i="3"/>
  <c r="BM179" i="3"/>
  <c r="BL179" i="3"/>
  <c r="BK179" i="3"/>
  <c r="BJ179" i="3"/>
  <c r="BI179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E179" i="3"/>
  <c r="E299" i="3" s="1"/>
  <c r="D179" i="3"/>
  <c r="D299" i="3" s="1"/>
  <c r="C179" i="3"/>
  <c r="C299" i="3" s="1"/>
  <c r="B179" i="3"/>
  <c r="B299" i="3" s="1"/>
  <c r="A179" i="3"/>
  <c r="A299" i="3" s="1"/>
  <c r="CG178" i="3"/>
  <c r="CF178" i="3"/>
  <c r="CE178" i="3"/>
  <c r="CD178" i="3"/>
  <c r="CC178" i="3"/>
  <c r="CB178" i="3"/>
  <c r="CA178" i="3"/>
  <c r="BZ178" i="3"/>
  <c r="BY178" i="3"/>
  <c r="BX178" i="3"/>
  <c r="BW178" i="3"/>
  <c r="BV178" i="3"/>
  <c r="BU178" i="3"/>
  <c r="BT178" i="3"/>
  <c r="BS178" i="3"/>
  <c r="BR178" i="3"/>
  <c r="BQ178" i="3"/>
  <c r="BP178" i="3"/>
  <c r="BO178" i="3"/>
  <c r="BN178" i="3"/>
  <c r="BM178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E178" i="3"/>
  <c r="E298" i="3" s="1"/>
  <c r="D178" i="3"/>
  <c r="D298" i="3" s="1"/>
  <c r="C178" i="3"/>
  <c r="C298" i="3" s="1"/>
  <c r="B178" i="3"/>
  <c r="B298" i="3" s="1"/>
  <c r="A178" i="3"/>
  <c r="A298" i="3" s="1"/>
  <c r="CG177" i="3"/>
  <c r="CF177" i="3"/>
  <c r="CE177" i="3"/>
  <c r="CD177" i="3"/>
  <c r="CC177" i="3"/>
  <c r="CB177" i="3"/>
  <c r="CA177" i="3"/>
  <c r="BZ177" i="3"/>
  <c r="BY177" i="3"/>
  <c r="BX177" i="3"/>
  <c r="BW177" i="3"/>
  <c r="BV177" i="3"/>
  <c r="BU177" i="3"/>
  <c r="BT177" i="3"/>
  <c r="BS177" i="3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E177" i="3"/>
  <c r="E297" i="3" s="1"/>
  <c r="D177" i="3"/>
  <c r="D297" i="3" s="1"/>
  <c r="C177" i="3"/>
  <c r="C297" i="3" s="1"/>
  <c r="B177" i="3"/>
  <c r="B297" i="3" s="1"/>
  <c r="A177" i="3"/>
  <c r="A297" i="3" s="1"/>
  <c r="CG176" i="3"/>
  <c r="CF176" i="3"/>
  <c r="CE176" i="3"/>
  <c r="CD176" i="3"/>
  <c r="CC176" i="3"/>
  <c r="CB176" i="3"/>
  <c r="CA176" i="3"/>
  <c r="BZ176" i="3"/>
  <c r="BY176" i="3"/>
  <c r="BX176" i="3"/>
  <c r="BW176" i="3"/>
  <c r="BV176" i="3"/>
  <c r="BU176" i="3"/>
  <c r="BT176" i="3"/>
  <c r="BS176" i="3"/>
  <c r="BR176" i="3"/>
  <c r="BQ176" i="3"/>
  <c r="BP176" i="3"/>
  <c r="BO176" i="3"/>
  <c r="BN176" i="3"/>
  <c r="BM176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E176" i="3"/>
  <c r="B176" i="3"/>
  <c r="A176" i="3"/>
  <c r="CG175" i="3"/>
  <c r="CF175" i="3"/>
  <c r="CE175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P175" i="3"/>
  <c r="BO175" i="3"/>
  <c r="BN175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E175" i="3"/>
  <c r="B175" i="3"/>
  <c r="A175" i="3"/>
  <c r="CG174" i="3"/>
  <c r="CF174" i="3"/>
  <c r="CE174" i="3"/>
  <c r="CD174" i="3"/>
  <c r="CC174" i="3"/>
  <c r="CB174" i="3"/>
  <c r="CA174" i="3"/>
  <c r="BZ174" i="3"/>
  <c r="BY174" i="3"/>
  <c r="BX174" i="3"/>
  <c r="BW174" i="3"/>
  <c r="BV174" i="3"/>
  <c r="BU174" i="3"/>
  <c r="BT174" i="3"/>
  <c r="BS174" i="3"/>
  <c r="BR174" i="3"/>
  <c r="BQ174" i="3"/>
  <c r="BP174" i="3"/>
  <c r="BO174" i="3"/>
  <c r="BN174" i="3"/>
  <c r="BM174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E174" i="3"/>
  <c r="B174" i="3"/>
  <c r="A174" i="3"/>
  <c r="CG173" i="3"/>
  <c r="CF173" i="3"/>
  <c r="CE173" i="3"/>
  <c r="CD173" i="3"/>
  <c r="CC173" i="3"/>
  <c r="CB173" i="3"/>
  <c r="CA173" i="3"/>
  <c r="BZ173" i="3"/>
  <c r="BY173" i="3"/>
  <c r="BX173" i="3"/>
  <c r="BW173" i="3"/>
  <c r="BV173" i="3"/>
  <c r="BU173" i="3"/>
  <c r="BT173" i="3"/>
  <c r="BS173" i="3"/>
  <c r="BR173" i="3"/>
  <c r="BQ173" i="3"/>
  <c r="BP173" i="3"/>
  <c r="BO173" i="3"/>
  <c r="BN173" i="3"/>
  <c r="BM173" i="3"/>
  <c r="BL173" i="3"/>
  <c r="BK173" i="3"/>
  <c r="BJ173" i="3"/>
  <c r="BI173" i="3"/>
  <c r="BH173" i="3"/>
  <c r="BG173" i="3"/>
  <c r="BF173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E173" i="3"/>
  <c r="B173" i="3"/>
  <c r="A173" i="3"/>
  <c r="CG172" i="3"/>
  <c r="CF172" i="3"/>
  <c r="CE172" i="3"/>
  <c r="CD172" i="3"/>
  <c r="CC172" i="3"/>
  <c r="CB172" i="3"/>
  <c r="CA172" i="3"/>
  <c r="BZ172" i="3"/>
  <c r="BY172" i="3"/>
  <c r="BX172" i="3"/>
  <c r="BW172" i="3"/>
  <c r="BV172" i="3"/>
  <c r="BU172" i="3"/>
  <c r="BT172" i="3"/>
  <c r="BS172" i="3"/>
  <c r="BR172" i="3"/>
  <c r="BQ172" i="3"/>
  <c r="BP172" i="3"/>
  <c r="BO172" i="3"/>
  <c r="BN172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E172" i="3"/>
  <c r="B172" i="3"/>
  <c r="A172" i="3"/>
  <c r="CG171" i="3"/>
  <c r="CF171" i="3"/>
  <c r="CE171" i="3"/>
  <c r="CD171" i="3"/>
  <c r="CC171" i="3"/>
  <c r="CB171" i="3"/>
  <c r="CA171" i="3"/>
  <c r="BZ171" i="3"/>
  <c r="BY171" i="3"/>
  <c r="BX171" i="3"/>
  <c r="BW171" i="3"/>
  <c r="BV171" i="3"/>
  <c r="BU171" i="3"/>
  <c r="BT171" i="3"/>
  <c r="BS171" i="3"/>
  <c r="BR171" i="3"/>
  <c r="BQ171" i="3"/>
  <c r="BP171" i="3"/>
  <c r="BO171" i="3"/>
  <c r="BN171" i="3"/>
  <c r="BM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E171" i="3"/>
  <c r="B171" i="3"/>
  <c r="A171" i="3"/>
  <c r="CG170" i="3"/>
  <c r="CF170" i="3"/>
  <c r="CE170" i="3"/>
  <c r="CD170" i="3"/>
  <c r="CC170" i="3"/>
  <c r="CB170" i="3"/>
  <c r="CA170" i="3"/>
  <c r="BZ170" i="3"/>
  <c r="BY170" i="3"/>
  <c r="BX170" i="3"/>
  <c r="BW170" i="3"/>
  <c r="BV170" i="3"/>
  <c r="BU170" i="3"/>
  <c r="BT170" i="3"/>
  <c r="BS170" i="3"/>
  <c r="BR170" i="3"/>
  <c r="BQ170" i="3"/>
  <c r="BP170" i="3"/>
  <c r="BO170" i="3"/>
  <c r="BN170" i="3"/>
  <c r="BM170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E170" i="3"/>
  <c r="B170" i="3"/>
  <c r="A170" i="3"/>
  <c r="CG169" i="3"/>
  <c r="CF169" i="3"/>
  <c r="CE169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BM169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E169" i="3"/>
  <c r="B169" i="3"/>
  <c r="A169" i="3"/>
  <c r="CG168" i="3"/>
  <c r="CF168" i="3"/>
  <c r="CE168" i="3"/>
  <c r="CD168" i="3"/>
  <c r="CC168" i="3"/>
  <c r="CB168" i="3"/>
  <c r="CA168" i="3"/>
  <c r="BZ168" i="3"/>
  <c r="BY168" i="3"/>
  <c r="BX168" i="3"/>
  <c r="BW168" i="3"/>
  <c r="BV168" i="3"/>
  <c r="BU168" i="3"/>
  <c r="BT168" i="3"/>
  <c r="BS168" i="3"/>
  <c r="BR168" i="3"/>
  <c r="BQ168" i="3"/>
  <c r="BP168" i="3"/>
  <c r="BO168" i="3"/>
  <c r="BN168" i="3"/>
  <c r="BM168" i="3"/>
  <c r="BL168" i="3"/>
  <c r="BK168" i="3"/>
  <c r="BJ168" i="3"/>
  <c r="BI168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E168" i="3"/>
  <c r="B168" i="3"/>
  <c r="A168" i="3"/>
  <c r="CG167" i="3"/>
  <c r="CF167" i="3"/>
  <c r="CE167" i="3"/>
  <c r="CD167" i="3"/>
  <c r="CC167" i="3"/>
  <c r="CB167" i="3"/>
  <c r="CA167" i="3"/>
  <c r="BZ167" i="3"/>
  <c r="BY167" i="3"/>
  <c r="BX167" i="3"/>
  <c r="BW167" i="3"/>
  <c r="BV167" i="3"/>
  <c r="BU167" i="3"/>
  <c r="BT167" i="3"/>
  <c r="BS167" i="3"/>
  <c r="BR167" i="3"/>
  <c r="BQ167" i="3"/>
  <c r="BP167" i="3"/>
  <c r="BO167" i="3"/>
  <c r="BN167" i="3"/>
  <c r="BM167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E167" i="3"/>
  <c r="B167" i="3"/>
  <c r="A167" i="3"/>
  <c r="CG166" i="3"/>
  <c r="CF166" i="3"/>
  <c r="CE166" i="3"/>
  <c r="CD166" i="3"/>
  <c r="CC166" i="3"/>
  <c r="CB166" i="3"/>
  <c r="CA166" i="3"/>
  <c r="BZ166" i="3"/>
  <c r="BY166" i="3"/>
  <c r="BX166" i="3"/>
  <c r="BW166" i="3"/>
  <c r="BV166" i="3"/>
  <c r="BU166" i="3"/>
  <c r="BT166" i="3"/>
  <c r="BS166" i="3"/>
  <c r="BR166" i="3"/>
  <c r="BQ166" i="3"/>
  <c r="BP166" i="3"/>
  <c r="BO166" i="3"/>
  <c r="BN166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E166" i="3"/>
  <c r="B166" i="3"/>
  <c r="A166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E165" i="3"/>
  <c r="B165" i="3"/>
  <c r="A165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E164" i="3"/>
  <c r="B164" i="3"/>
  <c r="A164" i="3"/>
  <c r="CG163" i="3"/>
  <c r="CF163" i="3"/>
  <c r="CE163" i="3"/>
  <c r="CD163" i="3"/>
  <c r="CC163" i="3"/>
  <c r="CB163" i="3"/>
  <c r="CA163" i="3"/>
  <c r="BZ163" i="3"/>
  <c r="BY163" i="3"/>
  <c r="BX163" i="3"/>
  <c r="BW163" i="3"/>
  <c r="BV163" i="3"/>
  <c r="BU163" i="3"/>
  <c r="BT163" i="3"/>
  <c r="BS163" i="3"/>
  <c r="BR163" i="3"/>
  <c r="BQ163" i="3"/>
  <c r="BP163" i="3"/>
  <c r="BO163" i="3"/>
  <c r="BN163" i="3"/>
  <c r="BM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E163" i="3"/>
  <c r="B163" i="3"/>
  <c r="A163" i="3"/>
  <c r="CG162" i="3"/>
  <c r="CF162" i="3"/>
  <c r="CE162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BM162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E162" i="3"/>
  <c r="E296" i="3" s="1"/>
  <c r="D162" i="3"/>
  <c r="D296" i="3" s="1"/>
  <c r="C162" i="3"/>
  <c r="C296" i="3" s="1"/>
  <c r="B162" i="3"/>
  <c r="B296" i="3" s="1"/>
  <c r="A162" i="3"/>
  <c r="A296" i="3" s="1"/>
  <c r="CG161" i="3"/>
  <c r="CF161" i="3"/>
  <c r="CE161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BM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E161" i="3"/>
  <c r="B161" i="3"/>
  <c r="A161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E160" i="3"/>
  <c r="B160" i="3"/>
  <c r="A160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E159" i="3"/>
  <c r="B159" i="3"/>
  <c r="A159" i="3"/>
  <c r="CG158" i="3"/>
  <c r="CF158" i="3"/>
  <c r="CE158" i="3"/>
  <c r="CD158" i="3"/>
  <c r="CC158" i="3"/>
  <c r="CB158" i="3"/>
  <c r="CA158" i="3"/>
  <c r="BZ158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E158" i="3"/>
  <c r="B158" i="3"/>
  <c r="A158" i="3"/>
  <c r="CG157" i="3"/>
  <c r="CF157" i="3"/>
  <c r="CE157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E157" i="3"/>
  <c r="B157" i="3"/>
  <c r="A157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E156" i="3"/>
  <c r="B156" i="3"/>
  <c r="A156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E155" i="3"/>
  <c r="B155" i="3"/>
  <c r="A155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E154" i="3"/>
  <c r="B154" i="3"/>
  <c r="A154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E153" i="3"/>
  <c r="B153" i="3"/>
  <c r="A153" i="3"/>
  <c r="CG152" i="3"/>
  <c r="CF152" i="3"/>
  <c r="CE152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E152" i="3"/>
  <c r="B152" i="3"/>
  <c r="A152" i="3"/>
  <c r="CG151" i="3"/>
  <c r="CF151" i="3"/>
  <c r="CE151" i="3"/>
  <c r="CD151" i="3"/>
  <c r="CC151" i="3"/>
  <c r="CB151" i="3"/>
  <c r="CA151" i="3"/>
  <c r="BZ151" i="3"/>
  <c r="BY151" i="3"/>
  <c r="BX151" i="3"/>
  <c r="BW151" i="3"/>
  <c r="BV151" i="3"/>
  <c r="BU151" i="3"/>
  <c r="BT151" i="3"/>
  <c r="BS151" i="3"/>
  <c r="BR151" i="3"/>
  <c r="BQ151" i="3"/>
  <c r="BP151" i="3"/>
  <c r="BO151" i="3"/>
  <c r="BN151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E151" i="3"/>
  <c r="B151" i="3"/>
  <c r="A151" i="3"/>
  <c r="CG150" i="3"/>
  <c r="CF150" i="3"/>
  <c r="CE150" i="3"/>
  <c r="CD150" i="3"/>
  <c r="CC150" i="3"/>
  <c r="CB150" i="3"/>
  <c r="CA150" i="3"/>
  <c r="BZ150" i="3"/>
  <c r="BY150" i="3"/>
  <c r="BX150" i="3"/>
  <c r="BW150" i="3"/>
  <c r="BV150" i="3"/>
  <c r="BU150" i="3"/>
  <c r="BT150" i="3"/>
  <c r="BS150" i="3"/>
  <c r="BR150" i="3"/>
  <c r="BQ150" i="3"/>
  <c r="BP150" i="3"/>
  <c r="BO15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E150" i="3"/>
  <c r="B150" i="3"/>
  <c r="A150" i="3"/>
  <c r="CG149" i="3"/>
  <c r="CF149" i="3"/>
  <c r="CE149" i="3"/>
  <c r="CD149" i="3"/>
  <c r="CC149" i="3"/>
  <c r="CB149" i="3"/>
  <c r="CA149" i="3"/>
  <c r="BZ149" i="3"/>
  <c r="BY149" i="3"/>
  <c r="BX149" i="3"/>
  <c r="BW149" i="3"/>
  <c r="BV149" i="3"/>
  <c r="BU149" i="3"/>
  <c r="BT149" i="3"/>
  <c r="BS149" i="3"/>
  <c r="BR149" i="3"/>
  <c r="BQ149" i="3"/>
  <c r="BP149" i="3"/>
  <c r="BO149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E149" i="3"/>
  <c r="B149" i="3"/>
  <c r="A149" i="3"/>
  <c r="CG148" i="3"/>
  <c r="CF148" i="3"/>
  <c r="CE148" i="3"/>
  <c r="CD148" i="3"/>
  <c r="CC148" i="3"/>
  <c r="CB148" i="3"/>
  <c r="CA148" i="3"/>
  <c r="BZ148" i="3"/>
  <c r="BY148" i="3"/>
  <c r="BX148" i="3"/>
  <c r="BW148" i="3"/>
  <c r="BV148" i="3"/>
  <c r="BU148" i="3"/>
  <c r="BT148" i="3"/>
  <c r="BS148" i="3"/>
  <c r="BR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E148" i="3"/>
  <c r="B148" i="3"/>
  <c r="A148" i="3"/>
  <c r="CG147" i="3"/>
  <c r="CF147" i="3"/>
  <c r="CE147" i="3"/>
  <c r="CD147" i="3"/>
  <c r="CC147" i="3"/>
  <c r="CB147" i="3"/>
  <c r="CA147" i="3"/>
  <c r="BZ147" i="3"/>
  <c r="BY147" i="3"/>
  <c r="BX147" i="3"/>
  <c r="BW147" i="3"/>
  <c r="BV147" i="3"/>
  <c r="BU147" i="3"/>
  <c r="BT147" i="3"/>
  <c r="BS147" i="3"/>
  <c r="BR147" i="3"/>
  <c r="BQ147" i="3"/>
  <c r="BP147" i="3"/>
  <c r="BO147" i="3"/>
  <c r="BN147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E147" i="3"/>
  <c r="B147" i="3"/>
  <c r="A147" i="3"/>
  <c r="CG146" i="3"/>
  <c r="CF146" i="3"/>
  <c r="CE146" i="3"/>
  <c r="CD146" i="3"/>
  <c r="CC146" i="3"/>
  <c r="CB146" i="3"/>
  <c r="CA146" i="3"/>
  <c r="BZ146" i="3"/>
  <c r="BY146" i="3"/>
  <c r="BX146" i="3"/>
  <c r="BW146" i="3"/>
  <c r="BV146" i="3"/>
  <c r="BU146" i="3"/>
  <c r="BT146" i="3"/>
  <c r="BS146" i="3"/>
  <c r="BR146" i="3"/>
  <c r="BQ146" i="3"/>
  <c r="BP146" i="3"/>
  <c r="BO146" i="3"/>
  <c r="BN146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E146" i="3"/>
  <c r="B146" i="3"/>
  <c r="A146" i="3"/>
  <c r="CG145" i="3"/>
  <c r="CF145" i="3"/>
  <c r="CE145" i="3"/>
  <c r="CD145" i="3"/>
  <c r="CC145" i="3"/>
  <c r="CB145" i="3"/>
  <c r="CA145" i="3"/>
  <c r="BZ145" i="3"/>
  <c r="BY145" i="3"/>
  <c r="BX145" i="3"/>
  <c r="BW145" i="3"/>
  <c r="BV145" i="3"/>
  <c r="BU145" i="3"/>
  <c r="BT145" i="3"/>
  <c r="BS145" i="3"/>
  <c r="BR145" i="3"/>
  <c r="BQ145" i="3"/>
  <c r="BP145" i="3"/>
  <c r="BO145" i="3"/>
  <c r="BN145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E145" i="3"/>
  <c r="B145" i="3"/>
  <c r="A145" i="3"/>
  <c r="CG144" i="3"/>
  <c r="CF144" i="3"/>
  <c r="CE144" i="3"/>
  <c r="CD144" i="3"/>
  <c r="CC144" i="3"/>
  <c r="CB144" i="3"/>
  <c r="CA144" i="3"/>
  <c r="BZ144" i="3"/>
  <c r="BY144" i="3"/>
  <c r="BX144" i="3"/>
  <c r="BW144" i="3"/>
  <c r="BV144" i="3"/>
  <c r="BU144" i="3"/>
  <c r="BT144" i="3"/>
  <c r="BS144" i="3"/>
  <c r="BR144" i="3"/>
  <c r="BQ144" i="3"/>
  <c r="BP144" i="3"/>
  <c r="BO144" i="3"/>
  <c r="BN144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E144" i="3"/>
  <c r="B144" i="3"/>
  <c r="A144" i="3"/>
  <c r="CG143" i="3"/>
  <c r="CF143" i="3"/>
  <c r="CE143" i="3"/>
  <c r="CD143" i="3"/>
  <c r="CC143" i="3"/>
  <c r="CB143" i="3"/>
  <c r="CA143" i="3"/>
  <c r="BZ143" i="3"/>
  <c r="BY143" i="3"/>
  <c r="BX143" i="3"/>
  <c r="BW143" i="3"/>
  <c r="BV143" i="3"/>
  <c r="BU143" i="3"/>
  <c r="BT143" i="3"/>
  <c r="BS143" i="3"/>
  <c r="BR143" i="3"/>
  <c r="BQ143" i="3"/>
  <c r="BP143" i="3"/>
  <c r="BO143" i="3"/>
  <c r="BN143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E143" i="3"/>
  <c r="B143" i="3"/>
  <c r="A143" i="3"/>
  <c r="CG142" i="3"/>
  <c r="CF142" i="3"/>
  <c r="CE142" i="3"/>
  <c r="CD142" i="3"/>
  <c r="CC142" i="3"/>
  <c r="CB142" i="3"/>
  <c r="CA142" i="3"/>
  <c r="BZ142" i="3"/>
  <c r="BY142" i="3"/>
  <c r="BX142" i="3"/>
  <c r="BW142" i="3"/>
  <c r="BV142" i="3"/>
  <c r="BU142" i="3"/>
  <c r="BT142" i="3"/>
  <c r="BS142" i="3"/>
  <c r="BR142" i="3"/>
  <c r="BQ142" i="3"/>
  <c r="BP142" i="3"/>
  <c r="BO142" i="3"/>
  <c r="BN142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E142" i="3"/>
  <c r="B142" i="3"/>
  <c r="A142" i="3"/>
  <c r="CG141" i="3"/>
  <c r="CF141" i="3"/>
  <c r="CE141" i="3"/>
  <c r="CD141" i="3"/>
  <c r="CC141" i="3"/>
  <c r="CB141" i="3"/>
  <c r="CA141" i="3"/>
  <c r="BZ141" i="3"/>
  <c r="BY141" i="3"/>
  <c r="BX141" i="3"/>
  <c r="BW141" i="3"/>
  <c r="BV141" i="3"/>
  <c r="BU141" i="3"/>
  <c r="BT141" i="3"/>
  <c r="BS141" i="3"/>
  <c r="BR141" i="3"/>
  <c r="BQ141" i="3"/>
  <c r="BP141" i="3"/>
  <c r="BO141" i="3"/>
  <c r="BN141" i="3"/>
  <c r="BM141" i="3"/>
  <c r="BL141" i="3"/>
  <c r="BK141" i="3"/>
  <c r="BJ141" i="3"/>
  <c r="BI141" i="3"/>
  <c r="BH141" i="3"/>
  <c r="BG141" i="3"/>
  <c r="BF141" i="3"/>
  <c r="BE141" i="3"/>
  <c r="BD141" i="3"/>
  <c r="BC141" i="3"/>
  <c r="BB141" i="3"/>
  <c r="BA141" i="3"/>
  <c r="AZ141" i="3"/>
  <c r="AY141" i="3"/>
  <c r="AX141" i="3"/>
  <c r="AW141" i="3"/>
  <c r="AV141" i="3"/>
  <c r="AU141" i="3"/>
  <c r="AT141" i="3"/>
  <c r="E141" i="3"/>
  <c r="B141" i="3"/>
  <c r="A141" i="3"/>
  <c r="CG140" i="3"/>
  <c r="CF140" i="3"/>
  <c r="CE140" i="3"/>
  <c r="CD140" i="3"/>
  <c r="CC140" i="3"/>
  <c r="CB140" i="3"/>
  <c r="CA140" i="3"/>
  <c r="BZ140" i="3"/>
  <c r="BY140" i="3"/>
  <c r="BX140" i="3"/>
  <c r="BW140" i="3"/>
  <c r="BV140" i="3"/>
  <c r="BU140" i="3"/>
  <c r="BT140" i="3"/>
  <c r="BS140" i="3"/>
  <c r="BR140" i="3"/>
  <c r="BQ140" i="3"/>
  <c r="BP140" i="3"/>
  <c r="BO140" i="3"/>
  <c r="BN140" i="3"/>
  <c r="BM140" i="3"/>
  <c r="BL140" i="3"/>
  <c r="BK140" i="3"/>
  <c r="BJ140" i="3"/>
  <c r="BI140" i="3"/>
  <c r="BH140" i="3"/>
  <c r="BG140" i="3"/>
  <c r="BF140" i="3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E140" i="3"/>
  <c r="B140" i="3"/>
  <c r="A140" i="3"/>
  <c r="CG139" i="3"/>
  <c r="CF139" i="3"/>
  <c r="CE139" i="3"/>
  <c r="CD139" i="3"/>
  <c r="CC139" i="3"/>
  <c r="CB139" i="3"/>
  <c r="CA139" i="3"/>
  <c r="BZ139" i="3"/>
  <c r="BY139" i="3"/>
  <c r="BX139" i="3"/>
  <c r="BW139" i="3"/>
  <c r="BV139" i="3"/>
  <c r="BU139" i="3"/>
  <c r="BT139" i="3"/>
  <c r="BS139" i="3"/>
  <c r="BR139" i="3"/>
  <c r="BQ139" i="3"/>
  <c r="BP139" i="3"/>
  <c r="BO139" i="3"/>
  <c r="BN139" i="3"/>
  <c r="BM139" i="3"/>
  <c r="BL139" i="3"/>
  <c r="BK139" i="3"/>
  <c r="BJ139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AV139" i="3"/>
  <c r="AU139" i="3"/>
  <c r="AT139" i="3"/>
  <c r="E139" i="3"/>
  <c r="B139" i="3"/>
  <c r="A139" i="3"/>
  <c r="CG138" i="3"/>
  <c r="CF138" i="3"/>
  <c r="CE138" i="3"/>
  <c r="CD138" i="3"/>
  <c r="CC138" i="3"/>
  <c r="CB138" i="3"/>
  <c r="CA138" i="3"/>
  <c r="BZ138" i="3"/>
  <c r="BY138" i="3"/>
  <c r="BX138" i="3"/>
  <c r="BW138" i="3"/>
  <c r="BV138" i="3"/>
  <c r="BU138" i="3"/>
  <c r="BT138" i="3"/>
  <c r="BS138" i="3"/>
  <c r="BR138" i="3"/>
  <c r="BQ138" i="3"/>
  <c r="BP138" i="3"/>
  <c r="BO138" i="3"/>
  <c r="BN138" i="3"/>
  <c r="BM138" i="3"/>
  <c r="BL138" i="3"/>
  <c r="BK138" i="3"/>
  <c r="BJ138" i="3"/>
  <c r="BI138" i="3"/>
  <c r="BH138" i="3"/>
  <c r="BG138" i="3"/>
  <c r="BF138" i="3"/>
  <c r="BE138" i="3"/>
  <c r="BD138" i="3"/>
  <c r="BC138" i="3"/>
  <c r="BB138" i="3"/>
  <c r="BA138" i="3"/>
  <c r="AZ138" i="3"/>
  <c r="AY138" i="3"/>
  <c r="AX138" i="3"/>
  <c r="AW138" i="3"/>
  <c r="AV138" i="3"/>
  <c r="AU138" i="3"/>
  <c r="AT138" i="3"/>
  <c r="E138" i="3"/>
  <c r="B138" i="3"/>
  <c r="A138" i="3"/>
  <c r="CG137" i="3"/>
  <c r="CF137" i="3"/>
  <c r="CE137" i="3"/>
  <c r="CD137" i="3"/>
  <c r="CC137" i="3"/>
  <c r="CB137" i="3"/>
  <c r="CA137" i="3"/>
  <c r="BZ137" i="3"/>
  <c r="BY137" i="3"/>
  <c r="BX137" i="3"/>
  <c r="BW137" i="3"/>
  <c r="BV137" i="3"/>
  <c r="BU137" i="3"/>
  <c r="BT137" i="3"/>
  <c r="BS137" i="3"/>
  <c r="BR137" i="3"/>
  <c r="BQ137" i="3"/>
  <c r="BP137" i="3"/>
  <c r="BO137" i="3"/>
  <c r="BN137" i="3"/>
  <c r="BM137" i="3"/>
  <c r="BL137" i="3"/>
  <c r="BK137" i="3"/>
  <c r="BJ137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E137" i="3"/>
  <c r="B137" i="3"/>
  <c r="A137" i="3"/>
  <c r="CG136" i="3"/>
  <c r="CF136" i="3"/>
  <c r="CE136" i="3"/>
  <c r="CD136" i="3"/>
  <c r="CC136" i="3"/>
  <c r="CB136" i="3"/>
  <c r="CA136" i="3"/>
  <c r="BZ136" i="3"/>
  <c r="BY136" i="3"/>
  <c r="BX136" i="3"/>
  <c r="BW136" i="3"/>
  <c r="BV136" i="3"/>
  <c r="BU136" i="3"/>
  <c r="BT136" i="3"/>
  <c r="BS136" i="3"/>
  <c r="BR136" i="3"/>
  <c r="BQ136" i="3"/>
  <c r="BP136" i="3"/>
  <c r="BO136" i="3"/>
  <c r="BN136" i="3"/>
  <c r="BM136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E136" i="3"/>
  <c r="B136" i="3"/>
  <c r="A136" i="3"/>
  <c r="CG135" i="3"/>
  <c r="CF135" i="3"/>
  <c r="CE135" i="3"/>
  <c r="CD135" i="3"/>
  <c r="CC135" i="3"/>
  <c r="CB135" i="3"/>
  <c r="CA135" i="3"/>
  <c r="BZ135" i="3"/>
  <c r="BY135" i="3"/>
  <c r="BX135" i="3"/>
  <c r="BW135" i="3"/>
  <c r="BV135" i="3"/>
  <c r="BU135" i="3"/>
  <c r="BT135" i="3"/>
  <c r="BS135" i="3"/>
  <c r="BR135" i="3"/>
  <c r="BQ135" i="3"/>
  <c r="BP135" i="3"/>
  <c r="BO135" i="3"/>
  <c r="BN135" i="3"/>
  <c r="BM135" i="3"/>
  <c r="BL135" i="3"/>
  <c r="BK135" i="3"/>
  <c r="BJ135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E135" i="3"/>
  <c r="B135" i="3"/>
  <c r="A135" i="3"/>
  <c r="CG134" i="3"/>
  <c r="CF134" i="3"/>
  <c r="CE134" i="3"/>
  <c r="CD134" i="3"/>
  <c r="CC134" i="3"/>
  <c r="CB134" i="3"/>
  <c r="CA134" i="3"/>
  <c r="BZ134" i="3"/>
  <c r="BY134" i="3"/>
  <c r="BX134" i="3"/>
  <c r="BW134" i="3"/>
  <c r="BV134" i="3"/>
  <c r="BU134" i="3"/>
  <c r="BT134" i="3"/>
  <c r="BS134" i="3"/>
  <c r="BR134" i="3"/>
  <c r="BQ134" i="3"/>
  <c r="BP134" i="3"/>
  <c r="BO134" i="3"/>
  <c r="BN134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E134" i="3"/>
  <c r="B134" i="3"/>
  <c r="A134" i="3"/>
  <c r="CG133" i="3"/>
  <c r="CF133" i="3"/>
  <c r="CE133" i="3"/>
  <c r="CD133" i="3"/>
  <c r="CC133" i="3"/>
  <c r="CB133" i="3"/>
  <c r="CA133" i="3"/>
  <c r="BZ133" i="3"/>
  <c r="BY133" i="3"/>
  <c r="BX133" i="3"/>
  <c r="BW133" i="3"/>
  <c r="BV133" i="3"/>
  <c r="BU133" i="3"/>
  <c r="BT133" i="3"/>
  <c r="BS133" i="3"/>
  <c r="BR133" i="3"/>
  <c r="BQ133" i="3"/>
  <c r="BP133" i="3"/>
  <c r="BO133" i="3"/>
  <c r="BN133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E133" i="3"/>
  <c r="B133" i="3"/>
  <c r="A133" i="3"/>
  <c r="CG132" i="3"/>
  <c r="CF132" i="3"/>
  <c r="CE132" i="3"/>
  <c r="CD132" i="3"/>
  <c r="CC132" i="3"/>
  <c r="CB132" i="3"/>
  <c r="CA132" i="3"/>
  <c r="BZ132" i="3"/>
  <c r="BY132" i="3"/>
  <c r="BX132" i="3"/>
  <c r="BW132" i="3"/>
  <c r="BV132" i="3"/>
  <c r="BU132" i="3"/>
  <c r="BT132" i="3"/>
  <c r="BS132" i="3"/>
  <c r="BR132" i="3"/>
  <c r="BQ132" i="3"/>
  <c r="BP132" i="3"/>
  <c r="BO132" i="3"/>
  <c r="BN132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E132" i="3"/>
  <c r="B132" i="3"/>
  <c r="A132" i="3"/>
  <c r="CG131" i="3"/>
  <c r="CF131" i="3"/>
  <c r="CE131" i="3"/>
  <c r="CD131" i="3"/>
  <c r="CC131" i="3"/>
  <c r="CB131" i="3"/>
  <c r="CA131" i="3"/>
  <c r="BZ131" i="3"/>
  <c r="BY131" i="3"/>
  <c r="BX131" i="3"/>
  <c r="BW131" i="3"/>
  <c r="BV131" i="3"/>
  <c r="BU131" i="3"/>
  <c r="BT131" i="3"/>
  <c r="BS131" i="3"/>
  <c r="BR131" i="3"/>
  <c r="BQ131" i="3"/>
  <c r="BP131" i="3"/>
  <c r="BO131" i="3"/>
  <c r="BN131" i="3"/>
  <c r="BM131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E131" i="3"/>
  <c r="B131" i="3"/>
  <c r="A131" i="3"/>
  <c r="CG130" i="3"/>
  <c r="CF130" i="3"/>
  <c r="CE130" i="3"/>
  <c r="CD130" i="3"/>
  <c r="CC130" i="3"/>
  <c r="CB130" i="3"/>
  <c r="CA130" i="3"/>
  <c r="BZ130" i="3"/>
  <c r="BY130" i="3"/>
  <c r="BX130" i="3"/>
  <c r="BW130" i="3"/>
  <c r="BV130" i="3"/>
  <c r="BU130" i="3"/>
  <c r="BT130" i="3"/>
  <c r="BS130" i="3"/>
  <c r="BR130" i="3"/>
  <c r="BQ130" i="3"/>
  <c r="BP130" i="3"/>
  <c r="BO130" i="3"/>
  <c r="BN130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E130" i="3"/>
  <c r="B130" i="3"/>
  <c r="A130" i="3"/>
  <c r="CG129" i="3"/>
  <c r="CF129" i="3"/>
  <c r="CE129" i="3"/>
  <c r="CD129" i="3"/>
  <c r="CC129" i="3"/>
  <c r="CB129" i="3"/>
  <c r="CA129" i="3"/>
  <c r="BZ129" i="3"/>
  <c r="BY129" i="3"/>
  <c r="BX129" i="3"/>
  <c r="BW129" i="3"/>
  <c r="BV129" i="3"/>
  <c r="BU129" i="3"/>
  <c r="BT129" i="3"/>
  <c r="BS129" i="3"/>
  <c r="BR129" i="3"/>
  <c r="BQ129" i="3"/>
  <c r="BP129" i="3"/>
  <c r="BO129" i="3"/>
  <c r="BN129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E129" i="3"/>
  <c r="B129" i="3"/>
  <c r="A129" i="3"/>
  <c r="CG128" i="3"/>
  <c r="CF128" i="3"/>
  <c r="CE128" i="3"/>
  <c r="CD128" i="3"/>
  <c r="CC128" i="3"/>
  <c r="CB128" i="3"/>
  <c r="CA128" i="3"/>
  <c r="BZ128" i="3"/>
  <c r="BY128" i="3"/>
  <c r="BX128" i="3"/>
  <c r="BW128" i="3"/>
  <c r="BV128" i="3"/>
  <c r="BU128" i="3"/>
  <c r="BT128" i="3"/>
  <c r="BS128" i="3"/>
  <c r="BR128" i="3"/>
  <c r="BQ128" i="3"/>
  <c r="BP128" i="3"/>
  <c r="BO128" i="3"/>
  <c r="BN128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E128" i="3"/>
  <c r="B128" i="3"/>
  <c r="A128" i="3"/>
  <c r="CG127" i="3"/>
  <c r="CF127" i="3"/>
  <c r="CE127" i="3"/>
  <c r="CD127" i="3"/>
  <c r="CC127" i="3"/>
  <c r="CB127" i="3"/>
  <c r="CA127" i="3"/>
  <c r="BZ127" i="3"/>
  <c r="BY127" i="3"/>
  <c r="BX127" i="3"/>
  <c r="BW127" i="3"/>
  <c r="BV127" i="3"/>
  <c r="BU127" i="3"/>
  <c r="BT127" i="3"/>
  <c r="BS127" i="3"/>
  <c r="BR127" i="3"/>
  <c r="BQ127" i="3"/>
  <c r="BP127" i="3"/>
  <c r="BO127" i="3"/>
  <c r="BN127" i="3"/>
  <c r="BM127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E127" i="3"/>
  <c r="B127" i="3"/>
  <c r="A127" i="3"/>
  <c r="CG126" i="3"/>
  <c r="CF126" i="3"/>
  <c r="CE126" i="3"/>
  <c r="CD126" i="3"/>
  <c r="CC126" i="3"/>
  <c r="CB126" i="3"/>
  <c r="CA126" i="3"/>
  <c r="BZ126" i="3"/>
  <c r="BY126" i="3"/>
  <c r="BX126" i="3"/>
  <c r="BW126" i="3"/>
  <c r="BV126" i="3"/>
  <c r="BU126" i="3"/>
  <c r="BT126" i="3"/>
  <c r="BS126" i="3"/>
  <c r="BR126" i="3"/>
  <c r="BQ126" i="3"/>
  <c r="BP126" i="3"/>
  <c r="BO126" i="3"/>
  <c r="BN126" i="3"/>
  <c r="BM126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E126" i="3"/>
  <c r="B126" i="3"/>
  <c r="A126" i="3"/>
  <c r="CG125" i="3"/>
  <c r="CF125" i="3"/>
  <c r="CE125" i="3"/>
  <c r="CD125" i="3"/>
  <c r="CC125" i="3"/>
  <c r="CB125" i="3"/>
  <c r="CA125" i="3"/>
  <c r="BZ125" i="3"/>
  <c r="BY125" i="3"/>
  <c r="BX125" i="3"/>
  <c r="BW125" i="3"/>
  <c r="BV125" i="3"/>
  <c r="BU125" i="3"/>
  <c r="BT125" i="3"/>
  <c r="BS125" i="3"/>
  <c r="BR125" i="3"/>
  <c r="BQ125" i="3"/>
  <c r="BP125" i="3"/>
  <c r="BO125" i="3"/>
  <c r="BN125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E125" i="3"/>
  <c r="B125" i="3"/>
  <c r="A125" i="3"/>
  <c r="CG124" i="3"/>
  <c r="CF124" i="3"/>
  <c r="CE124" i="3"/>
  <c r="CD124" i="3"/>
  <c r="CC124" i="3"/>
  <c r="CB124" i="3"/>
  <c r="CA124" i="3"/>
  <c r="BZ124" i="3"/>
  <c r="BY124" i="3"/>
  <c r="BX124" i="3"/>
  <c r="BW124" i="3"/>
  <c r="BV124" i="3"/>
  <c r="BU124" i="3"/>
  <c r="BT124" i="3"/>
  <c r="BS124" i="3"/>
  <c r="BR124" i="3"/>
  <c r="BQ124" i="3"/>
  <c r="BP124" i="3"/>
  <c r="BO124" i="3"/>
  <c r="BN124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E124" i="3"/>
  <c r="B124" i="3"/>
  <c r="A124" i="3"/>
  <c r="CG123" i="3"/>
  <c r="CF123" i="3"/>
  <c r="CE123" i="3"/>
  <c r="CD123" i="3"/>
  <c r="CC123" i="3"/>
  <c r="CB123" i="3"/>
  <c r="CA123" i="3"/>
  <c r="BZ123" i="3"/>
  <c r="BY123" i="3"/>
  <c r="BX123" i="3"/>
  <c r="BW123" i="3"/>
  <c r="BV123" i="3"/>
  <c r="BU123" i="3"/>
  <c r="BT123" i="3"/>
  <c r="BS123" i="3"/>
  <c r="BR123" i="3"/>
  <c r="BQ123" i="3"/>
  <c r="BP123" i="3"/>
  <c r="BO123" i="3"/>
  <c r="BN123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E123" i="3"/>
  <c r="B123" i="3"/>
  <c r="A123" i="3"/>
  <c r="CG122" i="3"/>
  <c r="CF122" i="3"/>
  <c r="CE122" i="3"/>
  <c r="CD122" i="3"/>
  <c r="CC122" i="3"/>
  <c r="CB122" i="3"/>
  <c r="CA122" i="3"/>
  <c r="BZ122" i="3"/>
  <c r="BY122" i="3"/>
  <c r="BX122" i="3"/>
  <c r="BW122" i="3"/>
  <c r="BV122" i="3"/>
  <c r="BU122" i="3"/>
  <c r="BT122" i="3"/>
  <c r="BS122" i="3"/>
  <c r="BR122" i="3"/>
  <c r="BQ122" i="3"/>
  <c r="BP122" i="3"/>
  <c r="BO122" i="3"/>
  <c r="BN122" i="3"/>
  <c r="BM122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E122" i="3"/>
  <c r="B122" i="3"/>
  <c r="A122" i="3"/>
  <c r="CG121" i="3"/>
  <c r="CF121" i="3"/>
  <c r="CE121" i="3"/>
  <c r="CD121" i="3"/>
  <c r="CC121" i="3"/>
  <c r="CB121" i="3"/>
  <c r="CA121" i="3"/>
  <c r="BZ121" i="3"/>
  <c r="BY121" i="3"/>
  <c r="BX121" i="3"/>
  <c r="BW121" i="3"/>
  <c r="BV121" i="3"/>
  <c r="BU121" i="3"/>
  <c r="BT121" i="3"/>
  <c r="BS121" i="3"/>
  <c r="BR121" i="3"/>
  <c r="BQ121" i="3"/>
  <c r="BP121" i="3"/>
  <c r="BO121" i="3"/>
  <c r="BN121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E121" i="3"/>
  <c r="B121" i="3"/>
  <c r="A121" i="3"/>
  <c r="CG120" i="3"/>
  <c r="CF120" i="3"/>
  <c r="CE120" i="3"/>
  <c r="CD120" i="3"/>
  <c r="CC120" i="3"/>
  <c r="CB120" i="3"/>
  <c r="CA120" i="3"/>
  <c r="BZ120" i="3"/>
  <c r="BY120" i="3"/>
  <c r="BX120" i="3"/>
  <c r="BW120" i="3"/>
  <c r="BV120" i="3"/>
  <c r="BU120" i="3"/>
  <c r="BT120" i="3"/>
  <c r="BS120" i="3"/>
  <c r="BR120" i="3"/>
  <c r="BQ120" i="3"/>
  <c r="BP120" i="3"/>
  <c r="BO120" i="3"/>
  <c r="BN120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E120" i="3"/>
  <c r="B120" i="3"/>
  <c r="A120" i="3"/>
  <c r="CG119" i="3"/>
  <c r="CF119" i="3"/>
  <c r="CE119" i="3"/>
  <c r="CD119" i="3"/>
  <c r="CC119" i="3"/>
  <c r="CB119" i="3"/>
  <c r="CA119" i="3"/>
  <c r="BZ119" i="3"/>
  <c r="BY119" i="3"/>
  <c r="BX119" i="3"/>
  <c r="BW119" i="3"/>
  <c r="BV119" i="3"/>
  <c r="BU119" i="3"/>
  <c r="BT119" i="3"/>
  <c r="BS119" i="3"/>
  <c r="BR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E119" i="3"/>
  <c r="B119" i="3"/>
  <c r="A119" i="3"/>
  <c r="CG118" i="3"/>
  <c r="CF118" i="3"/>
  <c r="CE118" i="3"/>
  <c r="CD118" i="3"/>
  <c r="CC118" i="3"/>
  <c r="CB118" i="3"/>
  <c r="CA118" i="3"/>
  <c r="BZ118" i="3"/>
  <c r="BY118" i="3"/>
  <c r="BX118" i="3"/>
  <c r="BW118" i="3"/>
  <c r="BV118" i="3"/>
  <c r="BU118" i="3"/>
  <c r="BT118" i="3"/>
  <c r="BS118" i="3"/>
  <c r="BR118" i="3"/>
  <c r="BQ118" i="3"/>
  <c r="BP118" i="3"/>
  <c r="BO118" i="3"/>
  <c r="BN118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E118" i="3"/>
  <c r="B118" i="3"/>
  <c r="A118" i="3"/>
  <c r="CG117" i="3"/>
  <c r="CF117" i="3"/>
  <c r="CE117" i="3"/>
  <c r="CD117" i="3"/>
  <c r="CC117" i="3"/>
  <c r="CB117" i="3"/>
  <c r="CA117" i="3"/>
  <c r="BZ117" i="3"/>
  <c r="BY117" i="3"/>
  <c r="BX117" i="3"/>
  <c r="BW117" i="3"/>
  <c r="BV117" i="3"/>
  <c r="BU117" i="3"/>
  <c r="BT117" i="3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E117" i="3"/>
  <c r="B117" i="3"/>
  <c r="A117" i="3"/>
  <c r="CG116" i="3"/>
  <c r="CF116" i="3"/>
  <c r="CE116" i="3"/>
  <c r="CD116" i="3"/>
  <c r="CC116" i="3"/>
  <c r="CB116" i="3"/>
  <c r="CA116" i="3"/>
  <c r="BZ116" i="3"/>
  <c r="BY116" i="3"/>
  <c r="BX116" i="3"/>
  <c r="BW116" i="3"/>
  <c r="BV116" i="3"/>
  <c r="BU116" i="3"/>
  <c r="BT116" i="3"/>
  <c r="BS116" i="3"/>
  <c r="BR116" i="3"/>
  <c r="BQ116" i="3"/>
  <c r="BP116" i="3"/>
  <c r="BO116" i="3"/>
  <c r="BN116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E116" i="3"/>
  <c r="B116" i="3"/>
  <c r="A116" i="3"/>
  <c r="CG115" i="3"/>
  <c r="CF115" i="3"/>
  <c r="CE115" i="3"/>
  <c r="CD115" i="3"/>
  <c r="CC115" i="3"/>
  <c r="CB115" i="3"/>
  <c r="CA115" i="3"/>
  <c r="BZ115" i="3"/>
  <c r="BY115" i="3"/>
  <c r="BX115" i="3"/>
  <c r="BW115" i="3"/>
  <c r="BV115" i="3"/>
  <c r="BU115" i="3"/>
  <c r="BT115" i="3"/>
  <c r="BS115" i="3"/>
  <c r="BR115" i="3"/>
  <c r="BQ115" i="3"/>
  <c r="BP115" i="3"/>
  <c r="BO115" i="3"/>
  <c r="BN115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E115" i="3"/>
  <c r="B115" i="3"/>
  <c r="A115" i="3"/>
  <c r="CG114" i="3"/>
  <c r="CF114" i="3"/>
  <c r="CE114" i="3"/>
  <c r="CD114" i="3"/>
  <c r="CC114" i="3"/>
  <c r="CB114" i="3"/>
  <c r="CA114" i="3"/>
  <c r="BZ114" i="3"/>
  <c r="BY114" i="3"/>
  <c r="BX114" i="3"/>
  <c r="BW114" i="3"/>
  <c r="BV114" i="3"/>
  <c r="BU114" i="3"/>
  <c r="BT114" i="3"/>
  <c r="BS114" i="3"/>
  <c r="BR114" i="3"/>
  <c r="BQ114" i="3"/>
  <c r="BP114" i="3"/>
  <c r="BO114" i="3"/>
  <c r="BN114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E114" i="3"/>
  <c r="B114" i="3"/>
  <c r="A114" i="3"/>
  <c r="CG113" i="3"/>
  <c r="CF113" i="3"/>
  <c r="CE113" i="3"/>
  <c r="CD113" i="3"/>
  <c r="CC113" i="3"/>
  <c r="CB113" i="3"/>
  <c r="CA113" i="3"/>
  <c r="BZ113" i="3"/>
  <c r="BY113" i="3"/>
  <c r="BX113" i="3"/>
  <c r="BW113" i="3"/>
  <c r="BV113" i="3"/>
  <c r="BU113" i="3"/>
  <c r="BT113" i="3"/>
  <c r="BS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E113" i="3"/>
  <c r="B113" i="3"/>
  <c r="A113" i="3"/>
  <c r="CG112" i="3"/>
  <c r="CF112" i="3"/>
  <c r="CE112" i="3"/>
  <c r="CD112" i="3"/>
  <c r="CC112" i="3"/>
  <c r="CB112" i="3"/>
  <c r="CA112" i="3"/>
  <c r="BZ112" i="3"/>
  <c r="BY112" i="3"/>
  <c r="BX112" i="3"/>
  <c r="BW112" i="3"/>
  <c r="BV112" i="3"/>
  <c r="BU112" i="3"/>
  <c r="BT112" i="3"/>
  <c r="BS112" i="3"/>
  <c r="BR112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E112" i="3"/>
  <c r="B112" i="3"/>
  <c r="A112" i="3"/>
  <c r="CG111" i="3"/>
  <c r="CF111" i="3"/>
  <c r="CE111" i="3"/>
  <c r="CD111" i="3"/>
  <c r="CC111" i="3"/>
  <c r="CB111" i="3"/>
  <c r="CA111" i="3"/>
  <c r="BZ111" i="3"/>
  <c r="BY111" i="3"/>
  <c r="BX111" i="3"/>
  <c r="BW111" i="3"/>
  <c r="BV111" i="3"/>
  <c r="BU111" i="3"/>
  <c r="BT111" i="3"/>
  <c r="BS111" i="3"/>
  <c r="BR111" i="3"/>
  <c r="BQ111" i="3"/>
  <c r="BP111" i="3"/>
  <c r="BO111" i="3"/>
  <c r="BN111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E111" i="3"/>
  <c r="B111" i="3"/>
  <c r="A111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E110" i="3"/>
  <c r="B110" i="3"/>
  <c r="A110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E109" i="3"/>
  <c r="B109" i="3"/>
  <c r="A109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E108" i="3"/>
  <c r="B108" i="3"/>
  <c r="A108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E107" i="3"/>
  <c r="B107" i="3"/>
  <c r="A107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E106" i="3"/>
  <c r="B106" i="3"/>
  <c r="A106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E105" i="3"/>
  <c r="B105" i="3"/>
  <c r="A105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E104" i="3"/>
  <c r="B104" i="3"/>
  <c r="A104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E103" i="3"/>
  <c r="B103" i="3"/>
  <c r="A103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E102" i="3"/>
  <c r="B102" i="3"/>
  <c r="A102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E101" i="3"/>
  <c r="B101" i="3"/>
  <c r="A101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E100" i="3"/>
  <c r="B100" i="3"/>
  <c r="A100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E99" i="3"/>
  <c r="B99" i="3"/>
  <c r="A99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E98" i="3"/>
  <c r="B98" i="3"/>
  <c r="A98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E97" i="3"/>
  <c r="B97" i="3"/>
  <c r="A97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E96" i="3"/>
  <c r="B96" i="3"/>
  <c r="A96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E95" i="3"/>
  <c r="B95" i="3"/>
  <c r="A95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E94" i="3"/>
  <c r="B94" i="3"/>
  <c r="A94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E93" i="3"/>
  <c r="B93" i="3"/>
  <c r="A93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E92" i="3"/>
  <c r="B92" i="3"/>
  <c r="A92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E91" i="3"/>
  <c r="B91" i="3"/>
  <c r="A91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E90" i="3"/>
  <c r="B90" i="3"/>
  <c r="A90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E89" i="3"/>
  <c r="B89" i="3"/>
  <c r="A89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E88" i="3"/>
  <c r="B88" i="3"/>
  <c r="A88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E87" i="3"/>
  <c r="B87" i="3"/>
  <c r="A87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E86" i="3"/>
  <c r="B86" i="3"/>
  <c r="A86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E85" i="3"/>
  <c r="B85" i="3"/>
  <c r="A85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E84" i="3"/>
  <c r="B84" i="3"/>
  <c r="A84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E83" i="3"/>
  <c r="B83" i="3"/>
  <c r="A83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E82" i="3"/>
  <c r="B82" i="3"/>
  <c r="A82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E81" i="3"/>
  <c r="B81" i="3"/>
  <c r="A81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E80" i="3"/>
  <c r="B80" i="3"/>
  <c r="A80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E79" i="3"/>
  <c r="B79" i="3"/>
  <c r="A79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E78" i="3"/>
  <c r="B78" i="3"/>
  <c r="A78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E77" i="3"/>
  <c r="B77" i="3"/>
  <c r="A77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E76" i="3"/>
  <c r="B76" i="3"/>
  <c r="A76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E75" i="3"/>
  <c r="B75" i="3"/>
  <c r="A75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E74" i="3"/>
  <c r="B74" i="3"/>
  <c r="A74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E73" i="3"/>
  <c r="B73" i="3"/>
  <c r="A73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E72" i="3"/>
  <c r="B72" i="3"/>
  <c r="A72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E71" i="3"/>
  <c r="B71" i="3"/>
  <c r="A71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E70" i="3"/>
  <c r="B70" i="3"/>
  <c r="A70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E69" i="3"/>
  <c r="B69" i="3"/>
  <c r="A69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E68" i="3"/>
  <c r="B68" i="3"/>
  <c r="A68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E67" i="3"/>
  <c r="B67" i="3"/>
  <c r="A67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E66" i="3"/>
  <c r="B66" i="3"/>
  <c r="A66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E65" i="3"/>
  <c r="B65" i="3"/>
  <c r="A65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E64" i="3"/>
  <c r="B64" i="3"/>
  <c r="A64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E63" i="3"/>
  <c r="B63" i="3"/>
  <c r="A63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E62" i="3"/>
  <c r="B62" i="3"/>
  <c r="A62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E61" i="3"/>
  <c r="B61" i="3"/>
  <c r="A61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E60" i="3"/>
  <c r="B60" i="3"/>
  <c r="A60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E59" i="3"/>
  <c r="B59" i="3"/>
  <c r="A59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E58" i="3"/>
  <c r="B58" i="3"/>
  <c r="A58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E57" i="3"/>
  <c r="B57" i="3"/>
  <c r="A57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E56" i="3"/>
  <c r="B56" i="3"/>
  <c r="A56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E55" i="3"/>
  <c r="B55" i="3"/>
  <c r="A55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E54" i="3"/>
  <c r="B54" i="3"/>
  <c r="A54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E53" i="3"/>
  <c r="B53" i="3"/>
  <c r="A53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E52" i="3"/>
  <c r="B52" i="3"/>
  <c r="A52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E51" i="3"/>
  <c r="B51" i="3"/>
  <c r="A51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E50" i="3"/>
  <c r="B50" i="3"/>
  <c r="A50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E49" i="3"/>
  <c r="B49" i="3"/>
  <c r="A49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E48" i="3"/>
  <c r="B48" i="3"/>
  <c r="A48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E47" i="3"/>
  <c r="B47" i="3"/>
  <c r="A47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E46" i="3"/>
  <c r="B46" i="3"/>
  <c r="A46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E45" i="3"/>
  <c r="B45" i="3"/>
  <c r="A45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E44" i="3"/>
  <c r="B44" i="3"/>
  <c r="A44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E43" i="3"/>
  <c r="B43" i="3"/>
  <c r="A43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E42" i="3"/>
  <c r="B42" i="3"/>
  <c r="A42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E41" i="3"/>
  <c r="B41" i="3"/>
  <c r="A41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E40" i="3"/>
  <c r="B40" i="3"/>
  <c r="A40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E39" i="3"/>
  <c r="B39" i="3"/>
  <c r="A39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E38" i="3"/>
  <c r="B38" i="3"/>
  <c r="A38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E37" i="3"/>
  <c r="B37" i="3"/>
  <c r="A37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E36" i="3"/>
  <c r="B36" i="3"/>
  <c r="A36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E35" i="3"/>
  <c r="B35" i="3"/>
  <c r="A35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E34" i="3"/>
  <c r="B34" i="3"/>
  <c r="A34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E33" i="3"/>
  <c r="B33" i="3"/>
  <c r="A33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E32" i="3"/>
  <c r="B32" i="3"/>
  <c r="A32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E31" i="3"/>
  <c r="B31" i="3"/>
  <c r="A31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E30" i="3"/>
  <c r="B30" i="3"/>
  <c r="A30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E29" i="3"/>
  <c r="B29" i="3"/>
  <c r="A29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E28" i="3"/>
  <c r="B28" i="3"/>
  <c r="A28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E27" i="3"/>
  <c r="B27" i="3"/>
  <c r="A27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E26" i="3"/>
  <c r="B26" i="3"/>
  <c r="A26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E25" i="3"/>
  <c r="B25" i="3"/>
  <c r="A25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E24" i="3"/>
  <c r="B24" i="3"/>
  <c r="A24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E23" i="3"/>
  <c r="B23" i="3"/>
  <c r="A23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E22" i="3"/>
  <c r="B22" i="3"/>
  <c r="A22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E21" i="3"/>
  <c r="B21" i="3"/>
  <c r="A21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E20" i="3"/>
  <c r="B20" i="3"/>
  <c r="A20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E19" i="3"/>
  <c r="B19" i="3"/>
  <c r="A19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E18" i="3"/>
  <c r="B18" i="3"/>
  <c r="A18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E17" i="3"/>
  <c r="B17" i="3"/>
  <c r="A17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E16" i="3"/>
  <c r="B16" i="3"/>
  <c r="A16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E15" i="3"/>
  <c r="B15" i="3"/>
  <c r="A15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E14" i="3"/>
  <c r="B14" i="3"/>
  <c r="A14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E13" i="3"/>
  <c r="B13" i="3"/>
  <c r="A13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E12" i="3"/>
  <c r="B12" i="3"/>
  <c r="A12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E11" i="3"/>
  <c r="B11" i="3"/>
  <c r="A11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E10" i="3"/>
  <c r="B10" i="3"/>
  <c r="A10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E9" i="3"/>
  <c r="B9" i="3"/>
  <c r="A9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E8" i="3"/>
  <c r="B8" i="3"/>
  <c r="A8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E7" i="3"/>
  <c r="B7" i="3"/>
  <c r="A7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E6" i="3"/>
  <c r="B6" i="3"/>
  <c r="A6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E5" i="3"/>
  <c r="B5" i="3"/>
  <c r="A5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E4" i="3"/>
  <c r="B4" i="3"/>
  <c r="A4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E3" i="3"/>
  <c r="B3" i="3"/>
  <c r="A3" i="3"/>
  <c r="E2" i="3"/>
  <c r="D2" i="3"/>
  <c r="C2" i="3"/>
  <c r="B2" i="3"/>
  <c r="A2" i="3"/>
  <c r="E278" i="2"/>
  <c r="D278" i="2"/>
  <c r="C278" i="2"/>
  <c r="B278" i="2"/>
  <c r="A278" i="2"/>
  <c r="E277" i="2"/>
  <c r="D277" i="2"/>
  <c r="C277" i="2"/>
  <c r="B277" i="2"/>
  <c r="A277" i="2"/>
  <c r="E276" i="2"/>
  <c r="D276" i="2"/>
  <c r="C276" i="2"/>
  <c r="B276" i="2"/>
  <c r="A276" i="2"/>
  <c r="E275" i="2"/>
  <c r="D275" i="2"/>
  <c r="C275" i="2"/>
  <c r="B275" i="2"/>
  <c r="A275" i="2"/>
  <c r="E274" i="2"/>
  <c r="D274" i="2"/>
  <c r="C274" i="2"/>
  <c r="B274" i="2"/>
  <c r="A274" i="2"/>
  <c r="E273" i="2"/>
  <c r="D273" i="2"/>
  <c r="C273" i="2"/>
  <c r="B273" i="2"/>
  <c r="A273" i="2"/>
  <c r="E272" i="2"/>
  <c r="D272" i="2"/>
  <c r="C272" i="2"/>
  <c r="B272" i="2"/>
  <c r="A272" i="2"/>
  <c r="E271" i="2"/>
  <c r="D271" i="2"/>
  <c r="C271" i="2"/>
  <c r="B271" i="2"/>
  <c r="A271" i="2"/>
  <c r="E270" i="2"/>
  <c r="D270" i="2"/>
  <c r="C270" i="2"/>
  <c r="B270" i="2"/>
  <c r="A270" i="2"/>
  <c r="E269" i="2"/>
  <c r="D269" i="2"/>
  <c r="C269" i="2"/>
  <c r="B269" i="2"/>
  <c r="A269" i="2"/>
  <c r="E268" i="2"/>
  <c r="D268" i="2"/>
  <c r="C268" i="2"/>
  <c r="B268" i="2"/>
  <c r="A268" i="2"/>
  <c r="E267" i="2"/>
  <c r="D267" i="2"/>
  <c r="C267" i="2"/>
  <c r="B267" i="2"/>
  <c r="A267" i="2"/>
  <c r="E266" i="2"/>
  <c r="D266" i="2"/>
  <c r="C266" i="2"/>
  <c r="B266" i="2"/>
  <c r="A266" i="2"/>
  <c r="E265" i="2"/>
  <c r="D265" i="2"/>
  <c r="C265" i="2"/>
  <c r="B265" i="2"/>
  <c r="A265" i="2"/>
  <c r="E264" i="2"/>
  <c r="D264" i="2"/>
  <c r="C264" i="2"/>
  <c r="B264" i="2"/>
  <c r="A264" i="2"/>
  <c r="E263" i="2"/>
  <c r="D263" i="2"/>
  <c r="C263" i="2"/>
  <c r="B263" i="2"/>
  <c r="A263" i="2"/>
  <c r="E262" i="2"/>
  <c r="D262" i="2"/>
  <c r="C262" i="2"/>
  <c r="B262" i="2"/>
  <c r="A262" i="2"/>
  <c r="E261" i="2"/>
  <c r="D261" i="2"/>
  <c r="C261" i="2"/>
  <c r="B261" i="2"/>
  <c r="A261" i="2"/>
  <c r="E260" i="2"/>
  <c r="D260" i="2"/>
  <c r="C260" i="2"/>
  <c r="B260" i="2"/>
  <c r="A260" i="2"/>
  <c r="E259" i="2"/>
  <c r="D259" i="2"/>
  <c r="C259" i="2"/>
  <c r="B259" i="2"/>
  <c r="A259" i="2"/>
  <c r="E258" i="2"/>
  <c r="D258" i="2"/>
  <c r="C258" i="2"/>
  <c r="B258" i="2"/>
  <c r="A258" i="2"/>
  <c r="E257" i="2"/>
  <c r="D257" i="2"/>
  <c r="C257" i="2"/>
  <c r="B257" i="2"/>
  <c r="A257" i="2"/>
  <c r="E256" i="2"/>
  <c r="D256" i="2"/>
  <c r="C256" i="2"/>
  <c r="B256" i="2"/>
  <c r="A256" i="2"/>
  <c r="E255" i="2"/>
  <c r="D255" i="2"/>
  <c r="C255" i="2"/>
  <c r="B255" i="2"/>
  <c r="A255" i="2"/>
  <c r="E254" i="2"/>
  <c r="D254" i="2"/>
  <c r="C254" i="2"/>
  <c r="B254" i="2"/>
  <c r="A254" i="2"/>
  <c r="E253" i="2"/>
  <c r="D253" i="2"/>
  <c r="C253" i="2"/>
  <c r="B253" i="2"/>
  <c r="A253" i="2"/>
  <c r="E252" i="2"/>
  <c r="D252" i="2"/>
  <c r="C252" i="2"/>
  <c r="B252" i="2"/>
  <c r="A252" i="2"/>
  <c r="E251" i="2"/>
  <c r="D251" i="2"/>
  <c r="C251" i="2"/>
  <c r="B251" i="2"/>
  <c r="A251" i="2"/>
  <c r="E250" i="2"/>
  <c r="D250" i="2"/>
  <c r="C250" i="2"/>
  <c r="B250" i="2"/>
  <c r="A250" i="2"/>
  <c r="E249" i="2"/>
  <c r="D249" i="2"/>
  <c r="C249" i="2"/>
  <c r="B249" i="2"/>
  <c r="A249" i="2"/>
  <c r="E248" i="2"/>
  <c r="D248" i="2"/>
  <c r="C248" i="2"/>
  <c r="B248" i="2"/>
  <c r="A248" i="2"/>
  <c r="E247" i="2"/>
  <c r="D247" i="2"/>
  <c r="C247" i="2"/>
  <c r="B247" i="2"/>
  <c r="A247" i="2"/>
  <c r="E246" i="2"/>
  <c r="D246" i="2"/>
  <c r="C246" i="2"/>
  <c r="B246" i="2"/>
  <c r="A246" i="2"/>
  <c r="E245" i="2"/>
  <c r="D245" i="2"/>
  <c r="C245" i="2"/>
  <c r="B245" i="2"/>
  <c r="A245" i="2"/>
  <c r="E244" i="2"/>
  <c r="D244" i="2"/>
  <c r="C244" i="2"/>
  <c r="B244" i="2"/>
  <c r="A244" i="2"/>
  <c r="E243" i="2"/>
  <c r="D243" i="2"/>
  <c r="C243" i="2"/>
  <c r="B243" i="2"/>
  <c r="A243" i="2"/>
  <c r="E242" i="2"/>
  <c r="D242" i="2"/>
  <c r="C242" i="2"/>
  <c r="B242" i="2"/>
  <c r="A242" i="2"/>
  <c r="E241" i="2"/>
  <c r="D241" i="2"/>
  <c r="C241" i="2"/>
  <c r="B241" i="2"/>
  <c r="A241" i="2"/>
  <c r="E240" i="2"/>
  <c r="D240" i="2"/>
  <c r="C240" i="2"/>
  <c r="B240" i="2"/>
  <c r="A240" i="2"/>
  <c r="E239" i="2"/>
  <c r="D239" i="2"/>
  <c r="C239" i="2"/>
  <c r="B239" i="2"/>
  <c r="A239" i="2"/>
  <c r="E238" i="2"/>
  <c r="D238" i="2"/>
  <c r="C238" i="2"/>
  <c r="B238" i="2"/>
  <c r="A238" i="2"/>
  <c r="E237" i="2"/>
  <c r="D237" i="2"/>
  <c r="C237" i="2"/>
  <c r="B237" i="2"/>
  <c r="A237" i="2"/>
  <c r="E236" i="2"/>
  <c r="D236" i="2"/>
  <c r="C236" i="2"/>
  <c r="B236" i="2"/>
  <c r="A236" i="2"/>
  <c r="E235" i="2"/>
  <c r="D235" i="2"/>
  <c r="C235" i="2"/>
  <c r="B235" i="2"/>
  <c r="A235" i="2"/>
  <c r="E234" i="2"/>
  <c r="D234" i="2"/>
  <c r="C234" i="2"/>
  <c r="B234" i="2"/>
  <c r="A234" i="2"/>
  <c r="E233" i="2"/>
  <c r="D233" i="2"/>
  <c r="C233" i="2"/>
  <c r="B233" i="2"/>
  <c r="A233" i="2"/>
  <c r="E232" i="2"/>
  <c r="D232" i="2"/>
  <c r="C232" i="2"/>
  <c r="B232" i="2"/>
  <c r="A232" i="2"/>
  <c r="E231" i="2"/>
  <c r="D231" i="2"/>
  <c r="C231" i="2"/>
  <c r="B231" i="2"/>
  <c r="A231" i="2"/>
  <c r="E230" i="2"/>
  <c r="D230" i="2"/>
  <c r="C230" i="2"/>
  <c r="B230" i="2"/>
  <c r="A230" i="2"/>
  <c r="E229" i="2"/>
  <c r="D229" i="2"/>
  <c r="C229" i="2"/>
  <c r="B229" i="2"/>
  <c r="A229" i="2"/>
  <c r="E228" i="2"/>
  <c r="D228" i="2"/>
  <c r="C228" i="2"/>
  <c r="B228" i="2"/>
  <c r="A228" i="2"/>
  <c r="E227" i="2"/>
  <c r="D227" i="2"/>
  <c r="C227" i="2"/>
  <c r="B227" i="2"/>
  <c r="A227" i="2"/>
  <c r="E226" i="2"/>
  <c r="D226" i="2"/>
  <c r="C226" i="2"/>
  <c r="B226" i="2"/>
  <c r="A226" i="2"/>
  <c r="E225" i="2"/>
  <c r="D225" i="2"/>
  <c r="C225" i="2"/>
  <c r="B225" i="2"/>
  <c r="A225" i="2"/>
  <c r="E224" i="2"/>
  <c r="D224" i="2"/>
  <c r="C224" i="2"/>
  <c r="B224" i="2"/>
  <c r="A224" i="2"/>
  <c r="E223" i="2"/>
  <c r="D223" i="2"/>
  <c r="C223" i="2"/>
  <c r="B223" i="2"/>
  <c r="A223" i="2"/>
  <c r="E222" i="2"/>
  <c r="D222" i="2"/>
  <c r="C222" i="2"/>
  <c r="B222" i="2"/>
  <c r="A222" i="2"/>
  <c r="E221" i="2"/>
  <c r="D221" i="2"/>
  <c r="C221" i="2"/>
  <c r="B221" i="2"/>
  <c r="A221" i="2"/>
  <c r="E220" i="2"/>
  <c r="D220" i="2"/>
  <c r="C220" i="2"/>
  <c r="B220" i="2"/>
  <c r="A220" i="2"/>
  <c r="E219" i="2"/>
  <c r="D219" i="2"/>
  <c r="C219" i="2"/>
  <c r="B219" i="2"/>
  <c r="A219" i="2"/>
  <c r="E218" i="2"/>
  <c r="D218" i="2"/>
  <c r="C218" i="2"/>
  <c r="B218" i="2"/>
  <c r="A218" i="2"/>
  <c r="E217" i="2"/>
  <c r="D217" i="2"/>
  <c r="C217" i="2"/>
  <c r="B217" i="2"/>
  <c r="A217" i="2"/>
  <c r="E216" i="2"/>
  <c r="D216" i="2"/>
  <c r="C216" i="2"/>
  <c r="B216" i="2"/>
  <c r="A216" i="2"/>
  <c r="E215" i="2"/>
  <c r="D215" i="2"/>
  <c r="C215" i="2"/>
  <c r="B215" i="2"/>
  <c r="A215" i="2"/>
  <c r="E214" i="2"/>
  <c r="D214" i="2"/>
  <c r="C214" i="2"/>
  <c r="B214" i="2"/>
  <c r="A214" i="2"/>
  <c r="E213" i="2"/>
  <c r="D213" i="2"/>
  <c r="C213" i="2"/>
  <c r="B213" i="2"/>
  <c r="A213" i="2"/>
  <c r="E212" i="2"/>
  <c r="D212" i="2"/>
  <c r="C212" i="2"/>
  <c r="B212" i="2"/>
  <c r="A212" i="2"/>
  <c r="E211" i="2"/>
  <c r="D211" i="2"/>
  <c r="C211" i="2"/>
  <c r="B211" i="2"/>
  <c r="A211" i="2"/>
  <c r="E210" i="2"/>
  <c r="D210" i="2"/>
  <c r="C210" i="2"/>
  <c r="B210" i="2"/>
  <c r="A210" i="2"/>
  <c r="E209" i="2"/>
  <c r="D209" i="2"/>
  <c r="C209" i="2"/>
  <c r="B209" i="2"/>
  <c r="A209" i="2"/>
  <c r="E208" i="2"/>
  <c r="D208" i="2"/>
  <c r="C208" i="2"/>
  <c r="B208" i="2"/>
  <c r="A208" i="2"/>
  <c r="E207" i="2"/>
  <c r="D207" i="2"/>
  <c r="C207" i="2"/>
  <c r="B207" i="2"/>
  <c r="A207" i="2"/>
  <c r="E206" i="2"/>
  <c r="D206" i="2"/>
  <c r="C206" i="2"/>
  <c r="B206" i="2"/>
  <c r="A206" i="2"/>
  <c r="E205" i="2"/>
  <c r="D205" i="2"/>
  <c r="C205" i="2"/>
  <c r="B205" i="2"/>
  <c r="A205" i="2"/>
  <c r="E204" i="2"/>
  <c r="D204" i="2"/>
  <c r="C204" i="2"/>
  <c r="B204" i="2"/>
  <c r="A204" i="2"/>
  <c r="E203" i="2"/>
  <c r="D203" i="2"/>
  <c r="C203" i="2"/>
  <c r="B203" i="2"/>
  <c r="A203" i="2"/>
  <c r="E202" i="2"/>
  <c r="D202" i="2"/>
  <c r="C202" i="2"/>
  <c r="B202" i="2"/>
  <c r="A202" i="2"/>
  <c r="E201" i="2"/>
  <c r="D201" i="2"/>
  <c r="C201" i="2"/>
  <c r="B201" i="2"/>
  <c r="A201" i="2"/>
  <c r="E200" i="2"/>
  <c r="D200" i="2"/>
  <c r="C200" i="2"/>
  <c r="B200" i="2"/>
  <c r="A200" i="2"/>
  <c r="E199" i="2"/>
  <c r="D199" i="2"/>
  <c r="C199" i="2"/>
  <c r="B199" i="2"/>
  <c r="A199" i="2"/>
  <c r="E198" i="2"/>
  <c r="D198" i="2"/>
  <c r="C198" i="2"/>
  <c r="B198" i="2"/>
  <c r="A198" i="2"/>
  <c r="E197" i="2"/>
  <c r="D197" i="2"/>
  <c r="C197" i="2"/>
  <c r="B197" i="2"/>
  <c r="A197" i="2"/>
  <c r="E196" i="2"/>
  <c r="D196" i="2"/>
  <c r="C196" i="2"/>
  <c r="B196" i="2"/>
  <c r="A196" i="2"/>
  <c r="E195" i="2"/>
  <c r="D195" i="2"/>
  <c r="C195" i="2"/>
  <c r="B195" i="2"/>
  <c r="A195" i="2"/>
  <c r="E194" i="2"/>
  <c r="D194" i="2"/>
  <c r="C194" i="2"/>
  <c r="B194" i="2"/>
  <c r="A194" i="2"/>
  <c r="E193" i="2"/>
  <c r="D193" i="2"/>
  <c r="C193" i="2"/>
  <c r="B193" i="2"/>
  <c r="A193" i="2"/>
  <c r="E192" i="2"/>
  <c r="D192" i="2"/>
  <c r="C192" i="2"/>
  <c r="B192" i="2"/>
  <c r="A192" i="2"/>
  <c r="E191" i="2"/>
  <c r="D191" i="2"/>
  <c r="C191" i="2"/>
  <c r="B191" i="2"/>
  <c r="A191" i="2"/>
  <c r="E190" i="2"/>
  <c r="D190" i="2"/>
  <c r="C190" i="2"/>
  <c r="B190" i="2"/>
  <c r="A190" i="2"/>
  <c r="E189" i="2"/>
  <c r="D189" i="2"/>
  <c r="C189" i="2"/>
  <c r="B189" i="2"/>
  <c r="A189" i="2"/>
  <c r="E188" i="2"/>
  <c r="D188" i="2"/>
  <c r="C188" i="2"/>
  <c r="B188" i="2"/>
  <c r="A188" i="2"/>
  <c r="E187" i="2"/>
  <c r="D187" i="2"/>
  <c r="C187" i="2"/>
  <c r="B187" i="2"/>
  <c r="A187" i="2"/>
  <c r="E186" i="2"/>
  <c r="D186" i="2"/>
  <c r="C186" i="2"/>
  <c r="B186" i="2"/>
  <c r="A186" i="2"/>
  <c r="E185" i="2"/>
  <c r="D185" i="2"/>
  <c r="C185" i="2"/>
  <c r="B185" i="2"/>
  <c r="A185" i="2"/>
  <c r="E184" i="2"/>
  <c r="D184" i="2"/>
  <c r="C184" i="2"/>
  <c r="B184" i="2"/>
  <c r="A184" i="2"/>
  <c r="E183" i="2"/>
  <c r="D183" i="2"/>
  <c r="C183" i="2"/>
  <c r="B183" i="2"/>
  <c r="A183" i="2"/>
  <c r="E182" i="2"/>
  <c r="D182" i="2"/>
  <c r="C182" i="2"/>
  <c r="B182" i="2"/>
  <c r="A182" i="2"/>
  <c r="E181" i="2"/>
  <c r="D181" i="2"/>
  <c r="C181" i="2"/>
  <c r="B181" i="2"/>
  <c r="A181" i="2"/>
  <c r="E180" i="2"/>
  <c r="D180" i="2"/>
  <c r="C180" i="2"/>
  <c r="B180" i="2"/>
  <c r="A180" i="2"/>
  <c r="E179" i="2"/>
  <c r="D179" i="2"/>
  <c r="C179" i="2"/>
  <c r="B179" i="2"/>
  <c r="A179" i="2"/>
  <c r="E178" i="2"/>
  <c r="D178" i="2"/>
  <c r="C178" i="2"/>
  <c r="B178" i="2"/>
  <c r="A178" i="2"/>
  <c r="E177" i="2"/>
  <c r="D177" i="2"/>
  <c r="C177" i="2"/>
  <c r="B177" i="2"/>
  <c r="A177" i="2"/>
  <c r="E176" i="2"/>
  <c r="D176" i="2"/>
  <c r="C176" i="2"/>
  <c r="B176" i="2"/>
  <c r="A176" i="2"/>
  <c r="E175" i="2"/>
  <c r="D175" i="2"/>
  <c r="C175" i="2"/>
  <c r="B175" i="2"/>
  <c r="A175" i="2"/>
  <c r="E174" i="2"/>
  <c r="D174" i="2"/>
  <c r="C174" i="2"/>
  <c r="B174" i="2"/>
  <c r="A174" i="2"/>
  <c r="E173" i="2"/>
  <c r="D173" i="2"/>
  <c r="C173" i="2"/>
  <c r="B173" i="2"/>
  <c r="A173" i="2"/>
  <c r="E172" i="2"/>
  <c r="D172" i="2"/>
  <c r="C172" i="2"/>
  <c r="B172" i="2"/>
  <c r="A172" i="2"/>
  <c r="E171" i="2"/>
  <c r="D171" i="2"/>
  <c r="C171" i="2"/>
  <c r="B171" i="2"/>
  <c r="A171" i="2"/>
  <c r="E170" i="2"/>
  <c r="D170" i="2"/>
  <c r="C170" i="2"/>
  <c r="B170" i="2"/>
  <c r="A170" i="2"/>
  <c r="E169" i="2"/>
  <c r="D169" i="2"/>
  <c r="C169" i="2"/>
  <c r="B169" i="2"/>
  <c r="A169" i="2"/>
  <c r="E168" i="2"/>
  <c r="D168" i="2"/>
  <c r="C168" i="2"/>
  <c r="B168" i="2"/>
  <c r="A168" i="2"/>
  <c r="E167" i="2"/>
  <c r="D167" i="2"/>
  <c r="C167" i="2"/>
  <c r="B167" i="2"/>
  <c r="A167" i="2"/>
  <c r="E166" i="2"/>
  <c r="D166" i="2"/>
  <c r="C166" i="2"/>
  <c r="B166" i="2"/>
  <c r="A166" i="2"/>
  <c r="E165" i="2"/>
  <c r="D165" i="2"/>
  <c r="C165" i="2"/>
  <c r="B165" i="2"/>
  <c r="A165" i="2"/>
  <c r="E164" i="2"/>
  <c r="D164" i="2"/>
  <c r="C164" i="2"/>
  <c r="B164" i="2"/>
  <c r="A164" i="2"/>
  <c r="E163" i="2"/>
  <c r="D163" i="2"/>
  <c r="C163" i="2"/>
  <c r="B163" i="2"/>
  <c r="A163" i="2"/>
  <c r="E162" i="2"/>
  <c r="D162" i="2"/>
  <c r="C162" i="2"/>
  <c r="B162" i="2"/>
  <c r="A162" i="2"/>
  <c r="E161" i="2"/>
  <c r="D161" i="2"/>
  <c r="C161" i="2"/>
  <c r="B161" i="2"/>
  <c r="A161" i="2"/>
  <c r="E160" i="2"/>
  <c r="D160" i="2"/>
  <c r="C160" i="2"/>
  <c r="B160" i="2"/>
  <c r="A160" i="2"/>
  <c r="E159" i="2"/>
  <c r="D159" i="2"/>
  <c r="C159" i="2"/>
  <c r="B159" i="2"/>
  <c r="A159" i="2"/>
  <c r="E158" i="2"/>
  <c r="D158" i="2"/>
  <c r="C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E2" i="2"/>
  <c r="D2" i="2"/>
  <c r="C2" i="2"/>
  <c r="B2" i="2"/>
  <c r="A2" i="2"/>
  <c r="F316" i="3"/>
  <c r="F324" i="3"/>
  <c r="F303" i="3"/>
  <c r="F335" i="3"/>
  <c r="F298" i="3"/>
  <c r="F357" i="3"/>
  <c r="F304" i="3"/>
  <c r="F307" i="3"/>
  <c r="F342" i="3"/>
  <c r="F310" i="3"/>
  <c r="F297" i="3"/>
  <c r="F329" i="3"/>
  <c r="F361" i="3"/>
  <c r="F344" i="3"/>
  <c r="F296" i="3"/>
  <c r="F311" i="3"/>
  <c r="F343" i="3"/>
  <c r="F314" i="3"/>
  <c r="F346" i="3"/>
  <c r="F301" i="3"/>
  <c r="F333" i="3"/>
  <c r="F365" i="3"/>
  <c r="F312" i="3"/>
  <c r="F347" i="3"/>
  <c r="F315" i="3"/>
  <c r="F318" i="3"/>
  <c r="F337" i="3"/>
  <c r="F305" i="3"/>
  <c r="F369" i="3"/>
  <c r="F336" i="3"/>
  <c r="F306" i="3"/>
  <c r="F319" i="3"/>
  <c r="F351" i="3"/>
  <c r="F322" i="3"/>
  <c r="F302" i="3"/>
  <c r="F323" i="3"/>
  <c r="F364" i="3"/>
  <c r="F358" i="3"/>
  <c r="F313" i="3"/>
  <c r="F326" i="3"/>
  <c r="F345" i="3"/>
  <c r="F327" i="3"/>
  <c r="F362" i="3"/>
  <c r="F359" i="3"/>
  <c r="F330" i="3"/>
  <c r="F317" i="3"/>
  <c r="F299" i="3"/>
  <c r="F363" i="3"/>
  <c r="F334" i="3"/>
  <c r="F321" i="3"/>
  <c r="F353" i="3"/>
  <c r="F328" i="3"/>
  <c r="F308" i="3"/>
  <c r="C393" i="3"/>
  <c r="F352" i="3"/>
  <c r="C387" i="3"/>
  <c r="C395" i="3"/>
  <c r="C385" i="3"/>
  <c r="C383" i="3"/>
  <c r="C391" i="3"/>
  <c r="A288" i="3"/>
  <c r="F320" i="3"/>
  <c r="F360" i="3"/>
  <c r="F340" i="3"/>
  <c r="B393" i="3" l="1"/>
  <c r="B385" i="3"/>
  <c r="B383" i="3"/>
  <c r="B387" i="3"/>
  <c r="B391" i="3"/>
  <c r="B395" i="3"/>
  <c r="F366" i="3"/>
  <c r="F331" i="3"/>
  <c r="F356" i="3"/>
  <c r="F348" i="3"/>
  <c r="F349" i="3"/>
  <c r="F332" i="3"/>
  <c r="F300" i="3"/>
  <c r="F355" i="3"/>
  <c r="F341" i="3"/>
  <c r="F309" i="3"/>
  <c r="F354" i="3"/>
  <c r="F350" i="3"/>
  <c r="F368" i="3"/>
  <c r="F339" i="3"/>
  <c r="F325" i="3"/>
  <c r="F370" i="3"/>
  <c r="F338" i="3"/>
  <c r="F367" i="3"/>
  <c r="AP397" i="3" l="1"/>
  <c r="AP398" i="3" s="1"/>
  <c r="AH397" i="3"/>
  <c r="AH398" i="3" s="1"/>
  <c r="Z397" i="3"/>
  <c r="Z398" i="3" s="1"/>
  <c r="R397" i="3"/>
  <c r="R398" i="3" s="1"/>
  <c r="J397" i="3"/>
  <c r="J398" i="3" s="1"/>
  <c r="B397" i="3"/>
  <c r="B398" i="3" s="1"/>
  <c r="AO397" i="3"/>
  <c r="AO398" i="3" s="1"/>
  <c r="AG397" i="3"/>
  <c r="AG398" i="3" s="1"/>
  <c r="Y397" i="3"/>
  <c r="Y398" i="3" s="1"/>
  <c r="Q397" i="3"/>
  <c r="Q398" i="3" s="1"/>
  <c r="I397" i="3"/>
  <c r="I398" i="3" s="1"/>
  <c r="AN397" i="3"/>
  <c r="AN398" i="3" s="1"/>
  <c r="AF397" i="3"/>
  <c r="AF398" i="3" s="1"/>
  <c r="X397" i="3"/>
  <c r="X398" i="3" s="1"/>
  <c r="P397" i="3"/>
  <c r="P398" i="3" s="1"/>
  <c r="H397" i="3"/>
  <c r="H398" i="3" s="1"/>
  <c r="AM397" i="3"/>
  <c r="AM398" i="3" s="1"/>
  <c r="AE397" i="3"/>
  <c r="AE398" i="3" s="1"/>
  <c r="W397" i="3"/>
  <c r="W398" i="3" s="1"/>
  <c r="O397" i="3"/>
  <c r="O398" i="3" s="1"/>
  <c r="G397" i="3"/>
  <c r="G398" i="3" s="1"/>
  <c r="AL397" i="3"/>
  <c r="AL398" i="3" s="1"/>
  <c r="AD397" i="3"/>
  <c r="AD398" i="3" s="1"/>
  <c r="V397" i="3"/>
  <c r="V398" i="3" s="1"/>
  <c r="N397" i="3"/>
  <c r="N398" i="3" s="1"/>
  <c r="F397" i="3"/>
  <c r="F398" i="3" s="1"/>
  <c r="AK397" i="3"/>
  <c r="AK398" i="3" s="1"/>
  <c r="AC397" i="3"/>
  <c r="AC398" i="3" s="1"/>
  <c r="U397" i="3"/>
  <c r="U398" i="3" s="1"/>
  <c r="M397" i="3"/>
  <c r="M398" i="3" s="1"/>
  <c r="E397" i="3"/>
  <c r="E398" i="3" s="1"/>
  <c r="AJ397" i="3"/>
  <c r="AJ398" i="3" s="1"/>
  <c r="AB397" i="3"/>
  <c r="AB398" i="3" s="1"/>
  <c r="T397" i="3"/>
  <c r="T398" i="3" s="1"/>
  <c r="L397" i="3"/>
  <c r="L398" i="3" s="1"/>
  <c r="D397" i="3"/>
  <c r="D398" i="3" s="1"/>
  <c r="C397" i="3"/>
  <c r="C398" i="3" s="1"/>
  <c r="AI397" i="3"/>
  <c r="AI398" i="3" s="1"/>
  <c r="S397" i="3"/>
  <c r="S398" i="3" s="1"/>
  <c r="AA397" i="3"/>
  <c r="AA398" i="3" s="1"/>
  <c r="K397" i="3"/>
  <c r="K398" i="3" s="1"/>
  <c r="AP389" i="3"/>
  <c r="AP390" i="3" s="1"/>
  <c r="AH389" i="3"/>
  <c r="AH390" i="3" s="1"/>
  <c r="Z389" i="3"/>
  <c r="Z390" i="3" s="1"/>
  <c r="R389" i="3"/>
  <c r="R390" i="3" s="1"/>
  <c r="J389" i="3"/>
  <c r="J390" i="3" s="1"/>
  <c r="B389" i="3"/>
  <c r="B390" i="3" s="1"/>
  <c r="AO389" i="3"/>
  <c r="AO390" i="3" s="1"/>
  <c r="AG389" i="3"/>
  <c r="AG390" i="3" s="1"/>
  <c r="Y389" i="3"/>
  <c r="Y390" i="3" s="1"/>
  <c r="Q389" i="3"/>
  <c r="Q390" i="3" s="1"/>
  <c r="I389" i="3"/>
  <c r="I390" i="3" s="1"/>
  <c r="AN389" i="3"/>
  <c r="AN390" i="3" s="1"/>
  <c r="AF389" i="3"/>
  <c r="AF390" i="3" s="1"/>
  <c r="X389" i="3"/>
  <c r="X390" i="3" s="1"/>
  <c r="P389" i="3"/>
  <c r="P390" i="3" s="1"/>
  <c r="H389" i="3"/>
  <c r="H390" i="3" s="1"/>
  <c r="AM389" i="3"/>
  <c r="AM390" i="3" s="1"/>
  <c r="AE389" i="3"/>
  <c r="AE390" i="3" s="1"/>
  <c r="W389" i="3"/>
  <c r="W390" i="3" s="1"/>
  <c r="O389" i="3"/>
  <c r="O390" i="3" s="1"/>
  <c r="G389" i="3"/>
  <c r="G390" i="3" s="1"/>
  <c r="AL389" i="3"/>
  <c r="AL390" i="3" s="1"/>
  <c r="AD389" i="3"/>
  <c r="AD390" i="3" s="1"/>
  <c r="V389" i="3"/>
  <c r="V390" i="3" s="1"/>
  <c r="N389" i="3"/>
  <c r="N390" i="3" s="1"/>
  <c r="F389" i="3"/>
  <c r="F390" i="3" s="1"/>
  <c r="AK389" i="3"/>
  <c r="AK390" i="3" s="1"/>
  <c r="AC389" i="3"/>
  <c r="AC390" i="3" s="1"/>
  <c r="U389" i="3"/>
  <c r="U390" i="3" s="1"/>
  <c r="M389" i="3"/>
  <c r="M390" i="3" s="1"/>
  <c r="E389" i="3"/>
  <c r="E390" i="3" s="1"/>
  <c r="AJ389" i="3"/>
  <c r="AJ390" i="3" s="1"/>
  <c r="AB389" i="3"/>
  <c r="AB390" i="3" s="1"/>
  <c r="T389" i="3"/>
  <c r="T390" i="3" s="1"/>
  <c r="L389" i="3"/>
  <c r="L390" i="3" s="1"/>
  <c r="D389" i="3"/>
  <c r="D390" i="3" s="1"/>
  <c r="AA389" i="3"/>
  <c r="AA390" i="3" s="1"/>
  <c r="S389" i="3"/>
  <c r="S390" i="3" s="1"/>
  <c r="K389" i="3"/>
  <c r="K390" i="3" s="1"/>
  <c r="C389" i="3"/>
  <c r="C390" i="3" s="1"/>
  <c r="AI389" i="3"/>
  <c r="AI390" i="3" s="1"/>
  <c r="B294" i="3" l="1"/>
  <c r="BH2" i="3"/>
  <c r="T2" i="3"/>
  <c r="BZ2" i="3"/>
  <c r="AL2" i="3"/>
  <c r="BS2" i="3"/>
  <c r="AE2" i="3"/>
  <c r="BE2" i="3"/>
  <c r="Q2" i="3"/>
  <c r="CD2" i="3"/>
  <c r="AP2" i="3"/>
  <c r="BP2" i="3"/>
  <c r="AB2" i="3"/>
  <c r="CG2" i="3"/>
  <c r="AS2" i="3"/>
  <c r="BV2" i="3"/>
  <c r="AH2" i="3"/>
  <c r="AT2" i="3"/>
  <c r="F2" i="3"/>
  <c r="CA2" i="3"/>
  <c r="AM2" i="3"/>
  <c r="BM2" i="3"/>
  <c r="Y2" i="3"/>
  <c r="AY2" i="3"/>
  <c r="K2" i="3"/>
  <c r="BX2" i="3"/>
  <c r="AJ2" i="3"/>
  <c r="BB2" i="3"/>
  <c r="N2" i="3"/>
  <c r="AV2" i="3"/>
  <c r="H2" i="3"/>
  <c r="BU2" i="3"/>
  <c r="AG2" i="3"/>
  <c r="BG2" i="3"/>
  <c r="S2" i="3"/>
  <c r="CF2" i="3"/>
  <c r="AR2" i="3"/>
  <c r="BJ2" i="3"/>
  <c r="V2" i="3"/>
  <c r="BD2" i="3"/>
  <c r="P2" i="3"/>
  <c r="CC2" i="3"/>
  <c r="AO2" i="3"/>
  <c r="BO2" i="3"/>
  <c r="AA2" i="3"/>
  <c r="AW2" i="3"/>
  <c r="I2" i="3"/>
  <c r="BY2" i="3"/>
  <c r="AK2" i="3"/>
  <c r="BR2" i="3"/>
  <c r="AD2" i="3"/>
  <c r="BL2" i="3"/>
  <c r="X2" i="3"/>
  <c r="AX2" i="3"/>
  <c r="J2" i="3"/>
  <c r="AI2" i="3"/>
  <c r="BW2" i="3"/>
  <c r="BA2" i="3"/>
  <c r="M2" i="3"/>
  <c r="AU2" i="3"/>
  <c r="G2" i="3"/>
  <c r="BT2" i="3"/>
  <c r="AF2" i="3"/>
  <c r="BF2" i="3"/>
  <c r="R2" i="3"/>
  <c r="AQ2" i="3"/>
  <c r="CE2" i="3"/>
  <c r="BI2" i="3"/>
  <c r="U2" i="3"/>
  <c r="BK2" i="3"/>
  <c r="W2" i="3"/>
  <c r="BC2" i="3"/>
  <c r="O2" i="3"/>
  <c r="CB2" i="3"/>
  <c r="AN2" i="3"/>
  <c r="BN2" i="3"/>
  <c r="Z2" i="3"/>
  <c r="AZ2" i="3"/>
  <c r="L2" i="3"/>
  <c r="BQ2" i="3"/>
  <c r="AC2" i="3"/>
  <c r="F204" i="3"/>
  <c r="F191" i="3"/>
  <c r="F242" i="3"/>
  <c r="I277" i="3"/>
  <c r="M277" i="3"/>
  <c r="K277" i="3"/>
  <c r="AB275" i="3"/>
  <c r="AL273" i="3"/>
  <c r="K272" i="3"/>
  <c r="AC270" i="3"/>
  <c r="AM268" i="3"/>
  <c r="T267" i="3"/>
  <c r="AD265" i="3"/>
  <c r="S277" i="3"/>
  <c r="H277" i="3"/>
  <c r="O277" i="3"/>
  <c r="X275" i="3"/>
  <c r="AP273" i="3"/>
  <c r="O272" i="3"/>
  <c r="AG270" i="3"/>
  <c r="AQ268" i="3"/>
  <c r="P267" i="3"/>
  <c r="AH265" i="3"/>
  <c r="J276" i="3"/>
  <c r="AR273" i="3"/>
  <c r="AD271" i="3"/>
  <c r="AB269" i="3"/>
  <c r="Y267" i="3"/>
  <c r="W265" i="3"/>
  <c r="W263" i="3"/>
  <c r="Z276" i="3"/>
  <c r="P274" i="3"/>
  <c r="AM271" i="3"/>
  <c r="AK269" i="3"/>
  <c r="AH267" i="3"/>
  <c r="U265" i="3"/>
  <c r="V263" i="3"/>
  <c r="AF261" i="3"/>
  <c r="M260" i="3"/>
  <c r="V275" i="3"/>
  <c r="I273" i="3"/>
  <c r="AP270" i="3"/>
  <c r="AC268" i="3"/>
  <c r="Z266" i="3"/>
  <c r="X264" i="3"/>
  <c r="AP262" i="3"/>
  <c r="O261" i="3"/>
  <c r="AG259" i="3"/>
  <c r="AQ257" i="3"/>
  <c r="T276" i="3"/>
  <c r="AN273" i="3"/>
  <c r="AK271" i="3"/>
  <c r="AI269" i="3"/>
  <c r="U267" i="3"/>
  <c r="H265" i="3"/>
  <c r="AB263" i="3"/>
  <c r="AL261" i="3"/>
  <c r="K260" i="3"/>
  <c r="AN276" i="3"/>
  <c r="W274" i="3"/>
  <c r="U272" i="3"/>
  <c r="G270" i="3"/>
  <c r="AO267" i="3"/>
  <c r="AM265" i="3"/>
  <c r="AQ263" i="3"/>
  <c r="P262" i="3"/>
  <c r="AH260" i="3"/>
  <c r="G259" i="3"/>
  <c r="AM275" i="3"/>
  <c r="AK273" i="3"/>
  <c r="AH271" i="3"/>
  <c r="U269" i="3"/>
  <c r="G267" i="3"/>
  <c r="AO264" i="3"/>
  <c r="J263" i="3"/>
  <c r="AB261" i="3"/>
  <c r="AL259" i="3"/>
  <c r="AA275" i="3"/>
  <c r="O273" i="3"/>
  <c r="K271" i="3"/>
  <c r="AS268" i="3"/>
  <c r="AE266" i="3"/>
  <c r="T264" i="3"/>
  <c r="AD262" i="3"/>
  <c r="AN260" i="3"/>
  <c r="AL272" i="3"/>
  <c r="AN258" i="3"/>
  <c r="H257" i="3"/>
  <c r="Z255" i="3"/>
  <c r="AR253" i="3"/>
  <c r="Q252" i="3"/>
  <c r="AA250" i="3"/>
  <c r="AN247" i="3"/>
  <c r="U246" i="3"/>
  <c r="AE244" i="3"/>
  <c r="AB272" i="3"/>
  <c r="S259" i="3"/>
  <c r="P257" i="3"/>
  <c r="AG255" i="3"/>
  <c r="AQ253" i="3"/>
  <c r="P252" i="3"/>
  <c r="AH250" i="3"/>
  <c r="J248" i="3"/>
  <c r="AB246" i="3"/>
  <c r="P263" i="3"/>
  <c r="P258" i="3"/>
  <c r="AA256" i="3"/>
  <c r="AS254" i="3"/>
  <c r="R253" i="3"/>
  <c r="AJ251" i="3"/>
  <c r="I250" i="3"/>
  <c r="V247" i="3"/>
  <c r="Q261" i="3"/>
  <c r="O258" i="3"/>
  <c r="R256" i="3"/>
  <c r="AJ254" i="3"/>
  <c r="I253" i="3"/>
  <c r="S251" i="3"/>
  <c r="AF248" i="3"/>
  <c r="M247" i="3"/>
  <c r="N270" i="3"/>
  <c r="AL260" i="3"/>
  <c r="M258" i="3"/>
  <c r="Q256" i="3"/>
  <c r="AA254" i="3"/>
  <c r="AS252" i="3"/>
  <c r="R251" i="3"/>
  <c r="AE248" i="3"/>
  <c r="L247" i="3"/>
  <c r="V245" i="3"/>
  <c r="AF243" i="3"/>
  <c r="I261" i="3"/>
  <c r="L258" i="3"/>
  <c r="P256" i="3"/>
  <c r="AH254" i="3"/>
  <c r="G253" i="3"/>
  <c r="Y251" i="3"/>
  <c r="O267" i="3"/>
  <c r="AN254" i="3"/>
  <c r="AG247" i="3"/>
  <c r="L245" i="3"/>
  <c r="G243" i="3"/>
  <c r="Y241" i="3"/>
  <c r="AI239" i="3"/>
  <c r="H238" i="3"/>
  <c r="Z236" i="3"/>
  <c r="AR234" i="3"/>
  <c r="L262" i="3"/>
  <c r="AG254" i="3"/>
  <c r="I247" i="3"/>
  <c r="AJ244" i="3"/>
  <c r="AI242" i="3"/>
  <c r="H241" i="3"/>
  <c r="Z239" i="3"/>
  <c r="AR237" i="3"/>
  <c r="Q236" i="3"/>
  <c r="AA234" i="3"/>
  <c r="AL256" i="3"/>
  <c r="N248" i="3"/>
  <c r="AS244" i="3"/>
  <c r="AP242" i="3"/>
  <c r="O241" i="3"/>
  <c r="AG239" i="3"/>
  <c r="AQ237" i="3"/>
  <c r="P236" i="3"/>
  <c r="AH234" i="3"/>
  <c r="V253" i="3"/>
  <c r="Y247" i="3"/>
  <c r="AG244" i="3"/>
  <c r="AG242" i="3"/>
  <c r="AQ240" i="3"/>
  <c r="P239" i="3"/>
  <c r="AH237" i="3"/>
  <c r="G236" i="3"/>
  <c r="Y234" i="3"/>
  <c r="AD256" i="3"/>
  <c r="L250" i="3"/>
  <c r="AB245" i="3"/>
  <c r="AA243" i="3"/>
  <c r="AS241" i="3"/>
  <c r="R240" i="3"/>
  <c r="AJ238" i="3"/>
  <c r="I237" i="3"/>
  <c r="S235" i="3"/>
  <c r="AA255" i="3"/>
  <c r="AC248" i="3"/>
  <c r="AO244" i="3"/>
  <c r="J243" i="3"/>
  <c r="AB241" i="3"/>
  <c r="AL239" i="3"/>
  <c r="K238" i="3"/>
  <c r="AC236" i="3"/>
  <c r="AM234" i="3"/>
  <c r="X265" i="3"/>
  <c r="AS253" i="3"/>
  <c r="Q247" i="3"/>
  <c r="R244" i="3"/>
  <c r="AD242" i="3"/>
  <c r="AN240" i="3"/>
  <c r="U239" i="3"/>
  <c r="AE237" i="3"/>
  <c r="L236" i="3"/>
  <c r="AI252" i="3"/>
  <c r="AC242" i="3"/>
  <c r="AO254" i="3"/>
  <c r="AF234" i="3"/>
  <c r="R241" i="3"/>
  <c r="T70" i="3"/>
  <c r="T159" i="3"/>
  <c r="T161" i="3"/>
  <c r="T186" i="3"/>
  <c r="T208" i="3"/>
  <c r="T249" i="3"/>
  <c r="T278" i="3"/>
  <c r="AP70" i="3"/>
  <c r="AP161" i="3"/>
  <c r="AP159" i="3"/>
  <c r="AP186" i="3"/>
  <c r="AP208" i="3"/>
  <c r="AP249" i="3"/>
  <c r="AP278" i="3"/>
  <c r="F200" i="3"/>
  <c r="F274" i="3"/>
  <c r="F237" i="3"/>
  <c r="F199" i="3"/>
  <c r="F258" i="3"/>
  <c r="F206" i="3"/>
  <c r="F253" i="3"/>
  <c r="F262" i="3"/>
  <c r="F177" i="3"/>
  <c r="F266" i="3"/>
  <c r="F70" i="3"/>
  <c r="F161" i="3"/>
  <c r="F159" i="3"/>
  <c r="F186" i="3"/>
  <c r="F208" i="3"/>
  <c r="F249" i="3"/>
  <c r="F278" i="3"/>
  <c r="AJ70" i="3"/>
  <c r="AJ161" i="3"/>
  <c r="AJ159" i="3"/>
  <c r="AJ186" i="3"/>
  <c r="AJ208" i="3"/>
  <c r="AJ249" i="3"/>
  <c r="AJ278" i="3"/>
  <c r="F244" i="3"/>
  <c r="S70" i="3"/>
  <c r="S161" i="3"/>
  <c r="S159" i="3"/>
  <c r="S186" i="3"/>
  <c r="S208" i="3"/>
  <c r="S249" i="3"/>
  <c r="S278" i="3"/>
  <c r="F193" i="3"/>
  <c r="AO70" i="3"/>
  <c r="AO159" i="3"/>
  <c r="AO161" i="3"/>
  <c r="AO208" i="3"/>
  <c r="AO186" i="3"/>
  <c r="AO249" i="3"/>
  <c r="AO278" i="3"/>
  <c r="AS277" i="3"/>
  <c r="AO276" i="3"/>
  <c r="AM276" i="3"/>
  <c r="T275" i="3"/>
  <c r="AD273" i="3"/>
  <c r="AN271" i="3"/>
  <c r="U270" i="3"/>
  <c r="AE268" i="3"/>
  <c r="L267" i="3"/>
  <c r="V265" i="3"/>
  <c r="J277" i="3"/>
  <c r="AS276" i="3"/>
  <c r="AQ276" i="3"/>
  <c r="P275" i="3"/>
  <c r="AH273" i="3"/>
  <c r="G272" i="3"/>
  <c r="Y270" i="3"/>
  <c r="AI268" i="3"/>
  <c r="H267" i="3"/>
  <c r="Z265" i="3"/>
  <c r="AI275" i="3"/>
  <c r="AG273" i="3"/>
  <c r="S271" i="3"/>
  <c r="Q269" i="3"/>
  <c r="N267" i="3"/>
  <c r="L265" i="3"/>
  <c r="O263" i="3"/>
  <c r="I276" i="3"/>
  <c r="AQ273" i="3"/>
  <c r="AC271" i="3"/>
  <c r="AA269" i="3"/>
  <c r="W267" i="3"/>
  <c r="K265" i="3"/>
  <c r="N263" i="3"/>
  <c r="X261" i="3"/>
  <c r="AQ277" i="3"/>
  <c r="K275" i="3"/>
  <c r="AS272" i="3"/>
  <c r="AE270" i="3"/>
  <c r="R268" i="3"/>
  <c r="O266" i="3"/>
  <c r="P264" i="3"/>
  <c r="AH262" i="3"/>
  <c r="G261" i="3"/>
  <c r="Y259" i="3"/>
  <c r="AI257" i="3"/>
  <c r="AP275" i="3"/>
  <c r="AC273" i="3"/>
  <c r="Z271" i="3"/>
  <c r="X269" i="3"/>
  <c r="J267" i="3"/>
  <c r="AR264" i="3"/>
  <c r="T263" i="3"/>
  <c r="AD261" i="3"/>
  <c r="AN259" i="3"/>
  <c r="R276" i="3"/>
  <c r="L274" i="3"/>
  <c r="J272" i="3"/>
  <c r="AR269" i="3"/>
  <c r="AD267" i="3"/>
  <c r="AB265" i="3"/>
  <c r="AI263" i="3"/>
  <c r="H262" i="3"/>
  <c r="Z260" i="3"/>
  <c r="AR258" i="3"/>
  <c r="AC275" i="3"/>
  <c r="AA273" i="3"/>
  <c r="W271" i="3"/>
  <c r="K269" i="3"/>
  <c r="AQ266" i="3"/>
  <c r="AD264" i="3"/>
  <c r="AM262" i="3"/>
  <c r="T261" i="3"/>
  <c r="AD259" i="3"/>
  <c r="Q275" i="3"/>
  <c r="AN272" i="3"/>
  <c r="AJ270" i="3"/>
  <c r="AH268" i="3"/>
  <c r="T266" i="3"/>
  <c r="L264" i="3"/>
  <c r="V262" i="3"/>
  <c r="AF260" i="3"/>
  <c r="M265" i="3"/>
  <c r="AC258" i="3"/>
  <c r="AS256" i="3"/>
  <c r="R255" i="3"/>
  <c r="AJ253" i="3"/>
  <c r="I252" i="3"/>
  <c r="S250" i="3"/>
  <c r="AF247" i="3"/>
  <c r="M246" i="3"/>
  <c r="W244" i="3"/>
  <c r="AP271" i="3"/>
  <c r="AM258" i="3"/>
  <c r="G257" i="3"/>
  <c r="Y255" i="3"/>
  <c r="AI253" i="3"/>
  <c r="H252" i="3"/>
  <c r="Z250" i="3"/>
  <c r="AM247" i="3"/>
  <c r="T246" i="3"/>
  <c r="AK262" i="3"/>
  <c r="G258" i="3"/>
  <c r="S256" i="3"/>
  <c r="AK254" i="3"/>
  <c r="J253" i="3"/>
  <c r="AB251" i="3"/>
  <c r="AO248" i="3"/>
  <c r="N247" i="3"/>
  <c r="AM260" i="3"/>
  <c r="AO257" i="3"/>
  <c r="J256" i="3"/>
  <c r="AB254" i="3"/>
  <c r="AL252" i="3"/>
  <c r="K251" i="3"/>
  <c r="X248" i="3"/>
  <c r="AP246" i="3"/>
  <c r="S269" i="3"/>
  <c r="G260" i="3"/>
  <c r="AN257" i="3"/>
  <c r="I256" i="3"/>
  <c r="S254" i="3"/>
  <c r="AK252" i="3"/>
  <c r="J251" i="3"/>
  <c r="W248" i="3"/>
  <c r="AO246" i="3"/>
  <c r="N245" i="3"/>
  <c r="H269" i="3"/>
  <c r="AE260" i="3"/>
  <c r="AM257" i="3"/>
  <c r="H256" i="3"/>
  <c r="Z254" i="3"/>
  <c r="AR252" i="3"/>
  <c r="Q251" i="3"/>
  <c r="AG261" i="3"/>
  <c r="H254" i="3"/>
  <c r="J247" i="3"/>
  <c r="AK244" i="3"/>
  <c r="AR242" i="3"/>
  <c r="Q241" i="3"/>
  <c r="AA239" i="3"/>
  <c r="AS237" i="3"/>
  <c r="R236" i="3"/>
  <c r="AJ234" i="3"/>
  <c r="J259" i="3"/>
  <c r="AD253" i="3"/>
  <c r="AM246" i="3"/>
  <c r="Y244" i="3"/>
  <c r="AA242" i="3"/>
  <c r="AS240" i="3"/>
  <c r="R239" i="3"/>
  <c r="AJ237" i="3"/>
  <c r="I236" i="3"/>
  <c r="S234" i="3"/>
  <c r="AJ255" i="3"/>
  <c r="Z247" i="3"/>
  <c r="AH244" i="3"/>
  <c r="AH242" i="3"/>
  <c r="G241" i="3"/>
  <c r="Y239" i="3"/>
  <c r="AI237" i="3"/>
  <c r="H236" i="3"/>
  <c r="Z234" i="3"/>
  <c r="Z275" i="3"/>
  <c r="S252" i="3"/>
  <c r="AI246" i="3"/>
  <c r="V244" i="3"/>
  <c r="Y242" i="3"/>
  <c r="AI240" i="3"/>
  <c r="H239" i="3"/>
  <c r="Z237" i="3"/>
  <c r="AR235" i="3"/>
  <c r="Q234" i="3"/>
  <c r="AB255" i="3"/>
  <c r="AD248" i="3"/>
  <c r="Q245" i="3"/>
  <c r="S243" i="3"/>
  <c r="AK241" i="3"/>
  <c r="J240" i="3"/>
  <c r="AB238" i="3"/>
  <c r="AL236" i="3"/>
  <c r="K235" i="3"/>
  <c r="Q254" i="3"/>
  <c r="AO247" i="3"/>
  <c r="AD244" i="3"/>
  <c r="AM242" i="3"/>
  <c r="T241" i="3"/>
  <c r="AD239" i="3"/>
  <c r="AN237" i="3"/>
  <c r="U236" i="3"/>
  <c r="AE234" i="3"/>
  <c r="AD260" i="3"/>
  <c r="M253" i="3"/>
  <c r="AD246" i="3"/>
  <c r="H244" i="3"/>
  <c r="V242" i="3"/>
  <c r="AF240" i="3"/>
  <c r="M239" i="3"/>
  <c r="W237" i="3"/>
  <c r="AO235" i="3"/>
  <c r="P243" i="3"/>
  <c r="AP241" i="3"/>
  <c r="U242" i="3"/>
  <c r="I254" i="3"/>
  <c r="M234" i="3"/>
  <c r="AE240" i="3"/>
  <c r="F254" i="3"/>
  <c r="F263" i="3"/>
  <c r="F192" i="3"/>
  <c r="AK277" i="3"/>
  <c r="AG276" i="3"/>
  <c r="AE276" i="3"/>
  <c r="L275" i="3"/>
  <c r="V273" i="3"/>
  <c r="AF271" i="3"/>
  <c r="M270" i="3"/>
  <c r="W268" i="3"/>
  <c r="AO266" i="3"/>
  <c r="N265" i="3"/>
  <c r="AL276" i="3"/>
  <c r="AK276" i="3"/>
  <c r="AI276" i="3"/>
  <c r="H275" i="3"/>
  <c r="Z273" i="3"/>
  <c r="AR271" i="3"/>
  <c r="Q270" i="3"/>
  <c r="AA268" i="3"/>
  <c r="AS266" i="3"/>
  <c r="R265" i="3"/>
  <c r="Y275" i="3"/>
  <c r="W273" i="3"/>
  <c r="I271" i="3"/>
  <c r="G269" i="3"/>
  <c r="AM266" i="3"/>
  <c r="AK264" i="3"/>
  <c r="G263" i="3"/>
  <c r="AS275" i="3"/>
  <c r="AF273" i="3"/>
  <c r="R271" i="3"/>
  <c r="P269" i="3"/>
  <c r="M267" i="3"/>
  <c r="AJ264" i="3"/>
  <c r="AQ262" i="3"/>
  <c r="P261" i="3"/>
  <c r="N277" i="3"/>
  <c r="AJ274" i="3"/>
  <c r="AH272" i="3"/>
  <c r="T270" i="3"/>
  <c r="H268" i="3"/>
  <c r="AO265" i="3"/>
  <c r="H264" i="3"/>
  <c r="Z262" i="3"/>
  <c r="AR260" i="3"/>
  <c r="Q259" i="3"/>
  <c r="AA257" i="3"/>
  <c r="AE275" i="3"/>
  <c r="S273" i="3"/>
  <c r="O271" i="3"/>
  <c r="M269" i="3"/>
  <c r="AI266" i="3"/>
  <c r="AG264" i="3"/>
  <c r="L263" i="3"/>
  <c r="V261" i="3"/>
  <c r="AF259" i="3"/>
  <c r="AO275" i="3"/>
  <c r="AM273" i="3"/>
  <c r="AI271" i="3"/>
  <c r="AG269" i="3"/>
  <c r="S267" i="3"/>
  <c r="Q265" i="3"/>
  <c r="AA263" i="3"/>
  <c r="AS261" i="3"/>
  <c r="R260" i="3"/>
  <c r="AJ258" i="3"/>
  <c r="R275" i="3"/>
  <c r="P273" i="3"/>
  <c r="M271" i="3"/>
  <c r="AJ268" i="3"/>
  <c r="AF266" i="3"/>
  <c r="U264" i="3"/>
  <c r="AE262" i="3"/>
  <c r="L261" i="3"/>
  <c r="V259" i="3"/>
  <c r="AP274" i="3"/>
  <c r="AC272" i="3"/>
  <c r="Z270" i="3"/>
  <c r="X268" i="3"/>
  <c r="J266" i="3"/>
  <c r="AO263" i="3"/>
  <c r="N262" i="3"/>
  <c r="X260" i="3"/>
  <c r="S264" i="3"/>
  <c r="R258" i="3"/>
  <c r="AK256" i="3"/>
  <c r="J255" i="3"/>
  <c r="AB253" i="3"/>
  <c r="AL251" i="3"/>
  <c r="K250" i="3"/>
  <c r="X247" i="3"/>
  <c r="AP245" i="3"/>
  <c r="O244" i="3"/>
  <c r="K264" i="3"/>
  <c r="AA258" i="3"/>
  <c r="AR256" i="3"/>
  <c r="Q255" i="3"/>
  <c r="AA253" i="3"/>
  <c r="AS251" i="3"/>
  <c r="R250" i="3"/>
  <c r="AE247" i="3"/>
  <c r="L246" i="3"/>
  <c r="R261" i="3"/>
  <c r="AP257" i="3"/>
  <c r="K256" i="3"/>
  <c r="AC254" i="3"/>
  <c r="AM252" i="3"/>
  <c r="T251" i="3"/>
  <c r="AG248" i="3"/>
  <c r="U271" i="3"/>
  <c r="H260" i="3"/>
  <c r="AF257" i="3"/>
  <c r="AM255" i="3"/>
  <c r="T254" i="3"/>
  <c r="AD252" i="3"/>
  <c r="AN250" i="3"/>
  <c r="P248" i="3"/>
  <c r="AH246" i="3"/>
  <c r="AG268" i="3"/>
  <c r="AR259" i="3"/>
  <c r="AE257" i="3"/>
  <c r="AL255" i="3"/>
  <c r="K254" i="3"/>
  <c r="AC252" i="3"/>
  <c r="AM250" i="3"/>
  <c r="O248" i="3"/>
  <c r="AG246" i="3"/>
  <c r="AQ244" i="3"/>
  <c r="V268" i="3"/>
  <c r="AQ259" i="3"/>
  <c r="AD257" i="3"/>
  <c r="AS255" i="3"/>
  <c r="R254" i="3"/>
  <c r="AJ252" i="3"/>
  <c r="I251" i="3"/>
  <c r="U259" i="3"/>
  <c r="AK253" i="3"/>
  <c r="AN246" i="3"/>
  <c r="Z244" i="3"/>
  <c r="AJ242" i="3"/>
  <c r="I241" i="3"/>
  <c r="S239" i="3"/>
  <c r="AK237" i="3"/>
  <c r="J236" i="3"/>
  <c r="AB234" i="3"/>
  <c r="AF258" i="3"/>
  <c r="AA252" i="3"/>
  <c r="W246" i="3"/>
  <c r="N244" i="3"/>
  <c r="S242" i="3"/>
  <c r="AK240" i="3"/>
  <c r="J239" i="3"/>
  <c r="AB237" i="3"/>
  <c r="AL235" i="3"/>
  <c r="K234" i="3"/>
  <c r="AF254" i="3"/>
  <c r="AL246" i="3"/>
  <c r="X244" i="3"/>
  <c r="Z242" i="3"/>
  <c r="AR240" i="3"/>
  <c r="Q239" i="3"/>
  <c r="AA237" i="3"/>
  <c r="AS235" i="3"/>
  <c r="R234" i="3"/>
  <c r="AN263" i="3"/>
  <c r="O251" i="3"/>
  <c r="S246" i="3"/>
  <c r="L244" i="3"/>
  <c r="Q242" i="3"/>
  <c r="AA240" i="3"/>
  <c r="AS238" i="3"/>
  <c r="R237" i="3"/>
  <c r="AJ235" i="3"/>
  <c r="I234" i="3"/>
  <c r="X254" i="3"/>
  <c r="L248" i="3"/>
  <c r="G245" i="3"/>
  <c r="K243" i="3"/>
  <c r="AC241" i="3"/>
  <c r="AM239" i="3"/>
  <c r="T238" i="3"/>
  <c r="AD236" i="3"/>
  <c r="AI265" i="3"/>
  <c r="N253" i="3"/>
  <c r="R247" i="3"/>
  <c r="T244" i="3"/>
  <c r="AE242" i="3"/>
  <c r="L241" i="3"/>
  <c r="V239" i="3"/>
  <c r="AF237" i="3"/>
  <c r="M236" i="3"/>
  <c r="W234" i="3"/>
  <c r="AK259" i="3"/>
  <c r="AP252" i="3"/>
  <c r="N246" i="3"/>
  <c r="AQ243" i="3"/>
  <c r="N242" i="3"/>
  <c r="X240" i="3"/>
  <c r="AP238" i="3"/>
  <c r="O237" i="3"/>
  <c r="AG235" i="3"/>
  <c r="AK242" i="3"/>
  <c r="L239" i="3"/>
  <c r="AH241" i="3"/>
  <c r="M242" i="3"/>
  <c r="Z259" i="3"/>
  <c r="N237" i="3"/>
  <c r="AL70" i="3"/>
  <c r="AL159" i="3"/>
  <c r="AL161" i="3"/>
  <c r="AL186" i="3"/>
  <c r="AL208" i="3"/>
  <c r="AL249" i="3"/>
  <c r="AL278" i="3"/>
  <c r="AB70" i="3"/>
  <c r="AB161" i="3"/>
  <c r="AB159" i="3"/>
  <c r="AB186" i="3"/>
  <c r="AB208" i="3"/>
  <c r="AB249" i="3"/>
  <c r="AB278" i="3"/>
  <c r="F195" i="3"/>
  <c r="AM70" i="3"/>
  <c r="AM159" i="3"/>
  <c r="AM161" i="3"/>
  <c r="AM186" i="3"/>
  <c r="AM208" i="3"/>
  <c r="AM249" i="3"/>
  <c r="AM278" i="3"/>
  <c r="F238" i="3"/>
  <c r="N70" i="3"/>
  <c r="N159" i="3"/>
  <c r="N161" i="3"/>
  <c r="N186" i="3"/>
  <c r="N208" i="3"/>
  <c r="N249" i="3"/>
  <c r="N278" i="3"/>
  <c r="AR70" i="3"/>
  <c r="AR161" i="3"/>
  <c r="AR159" i="3"/>
  <c r="AR186" i="3"/>
  <c r="AR208" i="3"/>
  <c r="AR249" i="3"/>
  <c r="AR278" i="3"/>
  <c r="F245" i="3"/>
  <c r="AA70" i="3"/>
  <c r="AA161" i="3"/>
  <c r="AA159" i="3"/>
  <c r="AA186" i="3"/>
  <c r="AA208" i="3"/>
  <c r="AA249" i="3"/>
  <c r="AA278" i="3"/>
  <c r="AC277" i="3"/>
  <c r="Y276" i="3"/>
  <c r="W276" i="3"/>
  <c r="AO274" i="3"/>
  <c r="N273" i="3"/>
  <c r="X271" i="3"/>
  <c r="AP269" i="3"/>
  <c r="O268" i="3"/>
  <c r="AG266" i="3"/>
  <c r="AQ264" i="3"/>
  <c r="AD276" i="3"/>
  <c r="AC276" i="3"/>
  <c r="AA276" i="3"/>
  <c r="AS274" i="3"/>
  <c r="R273" i="3"/>
  <c r="AJ271" i="3"/>
  <c r="I270" i="3"/>
  <c r="S268" i="3"/>
  <c r="AK266" i="3"/>
  <c r="J265" i="3"/>
  <c r="N275" i="3"/>
  <c r="L273" i="3"/>
  <c r="AR270" i="3"/>
  <c r="AP268" i="3"/>
  <c r="AB266" i="3"/>
  <c r="Z264" i="3"/>
  <c r="AR262" i="3"/>
  <c r="AH275" i="3"/>
  <c r="U273" i="3"/>
  <c r="G271" i="3"/>
  <c r="AO268" i="3"/>
  <c r="AL266" i="3"/>
  <c r="Y264" i="3"/>
  <c r="AI262" i="3"/>
  <c r="H261" i="3"/>
  <c r="AR276" i="3"/>
  <c r="Z274" i="3"/>
  <c r="X272" i="3"/>
  <c r="J270" i="3"/>
  <c r="AQ267" i="3"/>
  <c r="AE265" i="3"/>
  <c r="AS263" i="3"/>
  <c r="R262" i="3"/>
  <c r="AJ260" i="3"/>
  <c r="I259" i="3"/>
  <c r="S257" i="3"/>
  <c r="U275" i="3"/>
  <c r="H273" i="3"/>
  <c r="AN270" i="3"/>
  <c r="AL268" i="3"/>
  <c r="X266" i="3"/>
  <c r="W264" i="3"/>
  <c r="AO262" i="3"/>
  <c r="N261" i="3"/>
  <c r="X259" i="3"/>
  <c r="AD275" i="3"/>
  <c r="AB273" i="3"/>
  <c r="Y271" i="3"/>
  <c r="W269" i="3"/>
  <c r="I267" i="3"/>
  <c r="G265" i="3"/>
  <c r="S263" i="3"/>
  <c r="AK261" i="3"/>
  <c r="J260" i="3"/>
  <c r="AB258" i="3"/>
  <c r="G275" i="3"/>
  <c r="AO272" i="3"/>
  <c r="AL270" i="3"/>
  <c r="Y268" i="3"/>
  <c r="V266" i="3"/>
  <c r="M264" i="3"/>
  <c r="W262" i="3"/>
  <c r="AO260" i="3"/>
  <c r="N259" i="3"/>
  <c r="AE274" i="3"/>
  <c r="R272" i="3"/>
  <c r="O270" i="3"/>
  <c r="M268" i="3"/>
  <c r="AJ265" i="3"/>
  <c r="AG263" i="3"/>
  <c r="AQ261" i="3"/>
  <c r="P260" i="3"/>
  <c r="AF263" i="3"/>
  <c r="I258" i="3"/>
  <c r="AC256" i="3"/>
  <c r="AM254" i="3"/>
  <c r="T253" i="3"/>
  <c r="AD251" i="3"/>
  <c r="AQ248" i="3"/>
  <c r="P247" i="3"/>
  <c r="AH245" i="3"/>
  <c r="G244" i="3"/>
  <c r="X263" i="3"/>
  <c r="Q258" i="3"/>
  <c r="AJ256" i="3"/>
  <c r="I255" i="3"/>
  <c r="S253" i="3"/>
  <c r="AK251" i="3"/>
  <c r="J250" i="3"/>
  <c r="W247" i="3"/>
  <c r="M273" i="3"/>
  <c r="N260" i="3"/>
  <c r="AG257" i="3"/>
  <c r="AN255" i="3"/>
  <c r="U254" i="3"/>
  <c r="AE252" i="3"/>
  <c r="L251" i="3"/>
  <c r="Y248" i="3"/>
  <c r="X270" i="3"/>
  <c r="AS259" i="3"/>
  <c r="W257" i="3"/>
  <c r="AE255" i="3"/>
  <c r="L254" i="3"/>
  <c r="V252" i="3"/>
  <c r="AF250" i="3"/>
  <c r="H248" i="3"/>
  <c r="Z246" i="3"/>
  <c r="AK267" i="3"/>
  <c r="AB259" i="3"/>
  <c r="V257" i="3"/>
  <c r="AD255" i="3"/>
  <c r="AN253" i="3"/>
  <c r="U252" i="3"/>
  <c r="AE250" i="3"/>
  <c r="G248" i="3"/>
  <c r="Y246" i="3"/>
  <c r="AI244" i="3"/>
  <c r="Z267" i="3"/>
  <c r="AA259" i="3"/>
  <c r="U257" i="3"/>
  <c r="AK255" i="3"/>
  <c r="J254" i="3"/>
  <c r="AB252" i="3"/>
  <c r="AL250" i="3"/>
  <c r="AO258" i="3"/>
  <c r="AH252" i="3"/>
  <c r="X246" i="3"/>
  <c r="P244" i="3"/>
  <c r="AB242" i="3"/>
  <c r="AL240" i="3"/>
  <c r="K239" i="3"/>
  <c r="AC237" i="3"/>
  <c r="AM235" i="3"/>
  <c r="T234" i="3"/>
  <c r="R257" i="3"/>
  <c r="W251" i="3"/>
  <c r="G246" i="3"/>
  <c r="AM243" i="3"/>
  <c r="K242" i="3"/>
  <c r="AC240" i="3"/>
  <c r="AM238" i="3"/>
  <c r="T237" i="3"/>
  <c r="AD235" i="3"/>
  <c r="AK275" i="3"/>
  <c r="AC253" i="3"/>
  <c r="V246" i="3"/>
  <c r="M244" i="3"/>
  <c r="R242" i="3"/>
  <c r="AJ240" i="3"/>
  <c r="I239" i="3"/>
  <c r="S237" i="3"/>
  <c r="AK235" i="3"/>
  <c r="J234" i="3"/>
  <c r="U258" i="3"/>
  <c r="AS250" i="3"/>
  <c r="AO245" i="3"/>
  <c r="AK243" i="3"/>
  <c r="I242" i="3"/>
  <c r="S240" i="3"/>
  <c r="AK238" i="3"/>
  <c r="J237" i="3"/>
  <c r="AB235" i="3"/>
  <c r="U253" i="3"/>
  <c r="AP247" i="3"/>
  <c r="AP244" i="3"/>
  <c r="AN242" i="3"/>
  <c r="U241" i="3"/>
  <c r="AE239" i="3"/>
  <c r="L238" i="3"/>
  <c r="V236" i="3"/>
  <c r="AB264" i="3"/>
  <c r="AQ252" i="3"/>
  <c r="AE246" i="3"/>
  <c r="I244" i="3"/>
  <c r="W242" i="3"/>
  <c r="AO240" i="3"/>
  <c r="N239" i="3"/>
  <c r="X237" i="3"/>
  <c r="AP235" i="3"/>
  <c r="O234" i="3"/>
  <c r="J258" i="3"/>
  <c r="J252" i="3"/>
  <c r="AJ245" i="3"/>
  <c r="AH243" i="3"/>
  <c r="AQ241" i="3"/>
  <c r="P240" i="3"/>
  <c r="AH238" i="3"/>
  <c r="G237" i="3"/>
  <c r="Y235" i="3"/>
  <c r="T239" i="3"/>
  <c r="Y238" i="3"/>
  <c r="Q238" i="3"/>
  <c r="Z241" i="3"/>
  <c r="S255" i="3"/>
  <c r="AI236" i="3"/>
  <c r="F248" i="3"/>
  <c r="F271" i="3"/>
  <c r="F260" i="3"/>
  <c r="AO277" i="3"/>
  <c r="U277" i="3"/>
  <c r="Q276" i="3"/>
  <c r="O276" i="3"/>
  <c r="AG274" i="3"/>
  <c r="AQ272" i="3"/>
  <c r="P271" i="3"/>
  <c r="AH269" i="3"/>
  <c r="G268" i="3"/>
  <c r="Y266" i="3"/>
  <c r="AI264" i="3"/>
  <c r="V276" i="3"/>
  <c r="U276" i="3"/>
  <c r="S276" i="3"/>
  <c r="AK274" i="3"/>
  <c r="J273" i="3"/>
  <c r="AB271" i="3"/>
  <c r="AL269" i="3"/>
  <c r="K268" i="3"/>
  <c r="AC266" i="3"/>
  <c r="AM264" i="3"/>
  <c r="AM274" i="3"/>
  <c r="AK272" i="3"/>
  <c r="AH270" i="3"/>
  <c r="AF268" i="3"/>
  <c r="R266" i="3"/>
  <c r="R264" i="3"/>
  <c r="AJ262" i="3"/>
  <c r="W275" i="3"/>
  <c r="K273" i="3"/>
  <c r="AQ270" i="3"/>
  <c r="AD268" i="3"/>
  <c r="AA266" i="3"/>
  <c r="Q264" i="3"/>
  <c r="AA262" i="3"/>
  <c r="AS260" i="3"/>
  <c r="X276" i="3"/>
  <c r="O274" i="3"/>
  <c r="M272" i="3"/>
  <c r="AJ269" i="3"/>
  <c r="AG267" i="3"/>
  <c r="T265" i="3"/>
  <c r="AK263" i="3"/>
  <c r="J262" i="3"/>
  <c r="AB260" i="3"/>
  <c r="AL258" i="3"/>
  <c r="K257" i="3"/>
  <c r="J275" i="3"/>
  <c r="AR272" i="3"/>
  <c r="AD270" i="3"/>
  <c r="AB268" i="3"/>
  <c r="N266" i="3"/>
  <c r="O264" i="3"/>
  <c r="AG262" i="3"/>
  <c r="AQ260" i="3"/>
  <c r="P259" i="3"/>
  <c r="S275" i="3"/>
  <c r="Q273" i="3"/>
  <c r="N271" i="3"/>
  <c r="L269" i="3"/>
  <c r="AR266" i="3"/>
  <c r="AP264" i="3"/>
  <c r="K263" i="3"/>
  <c r="AC261" i="3"/>
  <c r="AM259" i="3"/>
  <c r="T258" i="3"/>
  <c r="AQ274" i="3"/>
  <c r="AD272" i="3"/>
  <c r="AA270" i="3"/>
  <c r="N268" i="3"/>
  <c r="K266" i="3"/>
  <c r="AP263" i="3"/>
  <c r="O262" i="3"/>
  <c r="AG260" i="3"/>
  <c r="AA277" i="3"/>
  <c r="T274" i="3"/>
  <c r="H272" i="3"/>
  <c r="AO269" i="3"/>
  <c r="AL267" i="3"/>
  <c r="Y265" i="3"/>
  <c r="Y263" i="3"/>
  <c r="AI261" i="3"/>
  <c r="L276" i="3"/>
  <c r="Z261" i="3"/>
  <c r="AS257" i="3"/>
  <c r="U256" i="3"/>
  <c r="AE254" i="3"/>
  <c r="L253" i="3"/>
  <c r="V251" i="3"/>
  <c r="AI248" i="3"/>
  <c r="H247" i="3"/>
  <c r="Z245" i="3"/>
  <c r="AR243" i="3"/>
  <c r="AS262" i="3"/>
  <c r="H258" i="3"/>
  <c r="AB256" i="3"/>
  <c r="AL254" i="3"/>
  <c r="K253" i="3"/>
  <c r="AC251" i="3"/>
  <c r="AP248" i="3"/>
  <c r="O247" i="3"/>
  <c r="Q272" i="3"/>
  <c r="AH259" i="3"/>
  <c r="X257" i="3"/>
  <c r="AF255" i="3"/>
  <c r="M254" i="3"/>
  <c r="W252" i="3"/>
  <c r="AO250" i="3"/>
  <c r="Q248" i="3"/>
  <c r="AC269" i="3"/>
  <c r="AC259" i="3"/>
  <c r="N257" i="3"/>
  <c r="W255" i="3"/>
  <c r="AO253" i="3"/>
  <c r="N252" i="3"/>
  <c r="X250" i="3"/>
  <c r="AS247" i="3"/>
  <c r="R246" i="3"/>
  <c r="AN266" i="3"/>
  <c r="L259" i="3"/>
  <c r="M257" i="3"/>
  <c r="V255" i="3"/>
  <c r="AF253" i="3"/>
  <c r="M252" i="3"/>
  <c r="W250" i="3"/>
  <c r="AR247" i="3"/>
  <c r="Q246" i="3"/>
  <c r="AA244" i="3"/>
  <c r="AD266" i="3"/>
  <c r="K259" i="3"/>
  <c r="L257" i="3"/>
  <c r="AC255" i="3"/>
  <c r="AM253" i="3"/>
  <c r="T252" i="3"/>
  <c r="AD250" i="3"/>
  <c r="T257" i="3"/>
  <c r="X251" i="3"/>
  <c r="H246" i="3"/>
  <c r="AO243" i="3"/>
  <c r="T242" i="3"/>
  <c r="AD240" i="3"/>
  <c r="AN238" i="3"/>
  <c r="U237" i="3"/>
  <c r="AE235" i="3"/>
  <c r="L234" i="3"/>
  <c r="AM256" i="3"/>
  <c r="U250" i="3"/>
  <c r="AR245" i="3"/>
  <c r="AD243" i="3"/>
  <c r="AN241" i="3"/>
  <c r="U240" i="3"/>
  <c r="AE238" i="3"/>
  <c r="L237" i="3"/>
  <c r="V235" i="3"/>
  <c r="AD274" i="3"/>
  <c r="Z252" i="3"/>
  <c r="AQ245" i="3"/>
  <c r="AL243" i="3"/>
  <c r="J242" i="3"/>
  <c r="AB240" i="3"/>
  <c r="AL238" i="3"/>
  <c r="K237" i="3"/>
  <c r="AC235" i="3"/>
  <c r="I257" i="3"/>
  <c r="M250" i="3"/>
  <c r="AC245" i="3"/>
  <c r="AB243" i="3"/>
  <c r="AL241" i="3"/>
  <c r="K240" i="3"/>
  <c r="AC238" i="3"/>
  <c r="AM236" i="3"/>
  <c r="T235" i="3"/>
  <c r="AF276" i="3"/>
  <c r="R252" i="3"/>
  <c r="S247" i="3"/>
  <c r="AF244" i="3"/>
  <c r="AF242" i="3"/>
  <c r="M241" i="3"/>
  <c r="W239" i="3"/>
  <c r="AO237" i="3"/>
  <c r="N236" i="3"/>
  <c r="AP259" i="3"/>
  <c r="K252" i="3"/>
  <c r="O246" i="3"/>
  <c r="AS243" i="3"/>
  <c r="O242" i="3"/>
  <c r="AG240" i="3"/>
  <c r="AQ238" i="3"/>
  <c r="P237" i="3"/>
  <c r="AH235" i="3"/>
  <c r="G234" i="3"/>
  <c r="AC257" i="3"/>
  <c r="AF251" i="3"/>
  <c r="Y245" i="3"/>
  <c r="Y243" i="3"/>
  <c r="AI241" i="3"/>
  <c r="H240" i="3"/>
  <c r="Z238" i="3"/>
  <c r="AR236" i="3"/>
  <c r="Q235" i="3"/>
  <c r="AG238" i="3"/>
  <c r="AL237" i="3"/>
  <c r="AD237" i="3"/>
  <c r="AM240" i="3"/>
  <c r="AC250" i="3"/>
  <c r="AD234" i="3"/>
  <c r="AE70" i="3"/>
  <c r="AE159" i="3"/>
  <c r="AE161" i="3"/>
  <c r="AE186" i="3"/>
  <c r="AE208" i="3"/>
  <c r="AE249" i="3"/>
  <c r="AE278" i="3"/>
  <c r="AS70" i="3"/>
  <c r="AS159" i="3"/>
  <c r="AS161" i="3"/>
  <c r="AS186" i="3"/>
  <c r="AS208" i="3"/>
  <c r="AS249" i="3"/>
  <c r="AS278" i="3"/>
  <c r="F277" i="3"/>
  <c r="Y70" i="3"/>
  <c r="Y161" i="3"/>
  <c r="Y159" i="3"/>
  <c r="Y208" i="3"/>
  <c r="Y186" i="3"/>
  <c r="Y249" i="3"/>
  <c r="Y278" i="3"/>
  <c r="F187" i="3"/>
  <c r="H161" i="3"/>
  <c r="H70" i="3"/>
  <c r="H159" i="3"/>
  <c r="H186" i="3"/>
  <c r="H208" i="3"/>
  <c r="H249" i="3"/>
  <c r="H278" i="3"/>
  <c r="F255" i="3"/>
  <c r="V70" i="3"/>
  <c r="V159" i="3"/>
  <c r="V161" i="3"/>
  <c r="V186" i="3"/>
  <c r="V208" i="3"/>
  <c r="V249" i="3"/>
  <c r="V278" i="3"/>
  <c r="AG277" i="3"/>
  <c r="AR277" i="3"/>
  <c r="AP277" i="3"/>
  <c r="G276" i="3"/>
  <c r="Y274" i="3"/>
  <c r="AI272" i="3"/>
  <c r="H271" i="3"/>
  <c r="Z269" i="3"/>
  <c r="AR267" i="3"/>
  <c r="Q266" i="3"/>
  <c r="AA264" i="3"/>
  <c r="AM277" i="3"/>
  <c r="M276" i="3"/>
  <c r="K276" i="3"/>
  <c r="AC274" i="3"/>
  <c r="AM272" i="3"/>
  <c r="T271" i="3"/>
  <c r="AD269" i="3"/>
  <c r="AN267" i="3"/>
  <c r="U266" i="3"/>
  <c r="AE264" i="3"/>
  <c r="AB274" i="3"/>
  <c r="Z272" i="3"/>
  <c r="W270" i="3"/>
  <c r="U268" i="3"/>
  <c r="G266" i="3"/>
  <c r="J264" i="3"/>
  <c r="AB262" i="3"/>
  <c r="M275" i="3"/>
  <c r="AJ272" i="3"/>
  <c r="AF270" i="3"/>
  <c r="T268" i="3"/>
  <c r="P266" i="3"/>
  <c r="I264" i="3"/>
  <c r="S262" i="3"/>
  <c r="AK260" i="3"/>
  <c r="H276" i="3"/>
  <c r="AO273" i="3"/>
  <c r="AL271" i="3"/>
  <c r="Y269" i="3"/>
  <c r="V267" i="3"/>
  <c r="I265" i="3"/>
  <c r="AC263" i="3"/>
  <c r="AM261" i="3"/>
  <c r="T260" i="3"/>
  <c r="AD258" i="3"/>
  <c r="AL277" i="3"/>
  <c r="AI274" i="3"/>
  <c r="AG272" i="3"/>
  <c r="S270" i="3"/>
  <c r="Q268" i="3"/>
  <c r="AN265" i="3"/>
  <c r="G264" i="3"/>
  <c r="Y262" i="3"/>
  <c r="AI260" i="3"/>
  <c r="H259" i="3"/>
  <c r="I275" i="3"/>
  <c r="G273" i="3"/>
  <c r="AM270" i="3"/>
  <c r="AK268" i="3"/>
  <c r="AH266" i="3"/>
  <c r="AF264" i="3"/>
  <c r="AN262" i="3"/>
  <c r="U261" i="3"/>
  <c r="AE259" i="3"/>
  <c r="AF277" i="3"/>
  <c r="AF274" i="3"/>
  <c r="T272" i="3"/>
  <c r="P270" i="3"/>
  <c r="AM267" i="3"/>
  <c r="AK265" i="3"/>
  <c r="AH263" i="3"/>
  <c r="G262" i="3"/>
  <c r="Y260" i="3"/>
  <c r="AH276" i="3"/>
  <c r="J274" i="3"/>
  <c r="AQ271" i="3"/>
  <c r="AE269" i="3"/>
  <c r="AA267" i="3"/>
  <c r="O265" i="3"/>
  <c r="Q263" i="3"/>
  <c r="AA261" i="3"/>
  <c r="O275" i="3"/>
  <c r="V260" i="3"/>
  <c r="AJ257" i="3"/>
  <c r="M256" i="3"/>
  <c r="W254" i="3"/>
  <c r="AO252" i="3"/>
  <c r="N251" i="3"/>
  <c r="AA248" i="3"/>
  <c r="AS246" i="3"/>
  <c r="R245" i="3"/>
  <c r="X277" i="3"/>
  <c r="Y261" i="3"/>
  <c r="AR257" i="3"/>
  <c r="T256" i="3"/>
  <c r="AD254" i="3"/>
  <c r="AN252" i="3"/>
  <c r="U251" i="3"/>
  <c r="AH248" i="3"/>
  <c r="G247" i="3"/>
  <c r="AE271" i="3"/>
  <c r="R259" i="3"/>
  <c r="O257" i="3"/>
  <c r="X255" i="3"/>
  <c r="AP253" i="3"/>
  <c r="O252" i="3"/>
  <c r="AG250" i="3"/>
  <c r="I248" i="3"/>
  <c r="AR268" i="3"/>
  <c r="M259" i="3"/>
  <c r="AP256" i="3"/>
  <c r="O255" i="3"/>
  <c r="AG253" i="3"/>
  <c r="AQ251" i="3"/>
  <c r="P250" i="3"/>
  <c r="AK247" i="3"/>
  <c r="J246" i="3"/>
  <c r="U262" i="3"/>
  <c r="AS258" i="3"/>
  <c r="AO256" i="3"/>
  <c r="N255" i="3"/>
  <c r="X253" i="3"/>
  <c r="AP251" i="3"/>
  <c r="O250" i="3"/>
  <c r="AJ247" i="3"/>
  <c r="I246" i="3"/>
  <c r="S244" i="3"/>
  <c r="AS265" i="3"/>
  <c r="AQ258" i="3"/>
  <c r="AN256" i="3"/>
  <c r="U255" i="3"/>
  <c r="AE253" i="3"/>
  <c r="L252" i="3"/>
  <c r="V250" i="3"/>
  <c r="N256" i="3"/>
  <c r="AB250" i="3"/>
  <c r="AS245" i="3"/>
  <c r="AE243" i="3"/>
  <c r="L242" i="3"/>
  <c r="V240" i="3"/>
  <c r="AF238" i="3"/>
  <c r="M237" i="3"/>
  <c r="W235" i="3"/>
  <c r="G256" i="3"/>
  <c r="AL248" i="3"/>
  <c r="AF245" i="3"/>
  <c r="V243" i="3"/>
  <c r="AF241" i="3"/>
  <c r="M240" i="3"/>
  <c r="W238" i="3"/>
  <c r="AO236" i="3"/>
  <c r="N235" i="3"/>
  <c r="L268" i="3"/>
  <c r="P251" i="3"/>
  <c r="AE245" i="3"/>
  <c r="AC243" i="3"/>
  <c r="AM241" i="3"/>
  <c r="T240" i="3"/>
  <c r="AD238" i="3"/>
  <c r="AN236" i="3"/>
  <c r="U235" i="3"/>
  <c r="AE256" i="3"/>
  <c r="AJ248" i="3"/>
  <c r="S245" i="3"/>
  <c r="T243" i="3"/>
  <c r="AD241" i="3"/>
  <c r="AN239" i="3"/>
  <c r="U238" i="3"/>
  <c r="AE236" i="3"/>
  <c r="L235" i="3"/>
  <c r="AL264" i="3"/>
  <c r="AN251" i="3"/>
  <c r="AF246" i="3"/>
  <c r="U244" i="3"/>
  <c r="X242" i="3"/>
  <c r="AP240" i="3"/>
  <c r="O239" i="3"/>
  <c r="AG237" i="3"/>
  <c r="AQ235" i="3"/>
  <c r="K258" i="3"/>
  <c r="AM251" i="3"/>
  <c r="AK245" i="3"/>
  <c r="AI243" i="3"/>
  <c r="G242" i="3"/>
  <c r="Y240" i="3"/>
  <c r="AI238" i="3"/>
  <c r="H237" i="3"/>
  <c r="Z235" i="3"/>
  <c r="V256" i="3"/>
  <c r="AJ250" i="3"/>
  <c r="O245" i="3"/>
  <c r="Q243" i="3"/>
  <c r="AA241" i="3"/>
  <c r="AS239" i="3"/>
  <c r="R238" i="3"/>
  <c r="AJ236" i="3"/>
  <c r="I235" i="3"/>
  <c r="P235" i="3"/>
  <c r="H235" i="3"/>
  <c r="AK234" i="3"/>
  <c r="I238" i="3"/>
  <c r="AQ246" i="3"/>
  <c r="H234" i="3"/>
  <c r="F179" i="3"/>
  <c r="F196" i="3"/>
  <c r="F180" i="3"/>
  <c r="Y277" i="3"/>
  <c r="AH277" i="3"/>
  <c r="AE277" i="3"/>
  <c r="AR275" i="3"/>
  <c r="Q274" i="3"/>
  <c r="AA272" i="3"/>
  <c r="AS270" i="3"/>
  <c r="R269" i="3"/>
  <c r="AJ267" i="3"/>
  <c r="I266" i="3"/>
  <c r="AN277" i="3"/>
  <c r="AB277" i="3"/>
  <c r="AJ277" i="3"/>
  <c r="AN275" i="3"/>
  <c r="U274" i="3"/>
  <c r="AE272" i="3"/>
  <c r="L271" i="3"/>
  <c r="V269" i="3"/>
  <c r="AF267" i="3"/>
  <c r="M266" i="3"/>
  <c r="V277" i="3"/>
  <c r="R274" i="3"/>
  <c r="P272" i="3"/>
  <c r="L270" i="3"/>
  <c r="J268" i="3"/>
  <c r="AR265" i="3"/>
  <c r="AM263" i="3"/>
  <c r="T262" i="3"/>
  <c r="AL274" i="3"/>
  <c r="Y272" i="3"/>
  <c r="V270" i="3"/>
  <c r="I268" i="3"/>
  <c r="AQ265" i="3"/>
  <c r="AL263" i="3"/>
  <c r="K262" i="3"/>
  <c r="AC260" i="3"/>
  <c r="AQ275" i="3"/>
  <c r="AE273" i="3"/>
  <c r="AA271" i="3"/>
  <c r="O269" i="3"/>
  <c r="K267" i="3"/>
  <c r="AS264" i="3"/>
  <c r="U263" i="3"/>
  <c r="AE261" i="3"/>
  <c r="L260" i="3"/>
  <c r="V258" i="3"/>
  <c r="L277" i="3"/>
  <c r="X274" i="3"/>
  <c r="V272" i="3"/>
  <c r="H270" i="3"/>
  <c r="AP267" i="3"/>
  <c r="AC265" i="3"/>
  <c r="AR263" i="3"/>
  <c r="Q262" i="3"/>
  <c r="AA260" i="3"/>
  <c r="AI277" i="3"/>
  <c r="AR274" i="3"/>
  <c r="AP272" i="3"/>
  <c r="AB270" i="3"/>
  <c r="Z268" i="3"/>
  <c r="W266" i="3"/>
  <c r="V264" i="3"/>
  <c r="AF262" i="3"/>
  <c r="M261" i="3"/>
  <c r="W259" i="3"/>
  <c r="AJ276" i="3"/>
  <c r="V274" i="3"/>
  <c r="I272" i="3"/>
  <c r="AQ269" i="3"/>
  <c r="AC267" i="3"/>
  <c r="AA265" i="3"/>
  <c r="Z263" i="3"/>
  <c r="AR261" i="3"/>
  <c r="Q260" i="3"/>
  <c r="N276" i="3"/>
  <c r="AJ273" i="3"/>
  <c r="AG271" i="3"/>
  <c r="T269" i="3"/>
  <c r="Q267" i="3"/>
  <c r="AN264" i="3"/>
  <c r="I263" i="3"/>
  <c r="S261" i="3"/>
  <c r="S274" i="3"/>
  <c r="AJ259" i="3"/>
  <c r="Z257" i="3"/>
  <c r="AP255" i="3"/>
  <c r="O254" i="3"/>
  <c r="AG252" i="3"/>
  <c r="AQ250" i="3"/>
  <c r="S248" i="3"/>
  <c r="AK246" i="3"/>
  <c r="J245" i="3"/>
  <c r="H274" i="3"/>
  <c r="O260" i="3"/>
  <c r="AH257" i="3"/>
  <c r="L256" i="3"/>
  <c r="V254" i="3"/>
  <c r="AF252" i="3"/>
  <c r="M251" i="3"/>
  <c r="Z248" i="3"/>
  <c r="AR246" i="3"/>
  <c r="AI270" i="3"/>
  <c r="AK258" i="3"/>
  <c r="AQ256" i="3"/>
  <c r="P255" i="3"/>
  <c r="AH253" i="3"/>
  <c r="G252" i="3"/>
  <c r="Y250" i="3"/>
  <c r="AL247" i="3"/>
  <c r="H263" i="3"/>
  <c r="AI258" i="3"/>
  <c r="AH256" i="3"/>
  <c r="G255" i="3"/>
  <c r="Y253" i="3"/>
  <c r="AI251" i="3"/>
  <c r="H250" i="3"/>
  <c r="AC247" i="3"/>
  <c r="AM245" i="3"/>
  <c r="AP261" i="3"/>
  <c r="AH258" i="3"/>
  <c r="AG256" i="3"/>
  <c r="AQ254" i="3"/>
  <c r="P253" i="3"/>
  <c r="AH251" i="3"/>
  <c r="G250" i="3"/>
  <c r="AB247" i="3"/>
  <c r="AL245" i="3"/>
  <c r="K244" i="3"/>
  <c r="M262" i="3"/>
  <c r="AG258" i="3"/>
  <c r="AF256" i="3"/>
  <c r="M255" i="3"/>
  <c r="W253" i="3"/>
  <c r="AO251" i="3"/>
  <c r="N250" i="3"/>
  <c r="AR255" i="3"/>
  <c r="AR248" i="3"/>
  <c r="AG245" i="3"/>
  <c r="W243" i="3"/>
  <c r="AO241" i="3"/>
  <c r="N240" i="3"/>
  <c r="X238" i="3"/>
  <c r="AP236" i="3"/>
  <c r="O235" i="3"/>
  <c r="AQ255" i="3"/>
  <c r="T248" i="3"/>
  <c r="U245" i="3"/>
  <c r="N243" i="3"/>
  <c r="X241" i="3"/>
  <c r="AP239" i="3"/>
  <c r="O238" i="3"/>
  <c r="AG236" i="3"/>
  <c r="AQ234" i="3"/>
  <c r="AE258" i="3"/>
  <c r="T250" i="3"/>
  <c r="T245" i="3"/>
  <c r="U243" i="3"/>
  <c r="AE241" i="3"/>
  <c r="L240" i="3"/>
  <c r="V238" i="3"/>
  <c r="AF236" i="3"/>
  <c r="M235" i="3"/>
  <c r="AI255" i="3"/>
  <c r="M248" i="3"/>
  <c r="H245" i="3"/>
  <c r="L243" i="3"/>
  <c r="V241" i="3"/>
  <c r="AF239" i="3"/>
  <c r="M238" i="3"/>
  <c r="W236" i="3"/>
  <c r="AO234" i="3"/>
  <c r="S258" i="3"/>
  <c r="H251" i="3"/>
  <c r="P246" i="3"/>
  <c r="J244" i="3"/>
  <c r="P242" i="3"/>
  <c r="AH240" i="3"/>
  <c r="G239" i="3"/>
  <c r="Y237" i="3"/>
  <c r="AI235" i="3"/>
  <c r="AK257" i="3"/>
  <c r="G251" i="3"/>
  <c r="AA245" i="3"/>
  <c r="Z243" i="3"/>
  <c r="AR241" i="3"/>
  <c r="Q240" i="3"/>
  <c r="AA238" i="3"/>
  <c r="AS236" i="3"/>
  <c r="R235" i="3"/>
  <c r="T255" i="3"/>
  <c r="AB248" i="3"/>
  <c r="AN244" i="3"/>
  <c r="I243" i="3"/>
  <c r="S241" i="3"/>
  <c r="AK239" i="3"/>
  <c r="J238" i="3"/>
  <c r="AB236" i="3"/>
  <c r="AH261" i="3"/>
  <c r="AN234" i="3"/>
  <c r="AL253" i="3"/>
  <c r="AL234" i="3"/>
  <c r="N234" i="3"/>
  <c r="V237" i="3"/>
  <c r="AI245" i="3"/>
  <c r="Q70" i="3"/>
  <c r="Q161" i="3"/>
  <c r="Q159" i="3"/>
  <c r="Q208" i="3"/>
  <c r="Q186" i="3"/>
  <c r="Q249" i="3"/>
  <c r="Q278" i="3"/>
  <c r="F209" i="3"/>
  <c r="AH70" i="3"/>
  <c r="AH161" i="3"/>
  <c r="AH159" i="3"/>
  <c r="AH186" i="3"/>
  <c r="AH208" i="3"/>
  <c r="AH249" i="3"/>
  <c r="AH278" i="3"/>
  <c r="K70" i="3"/>
  <c r="K159" i="3"/>
  <c r="K161" i="3"/>
  <c r="K186" i="3"/>
  <c r="K208" i="3"/>
  <c r="K249" i="3"/>
  <c r="K278" i="3"/>
  <c r="F250" i="3"/>
  <c r="AG70" i="3"/>
  <c r="AG161" i="3"/>
  <c r="AG159" i="3"/>
  <c r="AG208" i="3"/>
  <c r="AG186" i="3"/>
  <c r="AG249" i="3"/>
  <c r="AG278" i="3"/>
  <c r="F182" i="3"/>
  <c r="P70" i="3"/>
  <c r="P161" i="3"/>
  <c r="P159" i="3"/>
  <c r="P186" i="3"/>
  <c r="P208" i="3"/>
  <c r="P249" i="3"/>
  <c r="P278" i="3"/>
  <c r="Q277" i="3"/>
  <c r="W277" i="3"/>
  <c r="T277" i="3"/>
  <c r="AJ275" i="3"/>
  <c r="I274" i="3"/>
  <c r="S272" i="3"/>
  <c r="AK270" i="3"/>
  <c r="J269" i="3"/>
  <c r="AB267" i="3"/>
  <c r="AL265" i="3"/>
  <c r="AD277" i="3"/>
  <c r="R277" i="3"/>
  <c r="Z277" i="3"/>
  <c r="AF275" i="3"/>
  <c r="M274" i="3"/>
  <c r="W272" i="3"/>
  <c r="AO270" i="3"/>
  <c r="N269" i="3"/>
  <c r="X267" i="3"/>
  <c r="AP265" i="3"/>
  <c r="AB276" i="3"/>
  <c r="G274" i="3"/>
  <c r="AO271" i="3"/>
  <c r="AM269" i="3"/>
  <c r="AI267" i="3"/>
  <c r="AG265" i="3"/>
  <c r="AE263" i="3"/>
  <c r="P277" i="3"/>
  <c r="AA274" i="3"/>
  <c r="N272" i="3"/>
  <c r="K270" i="3"/>
  <c r="AS267" i="3"/>
  <c r="AF265" i="3"/>
  <c r="AD263" i="3"/>
  <c r="AN261" i="3"/>
  <c r="U260" i="3"/>
  <c r="AG275" i="3"/>
  <c r="T273" i="3"/>
  <c r="Q271" i="3"/>
  <c r="AN268" i="3"/>
  <c r="AJ266" i="3"/>
  <c r="AH264" i="3"/>
  <c r="M263" i="3"/>
  <c r="W261" i="3"/>
  <c r="AO259" i="3"/>
  <c r="N258" i="3"/>
  <c r="AP276" i="3"/>
  <c r="N274" i="3"/>
  <c r="L272" i="3"/>
  <c r="AS269" i="3"/>
  <c r="AE267" i="3"/>
  <c r="S265" i="3"/>
  <c r="AJ263" i="3"/>
  <c r="I262" i="3"/>
  <c r="S260" i="3"/>
  <c r="G277" i="3"/>
  <c r="AH274" i="3"/>
  <c r="AF272" i="3"/>
  <c r="R270" i="3"/>
  <c r="P268" i="3"/>
  <c r="L266" i="3"/>
  <c r="N264" i="3"/>
  <c r="X262" i="3"/>
  <c r="AP260" i="3"/>
  <c r="O259" i="3"/>
  <c r="P276" i="3"/>
  <c r="K274" i="3"/>
  <c r="AS271" i="3"/>
  <c r="AF269" i="3"/>
  <c r="R267" i="3"/>
  <c r="P265" i="3"/>
  <c r="R263" i="3"/>
  <c r="AJ261" i="3"/>
  <c r="I260" i="3"/>
  <c r="AL275" i="3"/>
  <c r="Y273" i="3"/>
  <c r="V271" i="3"/>
  <c r="I269" i="3"/>
  <c r="AP266" i="3"/>
  <c r="AC264" i="3"/>
  <c r="AL262" i="3"/>
  <c r="K261" i="3"/>
  <c r="AI273" i="3"/>
  <c r="T259" i="3"/>
  <c r="Q257" i="3"/>
  <c r="AH255" i="3"/>
  <c r="G254" i="3"/>
  <c r="Y252" i="3"/>
  <c r="AI250" i="3"/>
  <c r="K248" i="3"/>
  <c r="AC246" i="3"/>
  <c r="AM244" i="3"/>
  <c r="X273" i="3"/>
  <c r="AI259" i="3"/>
  <c r="Y257" i="3"/>
  <c r="AO255" i="3"/>
  <c r="N254" i="3"/>
  <c r="X252" i="3"/>
  <c r="AP250" i="3"/>
  <c r="R248" i="3"/>
  <c r="AJ246" i="3"/>
  <c r="AN269" i="3"/>
  <c r="Z258" i="3"/>
  <c r="AI256" i="3"/>
  <c r="H255" i="3"/>
  <c r="Z253" i="3"/>
  <c r="AR251" i="3"/>
  <c r="Q250" i="3"/>
  <c r="AD247" i="3"/>
  <c r="AC262" i="3"/>
  <c r="Y258" i="3"/>
  <c r="Z256" i="3"/>
  <c r="AR254" i="3"/>
  <c r="Q253" i="3"/>
  <c r="AA251" i="3"/>
  <c r="AN248" i="3"/>
  <c r="U247" i="3"/>
  <c r="J271" i="3"/>
  <c r="J261" i="3"/>
  <c r="X258" i="3"/>
  <c r="Y256" i="3"/>
  <c r="AI254" i="3"/>
  <c r="H253" i="3"/>
  <c r="Z251" i="3"/>
  <c r="AM248" i="3"/>
  <c r="T247" i="3"/>
  <c r="AD245" i="3"/>
  <c r="AN243" i="3"/>
  <c r="AO261" i="3"/>
  <c r="W258" i="3"/>
  <c r="X256" i="3"/>
  <c r="AP254" i="3"/>
  <c r="O253" i="3"/>
  <c r="AG251" i="3"/>
  <c r="AS273" i="3"/>
  <c r="L255" i="3"/>
  <c r="U248" i="3"/>
  <c r="W245" i="3"/>
  <c r="O243" i="3"/>
  <c r="AG241" i="3"/>
  <c r="AQ239" i="3"/>
  <c r="P238" i="3"/>
  <c r="AH236" i="3"/>
  <c r="G235" i="3"/>
  <c r="AN274" i="3"/>
  <c r="K255" i="3"/>
  <c r="AA247" i="3"/>
  <c r="K245" i="3"/>
  <c r="AQ242" i="3"/>
  <c r="P241" i="3"/>
  <c r="AH239" i="3"/>
  <c r="G238" i="3"/>
  <c r="Y236" i="3"/>
  <c r="AI234" i="3"/>
  <c r="J257" i="3"/>
  <c r="AK248" i="3"/>
  <c r="I245" i="3"/>
  <c r="M243" i="3"/>
  <c r="W241" i="3"/>
  <c r="AO239" i="3"/>
  <c r="N238" i="3"/>
  <c r="X236" i="3"/>
  <c r="AP234" i="3"/>
  <c r="Y254" i="3"/>
  <c r="AQ247" i="3"/>
  <c r="AR244" i="3"/>
  <c r="AO242" i="3"/>
  <c r="N241" i="3"/>
  <c r="X239" i="3"/>
  <c r="AP237" i="3"/>
  <c r="O236" i="3"/>
  <c r="AG234" i="3"/>
  <c r="AL257" i="3"/>
  <c r="AR250" i="3"/>
  <c r="AN245" i="3"/>
  <c r="AJ243" i="3"/>
  <c r="H242" i="3"/>
  <c r="Z240" i="3"/>
  <c r="AR238" i="3"/>
  <c r="Q237" i="3"/>
  <c r="AA235" i="3"/>
  <c r="W256" i="3"/>
  <c r="AK250" i="3"/>
  <c r="P245" i="3"/>
  <c r="R243" i="3"/>
  <c r="AJ241" i="3"/>
  <c r="I240" i="3"/>
  <c r="S238" i="3"/>
  <c r="AK236" i="3"/>
  <c r="J235" i="3"/>
  <c r="S266" i="3"/>
  <c r="P254" i="3"/>
  <c r="AI247" i="3"/>
  <c r="AC244" i="3"/>
  <c r="AL242" i="3"/>
  <c r="K241" i="3"/>
  <c r="AC239" i="3"/>
  <c r="AM237" i="3"/>
  <c r="T236" i="3"/>
  <c r="AB257" i="3"/>
  <c r="U234" i="3"/>
  <c r="H243" i="3"/>
  <c r="P234" i="3"/>
  <c r="AP258" i="3"/>
  <c r="AQ236" i="3"/>
  <c r="AB244" i="3"/>
  <c r="K246" i="3"/>
  <c r="X234" i="3"/>
  <c r="AI209" i="3"/>
  <c r="K207" i="3"/>
  <c r="AC205" i="3"/>
  <c r="R209" i="3"/>
  <c r="AO209" i="3"/>
  <c r="Q207" i="3"/>
  <c r="AA205" i="3"/>
  <c r="AN209" i="3"/>
  <c r="O209" i="3"/>
  <c r="X235" i="3"/>
  <c r="Z206" i="3"/>
  <c r="W204" i="3"/>
  <c r="AO202" i="3"/>
  <c r="N201" i="3"/>
  <c r="X199" i="3"/>
  <c r="AP197" i="3"/>
  <c r="O196" i="3"/>
  <c r="AG194" i="3"/>
  <c r="AQ192" i="3"/>
  <c r="P191" i="3"/>
  <c r="AH189" i="3"/>
  <c r="G188" i="3"/>
  <c r="AB185" i="3"/>
  <c r="AL183" i="3"/>
  <c r="K182" i="3"/>
  <c r="AC180" i="3"/>
  <c r="AM178" i="3"/>
  <c r="T177" i="3"/>
  <c r="AJ207" i="3"/>
  <c r="Z205" i="3"/>
  <c r="AI203" i="3"/>
  <c r="H202" i="3"/>
  <c r="Z200" i="3"/>
  <c r="AR198" i="3"/>
  <c r="Q197" i="3"/>
  <c r="AA195" i="3"/>
  <c r="AS193" i="3"/>
  <c r="R192" i="3"/>
  <c r="AJ190" i="3"/>
  <c r="I189" i="3"/>
  <c r="S187" i="3"/>
  <c r="AF184" i="3"/>
  <c r="M183" i="3"/>
  <c r="W181" i="3"/>
  <c r="AO179" i="3"/>
  <c r="L206" i="3"/>
  <c r="U204" i="3"/>
  <c r="AE202" i="3"/>
  <c r="L201" i="3"/>
  <c r="V199" i="3"/>
  <c r="AF197" i="3"/>
  <c r="M196" i="3"/>
  <c r="W194" i="3"/>
  <c r="AO192" i="3"/>
  <c r="N191" i="3"/>
  <c r="X189" i="3"/>
  <c r="AP187" i="3"/>
  <c r="R185" i="3"/>
  <c r="AJ183" i="3"/>
  <c r="AS207" i="3"/>
  <c r="X205" i="3"/>
  <c r="AO203" i="3"/>
  <c r="N202" i="3"/>
  <c r="X200" i="3"/>
  <c r="AP198" i="3"/>
  <c r="O197" i="3"/>
  <c r="AG195" i="3"/>
  <c r="AQ193" i="3"/>
  <c r="P192" i="3"/>
  <c r="AH190" i="3"/>
  <c r="G189" i="3"/>
  <c r="Y187" i="3"/>
  <c r="AL184" i="3"/>
  <c r="K183" i="3"/>
  <c r="AC181" i="3"/>
  <c r="AM179" i="3"/>
  <c r="T178" i="3"/>
  <c r="AE206" i="3"/>
  <c r="AI204" i="3"/>
  <c r="H203" i="3"/>
  <c r="Z201" i="3"/>
  <c r="AR199" i="3"/>
  <c r="Q198" i="3"/>
  <c r="AA196" i="3"/>
  <c r="AS194" i="3"/>
  <c r="R193" i="3"/>
  <c r="AJ191" i="3"/>
  <c r="I190" i="3"/>
  <c r="S188" i="3"/>
  <c r="AF185" i="3"/>
  <c r="M184" i="3"/>
  <c r="W182" i="3"/>
  <c r="AO180" i="3"/>
  <c r="N179" i="3"/>
  <c r="X177" i="3"/>
  <c r="AC207" i="3"/>
  <c r="V205" i="3"/>
  <c r="AE203" i="3"/>
  <c r="L202" i="3"/>
  <c r="R206" i="3"/>
  <c r="Y204" i="3"/>
  <c r="AI202" i="3"/>
  <c r="H201" i="3"/>
  <c r="Z199" i="3"/>
  <c r="AR197" i="3"/>
  <c r="Q196" i="3"/>
  <c r="AA194" i="3"/>
  <c r="AS192" i="3"/>
  <c r="R191" i="3"/>
  <c r="AJ189" i="3"/>
  <c r="I188" i="3"/>
  <c r="N185" i="3"/>
  <c r="X183" i="3"/>
  <c r="AP181" i="3"/>
  <c r="O180" i="3"/>
  <c r="AG178" i="3"/>
  <c r="V198" i="3"/>
  <c r="AD192" i="3"/>
  <c r="Z184" i="3"/>
  <c r="AD178" i="3"/>
  <c r="X204" i="3"/>
  <c r="J196" i="3"/>
  <c r="S189" i="3"/>
  <c r="AR182" i="3"/>
  <c r="AS178" i="3"/>
  <c r="V200" i="3"/>
  <c r="AH194" i="3"/>
  <c r="H188" i="3"/>
  <c r="AD181" i="3"/>
  <c r="J178" i="3"/>
  <c r="H204" i="3"/>
  <c r="K197" i="3"/>
  <c r="H190" i="3"/>
  <c r="AM183" i="3"/>
  <c r="H179" i="3"/>
  <c r="U203" i="3"/>
  <c r="AC195" i="3"/>
  <c r="AF188" i="3"/>
  <c r="N182" i="3"/>
  <c r="Z177" i="3"/>
  <c r="I199" i="3"/>
  <c r="L192" i="3"/>
  <c r="G185" i="3"/>
  <c r="K180" i="3"/>
  <c r="AE201" i="3"/>
  <c r="I193" i="3"/>
  <c r="AH184" i="3"/>
  <c r="AQ179" i="3"/>
  <c r="J202" i="3"/>
  <c r="AR194" i="3"/>
  <c r="R188" i="3"/>
  <c r="AA180" i="3"/>
  <c r="AR162" i="3"/>
  <c r="U162" i="3"/>
  <c r="AP162" i="3"/>
  <c r="AB162" i="3"/>
  <c r="AP243" i="3"/>
  <c r="M245" i="3"/>
  <c r="AA209" i="3"/>
  <c r="AN206" i="3"/>
  <c r="U205" i="3"/>
  <c r="J209" i="3"/>
  <c r="AG209" i="3"/>
  <c r="I207" i="3"/>
  <c r="AF209" i="3"/>
  <c r="G209" i="3"/>
  <c r="O206" i="3"/>
  <c r="O204" i="3"/>
  <c r="AG202" i="3"/>
  <c r="AQ200" i="3"/>
  <c r="P199" i="3"/>
  <c r="AH197" i="3"/>
  <c r="G196" i="3"/>
  <c r="Y194" i="3"/>
  <c r="AI192" i="3"/>
  <c r="H191" i="3"/>
  <c r="Z189" i="3"/>
  <c r="AR187" i="3"/>
  <c r="T185" i="3"/>
  <c r="AD183" i="3"/>
  <c r="AN181" i="3"/>
  <c r="U180" i="3"/>
  <c r="AE178" i="3"/>
  <c r="L177" i="3"/>
  <c r="V207" i="3"/>
  <c r="Q205" i="3"/>
  <c r="AA203" i="3"/>
  <c r="AS201" i="3"/>
  <c r="R200" i="3"/>
  <c r="AJ198" i="3"/>
  <c r="I197" i="3"/>
  <c r="S195" i="3"/>
  <c r="AK193" i="3"/>
  <c r="J192" i="3"/>
  <c r="AB190" i="3"/>
  <c r="AL188" i="3"/>
  <c r="K187" i="3"/>
  <c r="X184" i="3"/>
  <c r="AP182" i="3"/>
  <c r="O181" i="3"/>
  <c r="AG179" i="3"/>
  <c r="T209" i="3"/>
  <c r="AJ205" i="3"/>
  <c r="M204" i="3"/>
  <c r="W202" i="3"/>
  <c r="AO200" i="3"/>
  <c r="N199" i="3"/>
  <c r="X197" i="3"/>
  <c r="AP195" i="3"/>
  <c r="O194" i="3"/>
  <c r="AG192" i="3"/>
  <c r="AQ190" i="3"/>
  <c r="P189" i="3"/>
  <c r="AH187" i="3"/>
  <c r="J185" i="3"/>
  <c r="AB183" i="3"/>
  <c r="AE207" i="3"/>
  <c r="O205" i="3"/>
  <c r="AG203" i="3"/>
  <c r="AQ201" i="3"/>
  <c r="P200" i="3"/>
  <c r="AH198" i="3"/>
  <c r="G197" i="3"/>
  <c r="Y195" i="3"/>
  <c r="AI193" i="3"/>
  <c r="H192" i="3"/>
  <c r="Z190" i="3"/>
  <c r="AR188" i="3"/>
  <c r="Q187" i="3"/>
  <c r="AD184" i="3"/>
  <c r="AN182" i="3"/>
  <c r="U181" i="3"/>
  <c r="AE179" i="3"/>
  <c r="L178" i="3"/>
  <c r="T206" i="3"/>
  <c r="AA204" i="3"/>
  <c r="AS202" i="3"/>
  <c r="R201" i="3"/>
  <c r="AJ199" i="3"/>
  <c r="I198" i="3"/>
  <c r="S196" i="3"/>
  <c r="AK194" i="3"/>
  <c r="J193" i="3"/>
  <c r="AB191" i="3"/>
  <c r="AL189" i="3"/>
  <c r="K188" i="3"/>
  <c r="X185" i="3"/>
  <c r="AP183" i="3"/>
  <c r="O182" i="3"/>
  <c r="AG180" i="3"/>
  <c r="AQ178" i="3"/>
  <c r="P177" i="3"/>
  <c r="O207" i="3"/>
  <c r="M205" i="3"/>
  <c r="W203" i="3"/>
  <c r="AO201" i="3"/>
  <c r="G206" i="3"/>
  <c r="Q204" i="3"/>
  <c r="AA202" i="3"/>
  <c r="AS200" i="3"/>
  <c r="R199" i="3"/>
  <c r="AJ197" i="3"/>
  <c r="I196" i="3"/>
  <c r="S194" i="3"/>
  <c r="AK192" i="3"/>
  <c r="J191" i="3"/>
  <c r="AB189" i="3"/>
  <c r="AL187" i="3"/>
  <c r="AQ184" i="3"/>
  <c r="P183" i="3"/>
  <c r="AH181" i="3"/>
  <c r="G180" i="3"/>
  <c r="Y178" i="3"/>
  <c r="M207" i="3"/>
  <c r="U197" i="3"/>
  <c r="AA191" i="3"/>
  <c r="Q183" i="3"/>
  <c r="N178" i="3"/>
  <c r="AS203" i="3"/>
  <c r="AM195" i="3"/>
  <c r="AP188" i="3"/>
  <c r="V182" i="3"/>
  <c r="AC178" i="3"/>
  <c r="S199" i="3"/>
  <c r="Y193" i="3"/>
  <c r="AK187" i="3"/>
  <c r="I181" i="3"/>
  <c r="AS177" i="3"/>
  <c r="AC203" i="3"/>
  <c r="AH196" i="3"/>
  <c r="AQ189" i="3"/>
  <c r="G183" i="3"/>
  <c r="AN178" i="3"/>
  <c r="AH202" i="3"/>
  <c r="Z194" i="3"/>
  <c r="AC187" i="3"/>
  <c r="Y181" i="3"/>
  <c r="J177" i="3"/>
  <c r="AF198" i="3"/>
  <c r="AO191" i="3"/>
  <c r="AJ184" i="3"/>
  <c r="AS179" i="3"/>
  <c r="AI199" i="3"/>
  <c r="AL192" i="3"/>
  <c r="Y183" i="3"/>
  <c r="U179" i="3"/>
  <c r="W201" i="3"/>
  <c r="L194" i="3"/>
  <c r="O187" i="3"/>
  <c r="AN179" i="3"/>
  <c r="AH162" i="3"/>
  <c r="K162" i="3"/>
  <c r="AE162" i="3"/>
  <c r="R162" i="3"/>
  <c r="AC162" i="3"/>
  <c r="AL244" i="3"/>
  <c r="J241" i="3"/>
  <c r="H266" i="3"/>
  <c r="Q244" i="3"/>
  <c r="S209" i="3"/>
  <c r="AF206" i="3"/>
  <c r="G240" i="3"/>
  <c r="AP207" i="3"/>
  <c r="Y209" i="3"/>
  <c r="AL206" i="3"/>
  <c r="X209" i="3"/>
  <c r="V248" i="3"/>
  <c r="AM205" i="3"/>
  <c r="G204" i="3"/>
  <c r="Y202" i="3"/>
  <c r="AI200" i="3"/>
  <c r="H199" i="3"/>
  <c r="Z197" i="3"/>
  <c r="AR195" i="3"/>
  <c r="Q194" i="3"/>
  <c r="AA192" i="3"/>
  <c r="AS190" i="3"/>
  <c r="R189" i="3"/>
  <c r="AJ187" i="3"/>
  <c r="L185" i="3"/>
  <c r="V183" i="3"/>
  <c r="AF181" i="3"/>
  <c r="M180" i="3"/>
  <c r="W178" i="3"/>
  <c r="H207" i="3"/>
  <c r="I205" i="3"/>
  <c r="S203" i="3"/>
  <c r="AK201" i="3"/>
  <c r="J200" i="3"/>
  <c r="AB198" i="3"/>
  <c r="AL196" i="3"/>
  <c r="K195" i="3"/>
  <c r="AC193" i="3"/>
  <c r="AM191" i="3"/>
  <c r="T190" i="3"/>
  <c r="AD188" i="3"/>
  <c r="AQ185" i="3"/>
  <c r="P184" i="3"/>
  <c r="AH182" i="3"/>
  <c r="G181" i="3"/>
  <c r="Y179" i="3"/>
  <c r="AF207" i="3"/>
  <c r="Y205" i="3"/>
  <c r="AP203" i="3"/>
  <c r="O202" i="3"/>
  <c r="AG200" i="3"/>
  <c r="AQ198" i="3"/>
  <c r="P197" i="3"/>
  <c r="AH195" i="3"/>
  <c r="G194" i="3"/>
  <c r="Y192" i="3"/>
  <c r="AI190" i="3"/>
  <c r="H189" i="3"/>
  <c r="Z187" i="3"/>
  <c r="AM184" i="3"/>
  <c r="T183" i="3"/>
  <c r="T207" i="3"/>
  <c r="G205" i="3"/>
  <c r="Y203" i="3"/>
  <c r="AI201" i="3"/>
  <c r="H200" i="3"/>
  <c r="Z198" i="3"/>
  <c r="AR196" i="3"/>
  <c r="Q195" i="3"/>
  <c r="AA193" i="3"/>
  <c r="AS191" i="3"/>
  <c r="R190" i="3"/>
  <c r="AJ188" i="3"/>
  <c r="I187" i="3"/>
  <c r="V184" i="3"/>
  <c r="AF182" i="3"/>
  <c r="M181" i="3"/>
  <c r="W179" i="3"/>
  <c r="AO177" i="3"/>
  <c r="AR209" i="3"/>
  <c r="J206" i="3"/>
  <c r="S204" i="3"/>
  <c r="AK202" i="3"/>
  <c r="J201" i="3"/>
  <c r="AB199" i="3"/>
  <c r="AL197" i="3"/>
  <c r="K196" i="3"/>
  <c r="AC194" i="3"/>
  <c r="AM192" i="3"/>
  <c r="T191" i="3"/>
  <c r="AD189" i="3"/>
  <c r="AN187" i="3"/>
  <c r="P185" i="3"/>
  <c r="AH183" i="3"/>
  <c r="G182" i="3"/>
  <c r="Y180" i="3"/>
  <c r="AI178" i="3"/>
  <c r="H177" i="3"/>
  <c r="AO206" i="3"/>
  <c r="AP204" i="3"/>
  <c r="O203" i="3"/>
  <c r="AG201" i="3"/>
  <c r="AJ209" i="3"/>
  <c r="AO205" i="3"/>
  <c r="I204" i="3"/>
  <c r="S202" i="3"/>
  <c r="AK200" i="3"/>
  <c r="J199" i="3"/>
  <c r="AB197" i="3"/>
  <c r="AL195" i="3"/>
  <c r="K194" i="3"/>
  <c r="AC192" i="3"/>
  <c r="AM190" i="3"/>
  <c r="T189" i="3"/>
  <c r="AD187" i="3"/>
  <c r="AI184" i="3"/>
  <c r="H183" i="3"/>
  <c r="Z181" i="3"/>
  <c r="AR179" i="3"/>
  <c r="Q178" i="3"/>
  <c r="Q206" i="3"/>
  <c r="P196" i="3"/>
  <c r="V190" i="3"/>
  <c r="Y182" i="3"/>
  <c r="AH177" i="3"/>
  <c r="G201" i="3"/>
  <c r="G195" i="3"/>
  <c r="J188" i="3"/>
  <c r="AG181" i="3"/>
  <c r="M178" i="3"/>
  <c r="AN162" i="3"/>
  <c r="N198" i="3"/>
  <c r="V192" i="3"/>
  <c r="U185" i="3"/>
  <c r="AN180" i="3"/>
  <c r="AC177" i="3"/>
  <c r="AP202" i="3"/>
  <c r="AE195" i="3"/>
  <c r="K189" i="3"/>
  <c r="AL182" i="3"/>
  <c r="X178" i="3"/>
  <c r="N200" i="3"/>
  <c r="Q193" i="3"/>
  <c r="AS185" i="3"/>
  <c r="AI180" i="3"/>
  <c r="AI197" i="3"/>
  <c r="I191" i="3"/>
  <c r="AE183" i="3"/>
  <c r="X179" i="3"/>
  <c r="AD198" i="3"/>
  <c r="AI191" i="3"/>
  <c r="AD182" i="3"/>
  <c r="AH178" i="3"/>
  <c r="AR200" i="3"/>
  <c r="AM193" i="3"/>
  <c r="AE185" i="3"/>
  <c r="S179" i="3"/>
  <c r="W162" i="3"/>
  <c r="T162" i="3"/>
  <c r="G162" i="3"/>
  <c r="AK162" i="3"/>
  <c r="W240" i="3"/>
  <c r="W260" i="3"/>
  <c r="AG243" i="3"/>
  <c r="AB239" i="3"/>
  <c r="X243" i="3"/>
  <c r="K209" i="3"/>
  <c r="X206" i="3"/>
  <c r="AH207" i="3"/>
  <c r="Q209" i="3"/>
  <c r="AD206" i="3"/>
  <c r="P209" i="3"/>
  <c r="AO238" i="3"/>
  <c r="AB209" i="3"/>
  <c r="AB205" i="3"/>
  <c r="AR203" i="3"/>
  <c r="Q202" i="3"/>
  <c r="AA200" i="3"/>
  <c r="AS198" i="3"/>
  <c r="R197" i="3"/>
  <c r="AJ195" i="3"/>
  <c r="I194" i="3"/>
  <c r="S192" i="3"/>
  <c r="AK190" i="3"/>
  <c r="J189" i="3"/>
  <c r="AB187" i="3"/>
  <c r="AO184" i="3"/>
  <c r="N183" i="3"/>
  <c r="X181" i="3"/>
  <c r="AP179" i="3"/>
  <c r="O178" i="3"/>
  <c r="AS206" i="3"/>
  <c r="AL204" i="3"/>
  <c r="K203" i="3"/>
  <c r="AC201" i="3"/>
  <c r="AM199" i="3"/>
  <c r="T198" i="3"/>
  <c r="AD196" i="3"/>
  <c r="AN194" i="3"/>
  <c r="U193" i="3"/>
  <c r="AE191" i="3"/>
  <c r="L190" i="3"/>
  <c r="V188" i="3"/>
  <c r="AI185" i="3"/>
  <c r="H184" i="3"/>
  <c r="Z182" i="3"/>
  <c r="AR180" i="3"/>
  <c r="Q179" i="3"/>
  <c r="U207" i="3"/>
  <c r="P205" i="3"/>
  <c r="AH203" i="3"/>
  <c r="G202" i="3"/>
  <c r="Y200" i="3"/>
  <c r="AI198" i="3"/>
  <c r="H197" i="3"/>
  <c r="Z195" i="3"/>
  <c r="AR193" i="3"/>
  <c r="Q192" i="3"/>
  <c r="AA190" i="3"/>
  <c r="AS188" i="3"/>
  <c r="R187" i="3"/>
  <c r="AE184" i="3"/>
  <c r="L183" i="3"/>
  <c r="AQ206" i="3"/>
  <c r="AR204" i="3"/>
  <c r="Q203" i="3"/>
  <c r="AA201" i="3"/>
  <c r="AS199" i="3"/>
  <c r="R198" i="3"/>
  <c r="AJ196" i="3"/>
  <c r="I195" i="3"/>
  <c r="S193" i="3"/>
  <c r="AK191" i="3"/>
  <c r="J190" i="3"/>
  <c r="AB188" i="3"/>
  <c r="AO185" i="3"/>
  <c r="N184" i="3"/>
  <c r="X182" i="3"/>
  <c r="AP180" i="3"/>
  <c r="O179" i="3"/>
  <c r="AG177" i="3"/>
  <c r="L209" i="3"/>
  <c r="AR205" i="3"/>
  <c r="K204" i="3"/>
  <c r="AC202" i="3"/>
  <c r="AM200" i="3"/>
  <c r="T199" i="3"/>
  <c r="AD197" i="3"/>
  <c r="AN195" i="3"/>
  <c r="U194" i="3"/>
  <c r="AE192" i="3"/>
  <c r="L191" i="3"/>
  <c r="V189" i="3"/>
  <c r="AF187" i="3"/>
  <c r="H185" i="3"/>
  <c r="Z183" i="3"/>
  <c r="AR181" i="3"/>
  <c r="Q180" i="3"/>
  <c r="AA178" i="3"/>
  <c r="AC206" i="3"/>
  <c r="AH204" i="3"/>
  <c r="G203" i="3"/>
  <c r="Y201" i="3"/>
  <c r="AM207" i="3"/>
  <c r="AE205" i="3"/>
  <c r="AL203" i="3"/>
  <c r="K202" i="3"/>
  <c r="AC200" i="3"/>
  <c r="AM198" i="3"/>
  <c r="T197" i="3"/>
  <c r="AD195" i="3"/>
  <c r="AN193" i="3"/>
  <c r="U192" i="3"/>
  <c r="AE190" i="3"/>
  <c r="L189" i="3"/>
  <c r="V187" i="3"/>
  <c r="AA184" i="3"/>
  <c r="AS182" i="3"/>
  <c r="R181" i="3"/>
  <c r="AJ179" i="3"/>
  <c r="I178" i="3"/>
  <c r="S205" i="3"/>
  <c r="AS195" i="3"/>
  <c r="U189" i="3"/>
  <c r="AI181" i="3"/>
  <c r="R177" i="3"/>
  <c r="AB200" i="3"/>
  <c r="AJ194" i="3"/>
  <c r="AM187" i="3"/>
  <c r="K181" i="3"/>
  <c r="AE177" i="3"/>
  <c r="AF162" i="3"/>
  <c r="AS197" i="3"/>
  <c r="S191" i="3"/>
  <c r="R184" i="3"/>
  <c r="S180" i="3"/>
  <c r="M177" i="3"/>
  <c r="T200" i="3"/>
  <c r="AB194" i="3"/>
  <c r="AH188" i="3"/>
  <c r="Q182" i="3"/>
  <c r="H178" i="3"/>
  <c r="AQ199" i="3"/>
  <c r="N192" i="3"/>
  <c r="M185" i="3"/>
  <c r="N180" i="3"/>
  <c r="M203" i="3"/>
  <c r="Z196" i="3"/>
  <c r="AF190" i="3"/>
  <c r="AG182" i="3"/>
  <c r="AK178" i="3"/>
  <c r="AC197" i="3"/>
  <c r="AD190" i="3"/>
  <c r="I182" i="3"/>
  <c r="R178" i="3"/>
  <c r="AG199" i="3"/>
  <c r="G193" i="3"/>
  <c r="AB184" i="3"/>
  <c r="AF178" i="3"/>
  <c r="AJ162" i="3"/>
  <c r="AS162" i="3"/>
  <c r="L162" i="3"/>
  <c r="J162" i="3"/>
  <c r="AR239" i="3"/>
  <c r="O256" i="3"/>
  <c r="O240" i="3"/>
  <c r="K236" i="3"/>
  <c r="AQ207" i="3"/>
  <c r="P206" i="3"/>
  <c r="Z207" i="3"/>
  <c r="I209" i="3"/>
  <c r="V206" i="3"/>
  <c r="H209" i="3"/>
  <c r="V234" i="3"/>
  <c r="AL209" i="3"/>
  <c r="AK207" i="3"/>
  <c r="R205" i="3"/>
  <c r="AJ203" i="3"/>
  <c r="I202" i="3"/>
  <c r="S200" i="3"/>
  <c r="AK198" i="3"/>
  <c r="J197" i="3"/>
  <c r="AB195" i="3"/>
  <c r="AL193" i="3"/>
  <c r="K192" i="3"/>
  <c r="AC190" i="3"/>
  <c r="AM188" i="3"/>
  <c r="T187" i="3"/>
  <c r="AG184" i="3"/>
  <c r="AQ182" i="3"/>
  <c r="P181" i="3"/>
  <c r="AH179" i="3"/>
  <c r="G178" i="3"/>
  <c r="AI206" i="3"/>
  <c r="AD204" i="3"/>
  <c r="AN202" i="3"/>
  <c r="U201" i="3"/>
  <c r="AE199" i="3"/>
  <c r="L198" i="3"/>
  <c r="V196" i="3"/>
  <c r="AF194" i="3"/>
  <c r="M193" i="3"/>
  <c r="W191" i="3"/>
  <c r="AO189" i="3"/>
  <c r="N188" i="3"/>
  <c r="AA185" i="3"/>
  <c r="AS183" i="3"/>
  <c r="R182" i="3"/>
  <c r="AJ180" i="3"/>
  <c r="I179" i="3"/>
  <c r="G207" i="3"/>
  <c r="H205" i="3"/>
  <c r="Z203" i="3"/>
  <c r="AR201" i="3"/>
  <c r="Q200" i="3"/>
  <c r="AA198" i="3"/>
  <c r="AS196" i="3"/>
  <c r="R195" i="3"/>
  <c r="AJ193" i="3"/>
  <c r="I192" i="3"/>
  <c r="S190" i="3"/>
  <c r="AK188" i="3"/>
  <c r="J187" i="3"/>
  <c r="W184" i="3"/>
  <c r="AG206" i="3"/>
  <c r="AJ204" i="3"/>
  <c r="I203" i="3"/>
  <c r="S201" i="3"/>
  <c r="AK199" i="3"/>
  <c r="J198" i="3"/>
  <c r="AB196" i="3"/>
  <c r="AL194" i="3"/>
  <c r="K193" i="3"/>
  <c r="AC191" i="3"/>
  <c r="AM189" i="3"/>
  <c r="T188" i="3"/>
  <c r="AG185" i="3"/>
  <c r="AQ183" i="3"/>
  <c r="P182" i="3"/>
  <c r="AH180" i="3"/>
  <c r="G179" i="3"/>
  <c r="Y177" i="3"/>
  <c r="AR207" i="3"/>
  <c r="AG205" i="3"/>
  <c r="AN203" i="3"/>
  <c r="U202" i="3"/>
  <c r="AE200" i="3"/>
  <c r="L199" i="3"/>
  <c r="V197" i="3"/>
  <c r="AF195" i="3"/>
  <c r="M194" i="3"/>
  <c r="W192" i="3"/>
  <c r="AO190" i="3"/>
  <c r="N189" i="3"/>
  <c r="X187" i="3"/>
  <c r="AS184" i="3"/>
  <c r="R183" i="3"/>
  <c r="AJ181" i="3"/>
  <c r="I180" i="3"/>
  <c r="S178" i="3"/>
  <c r="S206" i="3"/>
  <c r="Z204" i="3"/>
  <c r="AR202" i="3"/>
  <c r="Q201" i="3"/>
  <c r="AB207" i="3"/>
  <c r="T205" i="3"/>
  <c r="AD203" i="3"/>
  <c r="AN201" i="3"/>
  <c r="U200" i="3"/>
  <c r="AE198" i="3"/>
  <c r="L197" i="3"/>
  <c r="V195" i="3"/>
  <c r="AF193" i="3"/>
  <c r="M192" i="3"/>
  <c r="W190" i="3"/>
  <c r="AO188" i="3"/>
  <c r="N187" i="3"/>
  <c r="S184" i="3"/>
  <c r="AK182" i="3"/>
  <c r="J181" i="3"/>
  <c r="AB179" i="3"/>
  <c r="AL177" i="3"/>
  <c r="AF204" i="3"/>
  <c r="M195" i="3"/>
  <c r="P188" i="3"/>
  <c r="N181" i="3"/>
  <c r="Y199" i="3"/>
  <c r="AE193" i="3"/>
  <c r="G187" i="3"/>
  <c r="AQ180" i="3"/>
  <c r="O177" i="3"/>
  <c r="X162" i="3"/>
  <c r="M197" i="3"/>
  <c r="N190" i="3"/>
  <c r="AO183" i="3"/>
  <c r="AF179" i="3"/>
  <c r="Q199" i="3"/>
  <c r="W193" i="3"/>
  <c r="AE187" i="3"/>
  <c r="AA181" i="3"/>
  <c r="AQ177" i="3"/>
  <c r="AL162" i="3"/>
  <c r="K199" i="3"/>
  <c r="AQ191" i="3"/>
  <c r="AP184" i="3"/>
  <c r="AA179" i="3"/>
  <c r="Z202" i="3"/>
  <c r="W195" i="3"/>
  <c r="AI189" i="3"/>
  <c r="L182" i="3"/>
  <c r="U178" i="3"/>
  <c r="AL207" i="3"/>
  <c r="X196" i="3"/>
  <c r="AC189" i="3"/>
  <c r="AO181" i="3"/>
  <c r="AK177" i="3"/>
  <c r="X207" i="3"/>
  <c r="X198" i="3"/>
  <c r="AJ192" i="3"/>
  <c r="W183" i="3"/>
  <c r="P178" i="3"/>
  <c r="Z162" i="3"/>
  <c r="AI162" i="3"/>
  <c r="AH247" i="3"/>
  <c r="AA236" i="3"/>
  <c r="AE251" i="3"/>
  <c r="AJ239" i="3"/>
  <c r="AI207" i="3"/>
  <c r="H206" i="3"/>
  <c r="AP209" i="3"/>
  <c r="R207" i="3"/>
  <c r="AO207" i="3"/>
  <c r="N206" i="3"/>
  <c r="AS234" i="3"/>
  <c r="AM209" i="3"/>
  <c r="AD209" i="3"/>
  <c r="W207" i="3"/>
  <c r="J205" i="3"/>
  <c r="AB203" i="3"/>
  <c r="AL201" i="3"/>
  <c r="K200" i="3"/>
  <c r="AC198" i="3"/>
  <c r="AM196" i="3"/>
  <c r="T195" i="3"/>
  <c r="AD193" i="3"/>
  <c r="AN191" i="3"/>
  <c r="U190" i="3"/>
  <c r="AE188" i="3"/>
  <c r="L187" i="3"/>
  <c r="Y184" i="3"/>
  <c r="AI182" i="3"/>
  <c r="H181" i="3"/>
  <c r="Z179" i="3"/>
  <c r="AR177" i="3"/>
  <c r="Y206" i="3"/>
  <c r="V204" i="3"/>
  <c r="AF202" i="3"/>
  <c r="M201" i="3"/>
  <c r="W199" i="3"/>
  <c r="AO197" i="3"/>
  <c r="N196" i="3"/>
  <c r="X194" i="3"/>
  <c r="AP192" i="3"/>
  <c r="O191" i="3"/>
  <c r="AG189" i="3"/>
  <c r="AQ187" i="3"/>
  <c r="S185" i="3"/>
  <c r="AK183" i="3"/>
  <c r="J182" i="3"/>
  <c r="AB180" i="3"/>
  <c r="AR206" i="3"/>
  <c r="AS204" i="3"/>
  <c r="R203" i="3"/>
  <c r="AJ201" i="3"/>
  <c r="I200" i="3"/>
  <c r="S198" i="3"/>
  <c r="AK196" i="3"/>
  <c r="J195" i="3"/>
  <c r="AB193" i="3"/>
  <c r="AL191" i="3"/>
  <c r="K190" i="3"/>
  <c r="AC188" i="3"/>
  <c r="AP185" i="3"/>
  <c r="O184" i="3"/>
  <c r="U206" i="3"/>
  <c r="AB204" i="3"/>
  <c r="AL202" i="3"/>
  <c r="K201" i="3"/>
  <c r="AC199" i="3"/>
  <c r="AM197" i="3"/>
  <c r="T196" i="3"/>
  <c r="AD194" i="3"/>
  <c r="AN192" i="3"/>
  <c r="U191" i="3"/>
  <c r="AE189" i="3"/>
  <c r="L188" i="3"/>
  <c r="Y185" i="3"/>
  <c r="AI183" i="3"/>
  <c r="H182" i="3"/>
  <c r="Z180" i="3"/>
  <c r="AR178" i="3"/>
  <c r="Q177" i="3"/>
  <c r="AD207" i="3"/>
  <c r="W205" i="3"/>
  <c r="AF203" i="3"/>
  <c r="M202" i="3"/>
  <c r="W200" i="3"/>
  <c r="AO198" i="3"/>
  <c r="N197" i="3"/>
  <c r="X195" i="3"/>
  <c r="AP193" i="3"/>
  <c r="O192" i="3"/>
  <c r="AG190" i="3"/>
  <c r="AQ188" i="3"/>
  <c r="P187" i="3"/>
  <c r="AK184" i="3"/>
  <c r="J183" i="3"/>
  <c r="AB181" i="3"/>
  <c r="AL179" i="3"/>
  <c r="K178" i="3"/>
  <c r="I206" i="3"/>
  <c r="R204" i="3"/>
  <c r="AJ202" i="3"/>
  <c r="I201" i="3"/>
  <c r="N207" i="3"/>
  <c r="L205" i="3"/>
  <c r="V203" i="3"/>
  <c r="AF201" i="3"/>
  <c r="M200" i="3"/>
  <c r="W198" i="3"/>
  <c r="AO196" i="3"/>
  <c r="N195" i="3"/>
  <c r="X193" i="3"/>
  <c r="AP191" i="3"/>
  <c r="O190" i="3"/>
  <c r="AG188" i="3"/>
  <c r="AL185" i="3"/>
  <c r="K184" i="3"/>
  <c r="AC182" i="3"/>
  <c r="AM180" i="3"/>
  <c r="T179" i="3"/>
  <c r="AD177" i="3"/>
  <c r="O201" i="3"/>
  <c r="AP194" i="3"/>
  <c r="AS187" i="3"/>
  <c r="X180" i="3"/>
  <c r="P198" i="3"/>
  <c r="AB192" i="3"/>
  <c r="W185" i="3"/>
  <c r="V180" i="3"/>
  <c r="P162" i="3"/>
  <c r="AN196" i="3"/>
  <c r="AS189" i="3"/>
  <c r="I183" i="3"/>
  <c r="K179" i="3"/>
  <c r="AN198" i="3"/>
  <c r="T192" i="3"/>
  <c r="O185" i="3"/>
  <c r="AL180" i="3"/>
  <c r="AA177" i="3"/>
  <c r="AD162" i="3"/>
  <c r="AL198" i="3"/>
  <c r="K191" i="3"/>
  <c r="J184" i="3"/>
  <c r="AL178" i="3"/>
  <c r="AM201" i="3"/>
  <c r="T194" i="3"/>
  <c r="Z188" i="3"/>
  <c r="AQ181" i="3"/>
  <c r="AM177" i="3"/>
  <c r="AK206" i="3"/>
  <c r="U195" i="3"/>
  <c r="X188" i="3"/>
  <c r="S181" i="3"/>
  <c r="U177" i="3"/>
  <c r="AA206" i="3"/>
  <c r="AA197" i="3"/>
  <c r="AG191" i="3"/>
  <c r="AB182" i="3"/>
  <c r="AI177" i="3"/>
  <c r="O162" i="3"/>
  <c r="Y162" i="3"/>
  <c r="AA246" i="3"/>
  <c r="AN235" i="3"/>
  <c r="AS248" i="3"/>
  <c r="S236" i="3"/>
  <c r="AA207" i="3"/>
  <c r="AS205" i="3"/>
  <c r="AH209" i="3"/>
  <c r="J207" i="3"/>
  <c r="AG207" i="3"/>
  <c r="AQ205" i="3"/>
  <c r="AE209" i="3"/>
  <c r="V209" i="3"/>
  <c r="L207" i="3"/>
  <c r="AM204" i="3"/>
  <c r="T203" i="3"/>
  <c r="AD201" i="3"/>
  <c r="AN199" i="3"/>
  <c r="U198" i="3"/>
  <c r="AE196" i="3"/>
  <c r="L195" i="3"/>
  <c r="V193" i="3"/>
  <c r="AF191" i="3"/>
  <c r="M190" i="3"/>
  <c r="W188" i="3"/>
  <c r="AR185" i="3"/>
  <c r="Q184" i="3"/>
  <c r="AA182" i="3"/>
  <c r="AS180" i="3"/>
  <c r="R179" i="3"/>
  <c r="AJ177" i="3"/>
  <c r="M206" i="3"/>
  <c r="N204" i="3"/>
  <c r="X202" i="3"/>
  <c r="AP200" i="3"/>
  <c r="O199" i="3"/>
  <c r="AG197" i="3"/>
  <c r="AQ195" i="3"/>
  <c r="P194" i="3"/>
  <c r="AH192" i="3"/>
  <c r="G191" i="3"/>
  <c r="Y189" i="3"/>
  <c r="AI187" i="3"/>
  <c r="K185" i="3"/>
  <c r="AC183" i="3"/>
  <c r="AM181" i="3"/>
  <c r="T180" i="3"/>
  <c r="AH206" i="3"/>
  <c r="AK204" i="3"/>
  <c r="J203" i="3"/>
  <c r="AB201" i="3"/>
  <c r="AL199" i="3"/>
  <c r="K198" i="3"/>
  <c r="AC196" i="3"/>
  <c r="AM194" i="3"/>
  <c r="T193" i="3"/>
  <c r="AD191" i="3"/>
  <c r="AN189" i="3"/>
  <c r="U188" i="3"/>
  <c r="AH185" i="3"/>
  <c r="G184" i="3"/>
  <c r="AS209" i="3"/>
  <c r="K206" i="3"/>
  <c r="T204" i="3"/>
  <c r="AD202" i="3"/>
  <c r="AN200" i="3"/>
  <c r="U199" i="3"/>
  <c r="AE197" i="3"/>
  <c r="L196" i="3"/>
  <c r="V194" i="3"/>
  <c r="AF192" i="3"/>
  <c r="M191" i="3"/>
  <c r="W189" i="3"/>
  <c r="AO187" i="3"/>
  <c r="Q185" i="3"/>
  <c r="AA183" i="3"/>
  <c r="AS181" i="3"/>
  <c r="R180" i="3"/>
  <c r="AJ178" i="3"/>
  <c r="I177" i="3"/>
  <c r="P207" i="3"/>
  <c r="N205" i="3"/>
  <c r="X203" i="3"/>
  <c r="AP201" i="3"/>
  <c r="O200" i="3"/>
  <c r="AG198" i="3"/>
  <c r="AQ196" i="3"/>
  <c r="P195" i="3"/>
  <c r="AH193" i="3"/>
  <c r="G192" i="3"/>
  <c r="Y190" i="3"/>
  <c r="AI188" i="3"/>
  <c r="H187" i="3"/>
  <c r="AC184" i="3"/>
  <c r="AM182" i="3"/>
  <c r="T181" i="3"/>
  <c r="AD179" i="3"/>
  <c r="AN177" i="3"/>
  <c r="AK209" i="3"/>
  <c r="AP205" i="3"/>
  <c r="J204" i="3"/>
  <c r="AB202" i="3"/>
  <c r="AL200" i="3"/>
  <c r="AM206" i="3"/>
  <c r="AO204" i="3"/>
  <c r="N203" i="3"/>
  <c r="X201" i="3"/>
  <c r="AP199" i="3"/>
  <c r="O198" i="3"/>
  <c r="AG196" i="3"/>
  <c r="AQ194" i="3"/>
  <c r="P193" i="3"/>
  <c r="AH191" i="3"/>
  <c r="G190" i="3"/>
  <c r="Y188" i="3"/>
  <c r="AD185" i="3"/>
  <c r="AN183" i="3"/>
  <c r="U182" i="3"/>
  <c r="AE180" i="3"/>
  <c r="L179" i="3"/>
  <c r="V177" i="3"/>
  <c r="AJ200" i="3"/>
  <c r="J194" i="3"/>
  <c r="M187" i="3"/>
  <c r="AK179" i="3"/>
  <c r="S197" i="3"/>
  <c r="Y191" i="3"/>
  <c r="T184" i="3"/>
  <c r="AI179" i="3"/>
  <c r="H162" i="3"/>
  <c r="P204" i="3"/>
  <c r="H196" i="3"/>
  <c r="M189" i="3"/>
  <c r="AO182" i="3"/>
  <c r="AP178" i="3"/>
  <c r="H198" i="3"/>
  <c r="Q191" i="3"/>
  <c r="AR184" i="3"/>
  <c r="P180" i="3"/>
  <c r="K177" i="3"/>
  <c r="V162" i="3"/>
  <c r="AK197" i="3"/>
  <c r="AL190" i="3"/>
  <c r="AG183" i="3"/>
  <c r="V178" i="3"/>
  <c r="L200" i="3"/>
  <c r="O193" i="3"/>
  <c r="W187" i="3"/>
  <c r="V181" i="3"/>
  <c r="W177" i="3"/>
  <c r="AN205" i="3"/>
  <c r="R194" i="3"/>
  <c r="U187" i="3"/>
  <c r="AD180" i="3"/>
  <c r="AD205" i="3"/>
  <c r="R196" i="3"/>
  <c r="X190" i="3"/>
  <c r="AL181" i="3"/>
  <c r="S177" i="3"/>
  <c r="M162" i="3"/>
  <c r="AQ162" i="3"/>
  <c r="AO162" i="3"/>
  <c r="X245" i="3"/>
  <c r="AC234" i="3"/>
  <c r="K247" i="3"/>
  <c r="AF235" i="3"/>
  <c r="AQ209" i="3"/>
  <c r="S207" i="3"/>
  <c r="AK205" i="3"/>
  <c r="Z209" i="3"/>
  <c r="Y207" i="3"/>
  <c r="AI205" i="3"/>
  <c r="W209" i="3"/>
  <c r="N209" i="3"/>
  <c r="AJ206" i="3"/>
  <c r="AE204" i="3"/>
  <c r="L203" i="3"/>
  <c r="V201" i="3"/>
  <c r="AF199" i="3"/>
  <c r="M198" i="3"/>
  <c r="W196" i="3"/>
  <c r="AO194" i="3"/>
  <c r="N193" i="3"/>
  <c r="X191" i="3"/>
  <c r="AP189" i="3"/>
  <c r="O188" i="3"/>
  <c r="AJ185" i="3"/>
  <c r="I184" i="3"/>
  <c r="S182" i="3"/>
  <c r="AK180" i="3"/>
  <c r="J179" i="3"/>
  <c r="AB177" i="3"/>
  <c r="U209" i="3"/>
  <c r="AL205" i="3"/>
  <c r="AQ203" i="3"/>
  <c r="P202" i="3"/>
  <c r="AH200" i="3"/>
  <c r="G199" i="3"/>
  <c r="Y197" i="3"/>
  <c r="AI195" i="3"/>
  <c r="H194" i="3"/>
  <c r="Z192" i="3"/>
  <c r="AR190" i="3"/>
  <c r="Q189" i="3"/>
  <c r="AA187" i="3"/>
  <c r="AN184" i="3"/>
  <c r="U183" i="3"/>
  <c r="AE181" i="3"/>
  <c r="L180" i="3"/>
  <c r="W206" i="3"/>
  <c r="AC204" i="3"/>
  <c r="AM202" i="3"/>
  <c r="T201" i="3"/>
  <c r="AD199" i="3"/>
  <c r="AN197" i="3"/>
  <c r="U196" i="3"/>
  <c r="AE194" i="3"/>
  <c r="L193" i="3"/>
  <c r="V191" i="3"/>
  <c r="AF189" i="3"/>
  <c r="M188" i="3"/>
  <c r="Z185" i="3"/>
  <c r="AR183" i="3"/>
  <c r="M209" i="3"/>
  <c r="AH205" i="3"/>
  <c r="L204" i="3"/>
  <c r="V202" i="3"/>
  <c r="AF200" i="3"/>
  <c r="M199" i="3"/>
  <c r="W197" i="3"/>
  <c r="AO195" i="3"/>
  <c r="N194" i="3"/>
  <c r="X192" i="3"/>
  <c r="AP190" i="3"/>
  <c r="O189" i="3"/>
  <c r="AG187" i="3"/>
  <c r="I185" i="3"/>
  <c r="S183" i="3"/>
  <c r="AK181" i="3"/>
  <c r="J180" i="3"/>
  <c r="AB178" i="3"/>
  <c r="AS242" i="3"/>
  <c r="AP206" i="3"/>
  <c r="AQ204" i="3"/>
  <c r="P203" i="3"/>
  <c r="AH201" i="3"/>
  <c r="G200" i="3"/>
  <c r="Y198" i="3"/>
  <c r="AI196" i="3"/>
  <c r="H195" i="3"/>
  <c r="Z193" i="3"/>
  <c r="AR191" i="3"/>
  <c r="Q190" i="3"/>
  <c r="AA188" i="3"/>
  <c r="AN185" i="3"/>
  <c r="U184" i="3"/>
  <c r="AE182" i="3"/>
  <c r="L181" i="3"/>
  <c r="V179" i="3"/>
  <c r="AF177" i="3"/>
  <c r="AN207" i="3"/>
  <c r="AF205" i="3"/>
  <c r="AM203" i="3"/>
  <c r="T202" i="3"/>
  <c r="AD200" i="3"/>
  <c r="AB206" i="3"/>
  <c r="AG204" i="3"/>
  <c r="AQ202" i="3"/>
  <c r="P201" i="3"/>
  <c r="AH199" i="3"/>
  <c r="G198" i="3"/>
  <c r="Y196" i="3"/>
  <c r="AI194" i="3"/>
  <c r="H193" i="3"/>
  <c r="Z191" i="3"/>
  <c r="AR189" i="3"/>
  <c r="Q188" i="3"/>
  <c r="V185" i="3"/>
  <c r="AF183" i="3"/>
  <c r="M182" i="3"/>
  <c r="W180" i="3"/>
  <c r="AO178" i="3"/>
  <c r="N177" i="3"/>
  <c r="AA199" i="3"/>
  <c r="AG193" i="3"/>
  <c r="AC185" i="3"/>
  <c r="P179" i="3"/>
  <c r="K205" i="3"/>
  <c r="AP196" i="3"/>
  <c r="P190" i="3"/>
  <c r="O183" i="3"/>
  <c r="M179" i="3"/>
  <c r="AK203" i="3"/>
  <c r="AK195" i="3"/>
  <c r="AN188" i="3"/>
  <c r="T182" i="3"/>
  <c r="Z178" i="3"/>
  <c r="AC209" i="3"/>
  <c r="AQ197" i="3"/>
  <c r="AN190" i="3"/>
  <c r="L184" i="3"/>
  <c r="AC179" i="3"/>
  <c r="N162" i="3"/>
  <c r="AF196" i="3"/>
  <c r="AK189" i="3"/>
  <c r="AJ182" i="3"/>
  <c r="AP177" i="3"/>
  <c r="AO199" i="3"/>
  <c r="AR192" i="3"/>
  <c r="AM185" i="3"/>
  <c r="AF180" i="3"/>
  <c r="G177" i="3"/>
  <c r="R202" i="3"/>
  <c r="AO193" i="3"/>
  <c r="AK185" i="3"/>
  <c r="H180" i="3"/>
  <c r="AN204" i="3"/>
  <c r="O195" i="3"/>
  <c r="AA189" i="3"/>
  <c r="Q181" i="3"/>
  <c r="AG162" i="3"/>
  <c r="AM162" i="3"/>
  <c r="AA162" i="3"/>
  <c r="Q162" i="3"/>
  <c r="I162" i="3"/>
  <c r="S162" i="3"/>
  <c r="F202" i="3"/>
  <c r="F241" i="3"/>
  <c r="X70" i="3"/>
  <c r="X161" i="3"/>
  <c r="X159" i="3"/>
  <c r="X186" i="3"/>
  <c r="X208" i="3"/>
  <c r="X249" i="3"/>
  <c r="X278" i="3"/>
  <c r="F198" i="3"/>
  <c r="F268" i="3"/>
  <c r="AN70" i="3"/>
  <c r="AN159" i="3"/>
  <c r="AN161" i="3"/>
  <c r="AN186" i="3"/>
  <c r="AN208" i="3"/>
  <c r="AN249" i="3"/>
  <c r="AN278" i="3"/>
  <c r="F236" i="3"/>
  <c r="F256" i="3"/>
  <c r="F194" i="3"/>
  <c r="G70" i="3"/>
  <c r="G161" i="3"/>
  <c r="G159" i="3"/>
  <c r="G186" i="3"/>
  <c r="G208" i="3"/>
  <c r="G249" i="3"/>
  <c r="G278" i="3"/>
  <c r="U70" i="3"/>
  <c r="U159" i="3"/>
  <c r="U161" i="3"/>
  <c r="U186" i="3"/>
  <c r="U208" i="3"/>
  <c r="U249" i="3"/>
  <c r="U278" i="3"/>
  <c r="F178" i="3"/>
  <c r="F207" i="3"/>
  <c r="F234" i="3"/>
  <c r="F252" i="3"/>
  <c r="I70" i="3"/>
  <c r="I161" i="3"/>
  <c r="I159" i="3"/>
  <c r="I208" i="3"/>
  <c r="I186" i="3"/>
  <c r="I249" i="3"/>
  <c r="I278" i="3"/>
  <c r="J70" i="3"/>
  <c r="J161" i="3"/>
  <c r="J159" i="3"/>
  <c r="J186" i="3"/>
  <c r="J208" i="3"/>
  <c r="J249" i="3"/>
  <c r="J278" i="3"/>
  <c r="F190" i="3"/>
  <c r="F240" i="3"/>
  <c r="F205" i="3"/>
  <c r="Z70" i="3"/>
  <c r="Z161" i="3"/>
  <c r="Z159" i="3"/>
  <c r="Z186" i="3"/>
  <c r="Z208" i="3"/>
  <c r="Z249" i="3"/>
  <c r="Z278" i="3"/>
  <c r="F203" i="3"/>
  <c r="F246" i="3"/>
  <c r="F247" i="3"/>
  <c r="AI70" i="3"/>
  <c r="AI161" i="3"/>
  <c r="AI159" i="3"/>
  <c r="AI186" i="3"/>
  <c r="AI208" i="3"/>
  <c r="AI249" i="3"/>
  <c r="AI278" i="3"/>
  <c r="F243" i="3"/>
  <c r="AF70" i="3"/>
  <c r="AF159" i="3"/>
  <c r="AF161" i="3"/>
  <c r="AF186" i="3"/>
  <c r="AF208" i="3"/>
  <c r="AF249" i="3"/>
  <c r="AF278" i="3"/>
  <c r="F269" i="3"/>
  <c r="F257" i="3"/>
  <c r="F189" i="3"/>
  <c r="F276" i="3"/>
  <c r="AK70" i="3"/>
  <c r="AK159" i="3"/>
  <c r="AK161" i="3"/>
  <c r="AK186" i="3"/>
  <c r="AK208" i="3"/>
  <c r="AK249" i="3"/>
  <c r="AK278" i="3"/>
  <c r="F272" i="3"/>
  <c r="F265" i="3"/>
  <c r="W70" i="3"/>
  <c r="W159" i="3"/>
  <c r="W161" i="3"/>
  <c r="W186" i="3"/>
  <c r="W208" i="3"/>
  <c r="W249" i="3"/>
  <c r="W278" i="3"/>
  <c r="L70" i="3"/>
  <c r="L159" i="3"/>
  <c r="L161" i="3"/>
  <c r="L186" i="3"/>
  <c r="L208" i="3"/>
  <c r="L249" i="3"/>
  <c r="L278" i="3"/>
  <c r="F181" i="3"/>
  <c r="F259" i="3"/>
  <c r="F275" i="3"/>
  <c r="F162" i="3"/>
  <c r="R70" i="3"/>
  <c r="R161" i="3"/>
  <c r="R159" i="3"/>
  <c r="R186" i="3"/>
  <c r="R208" i="3"/>
  <c r="R249" i="3"/>
  <c r="R278" i="3"/>
  <c r="F261" i="3"/>
  <c r="F235" i="3"/>
  <c r="F267" i="3"/>
  <c r="F251" i="3"/>
  <c r="AD70" i="3"/>
  <c r="AD159" i="3"/>
  <c r="AD161" i="3"/>
  <c r="AD186" i="3"/>
  <c r="AD208" i="3"/>
  <c r="AD249" i="3"/>
  <c r="AD278" i="3"/>
  <c r="M70" i="3"/>
  <c r="M159" i="3"/>
  <c r="M161" i="3"/>
  <c r="M208" i="3"/>
  <c r="M186" i="3"/>
  <c r="M249" i="3"/>
  <c r="M278" i="3"/>
  <c r="F184" i="3"/>
  <c r="AQ70" i="3"/>
  <c r="AQ161" i="3"/>
  <c r="AQ159" i="3"/>
  <c r="AQ186" i="3"/>
  <c r="AQ208" i="3"/>
  <c r="AQ249" i="3"/>
  <c r="AQ278" i="3"/>
  <c r="F185" i="3"/>
  <c r="O70" i="3"/>
  <c r="O161" i="3"/>
  <c r="O159" i="3"/>
  <c r="O186" i="3"/>
  <c r="O208" i="3"/>
  <c r="O249" i="3"/>
  <c r="O278" i="3"/>
  <c r="AC70" i="3"/>
  <c r="AC159" i="3"/>
  <c r="AC161" i="3"/>
  <c r="AC208" i="3"/>
  <c r="AC186" i="3"/>
  <c r="AC249" i="3"/>
  <c r="AC278" i="3"/>
  <c r="F264" i="3"/>
  <c r="F201" i="3"/>
  <c r="F188" i="3"/>
  <c r="F273" i="3"/>
  <c r="F183" i="3"/>
  <c r="F239" i="3"/>
  <c r="F270" i="3"/>
  <c r="F197" i="3"/>
  <c r="F197" i="2" l="1"/>
  <c r="F270" i="2"/>
  <c r="F239" i="2"/>
  <c r="F183" i="2"/>
  <c r="F273" i="2"/>
  <c r="F188" i="2"/>
  <c r="F201" i="2"/>
  <c r="F264" i="2"/>
  <c r="AC278" i="2"/>
  <c r="AC249" i="2"/>
  <c r="AC186" i="2"/>
  <c r="AC208" i="2"/>
  <c r="AC161" i="2"/>
  <c r="AC159" i="2"/>
  <c r="AC70" i="2"/>
  <c r="O278" i="2"/>
  <c r="O249" i="2"/>
  <c r="O208" i="2"/>
  <c r="O186" i="2"/>
  <c r="O159" i="2"/>
  <c r="O161" i="2"/>
  <c r="O70" i="2"/>
  <c r="F185" i="2"/>
  <c r="AQ278" i="2"/>
  <c r="AQ249" i="2"/>
  <c r="AQ208" i="2"/>
  <c r="AQ186" i="2"/>
  <c r="AQ159" i="2"/>
  <c r="AQ161" i="2"/>
  <c r="AQ70" i="2"/>
  <c r="F184" i="2"/>
  <c r="M278" i="2"/>
  <c r="M249" i="2"/>
  <c r="M186" i="2"/>
  <c r="M208" i="2"/>
  <c r="M161" i="2"/>
  <c r="M159" i="2"/>
  <c r="M70" i="2"/>
  <c r="AD278" i="2"/>
  <c r="AD249" i="2"/>
  <c r="AD208" i="2"/>
  <c r="AD186" i="2"/>
  <c r="AD161" i="2"/>
  <c r="AD159" i="2"/>
  <c r="AD70" i="2"/>
  <c r="F251" i="2"/>
  <c r="F267" i="2"/>
  <c r="F235" i="2"/>
  <c r="F261" i="2"/>
  <c r="R278" i="2"/>
  <c r="R249" i="2"/>
  <c r="R208" i="2"/>
  <c r="R186" i="2"/>
  <c r="R159" i="2"/>
  <c r="R161" i="2"/>
  <c r="R70" i="2"/>
  <c r="F162" i="2"/>
  <c r="F275" i="2"/>
  <c r="F259" i="2"/>
  <c r="F181" i="2"/>
  <c r="L278" i="2"/>
  <c r="L249" i="2"/>
  <c r="L208" i="2"/>
  <c r="L186" i="2"/>
  <c r="L161" i="2"/>
  <c r="L159" i="2"/>
  <c r="L70" i="2"/>
  <c r="W278" i="2"/>
  <c r="W249" i="2"/>
  <c r="W208" i="2"/>
  <c r="W186" i="2"/>
  <c r="W161" i="2"/>
  <c r="W159" i="2"/>
  <c r="W70" i="2"/>
  <c r="F265" i="2"/>
  <c r="F272" i="2"/>
  <c r="AK278" i="2"/>
  <c r="AK249" i="2"/>
  <c r="AK208" i="2"/>
  <c r="AK186" i="2"/>
  <c r="AK161" i="2"/>
  <c r="AK159" i="2"/>
  <c r="AK70" i="2"/>
  <c r="F276" i="2"/>
  <c r="F189" i="2"/>
  <c r="F257" i="2"/>
  <c r="F269" i="2"/>
  <c r="AF278" i="2"/>
  <c r="AF249" i="2"/>
  <c r="AF208" i="2"/>
  <c r="AF186" i="2"/>
  <c r="AF161" i="2"/>
  <c r="AF159" i="2"/>
  <c r="AF70" i="2"/>
  <c r="F243" i="2"/>
  <c r="AI278" i="2"/>
  <c r="AI249" i="2"/>
  <c r="AI208" i="2"/>
  <c r="AI186" i="2"/>
  <c r="AI159" i="2"/>
  <c r="AI161" i="2"/>
  <c r="AI70" i="2"/>
  <c r="F247" i="2"/>
  <c r="F246" i="2"/>
  <c r="F203" i="2"/>
  <c r="Z278" i="2"/>
  <c r="Z249" i="2"/>
  <c r="Z208" i="2"/>
  <c r="Z186" i="2"/>
  <c r="Z159" i="2"/>
  <c r="Z161" i="2"/>
  <c r="Z70" i="2"/>
  <c r="F205" i="2"/>
  <c r="F240" i="2"/>
  <c r="F190" i="2"/>
  <c r="J278" i="2"/>
  <c r="J249" i="2"/>
  <c r="J208" i="2"/>
  <c r="J186" i="2"/>
  <c r="J159" i="2"/>
  <c r="J161" i="2"/>
  <c r="J70" i="2"/>
  <c r="I278" i="2"/>
  <c r="I249" i="2"/>
  <c r="I186" i="2"/>
  <c r="I208" i="2"/>
  <c r="I159" i="2"/>
  <c r="I161" i="2"/>
  <c r="I70" i="2"/>
  <c r="F252" i="2"/>
  <c r="F234" i="2"/>
  <c r="F207" i="2"/>
  <c r="F178" i="2"/>
  <c r="U278" i="2"/>
  <c r="U249" i="2"/>
  <c r="U208" i="2"/>
  <c r="U186" i="2"/>
  <c r="U161" i="2"/>
  <c r="U159" i="2"/>
  <c r="U70" i="2"/>
  <c r="G278" i="2"/>
  <c r="G249" i="2"/>
  <c r="G208" i="2"/>
  <c r="G186" i="2"/>
  <c r="G159" i="2"/>
  <c r="G161" i="2"/>
  <c r="G70" i="2"/>
  <c r="F194" i="2"/>
  <c r="F256" i="2"/>
  <c r="F236" i="2"/>
  <c r="AN278" i="2"/>
  <c r="AN249" i="2"/>
  <c r="AN208" i="2"/>
  <c r="AN186" i="2"/>
  <c r="AN161" i="2"/>
  <c r="AN159" i="2"/>
  <c r="AN70" i="2"/>
  <c r="F268" i="2"/>
  <c r="F198" i="2"/>
  <c r="X278" i="2"/>
  <c r="X249" i="2"/>
  <c r="X208" i="2"/>
  <c r="X186" i="2"/>
  <c r="X159" i="2"/>
  <c r="X161" i="2"/>
  <c r="X70" i="2"/>
  <c r="F241" i="2"/>
  <c r="F202" i="2"/>
  <c r="S162" i="2"/>
  <c r="I162" i="2"/>
  <c r="Q162" i="2"/>
  <c r="AA162" i="2"/>
  <c r="AM162" i="2"/>
  <c r="AG162" i="2"/>
  <c r="Q181" i="2"/>
  <c r="AA189" i="2"/>
  <c r="O195" i="2"/>
  <c r="AN204" i="2"/>
  <c r="H180" i="2"/>
  <c r="AK185" i="2"/>
  <c r="AO193" i="2"/>
  <c r="R202" i="2"/>
  <c r="G177" i="2"/>
  <c r="AF180" i="2"/>
  <c r="AM185" i="2"/>
  <c r="AR192" i="2"/>
  <c r="AO199" i="2"/>
  <c r="AP177" i="2"/>
  <c r="AJ182" i="2"/>
  <c r="AK189" i="2"/>
  <c r="AF196" i="2"/>
  <c r="N162" i="2"/>
  <c r="AC179" i="2"/>
  <c r="L184" i="2"/>
  <c r="AN190" i="2"/>
  <c r="AQ197" i="2"/>
  <c r="AC209" i="2"/>
  <c r="Z178" i="2"/>
  <c r="T182" i="2"/>
  <c r="AN188" i="2"/>
  <c r="AK195" i="2"/>
  <c r="AK203" i="2"/>
  <c r="M179" i="2"/>
  <c r="O183" i="2"/>
  <c r="P190" i="2"/>
  <c r="AP196" i="2"/>
  <c r="K205" i="2"/>
  <c r="P179" i="2"/>
  <c r="AC185" i="2"/>
  <c r="AG193" i="2"/>
  <c r="AA199" i="2"/>
  <c r="N177" i="2"/>
  <c r="AO178" i="2"/>
  <c r="W180" i="2"/>
  <c r="M182" i="2"/>
  <c r="AF183" i="2"/>
  <c r="V185" i="2"/>
  <c r="Q188" i="2"/>
  <c r="AR189" i="2"/>
  <c r="Z191" i="2"/>
  <c r="H193" i="2"/>
  <c r="AI194" i="2"/>
  <c r="Y196" i="2"/>
  <c r="G198" i="2"/>
  <c r="AH199" i="2"/>
  <c r="P201" i="2"/>
  <c r="AQ202" i="2"/>
  <c r="AG204" i="2"/>
  <c r="AB206" i="2"/>
  <c r="AD200" i="2"/>
  <c r="T202" i="2"/>
  <c r="AM203" i="2"/>
  <c r="AF205" i="2"/>
  <c r="AN207" i="2"/>
  <c r="AF177" i="2"/>
  <c r="V179" i="2"/>
  <c r="L181" i="2"/>
  <c r="AE182" i="2"/>
  <c r="U184" i="2"/>
  <c r="AN185" i="2"/>
  <c r="AA188" i="2"/>
  <c r="Q190" i="2"/>
  <c r="AR191" i="2"/>
  <c r="Z193" i="2"/>
  <c r="H195" i="2"/>
  <c r="AI196" i="2"/>
  <c r="Y198" i="2"/>
  <c r="G200" i="2"/>
  <c r="AH201" i="2"/>
  <c r="P203" i="2"/>
  <c r="AQ204" i="2"/>
  <c r="AP206" i="2"/>
  <c r="AS242" i="2"/>
  <c r="AB178" i="2"/>
  <c r="J180" i="2"/>
  <c r="AK181" i="2"/>
  <c r="S183" i="2"/>
  <c r="I185" i="2"/>
  <c r="AG187" i="2"/>
  <c r="O189" i="2"/>
  <c r="AP190" i="2"/>
  <c r="X192" i="2"/>
  <c r="N194" i="2"/>
  <c r="AO195" i="2"/>
  <c r="W197" i="2"/>
  <c r="M199" i="2"/>
  <c r="AF200" i="2"/>
  <c r="V202" i="2"/>
  <c r="L204" i="2"/>
  <c r="AH205" i="2"/>
  <c r="M209" i="2"/>
  <c r="AR183" i="2"/>
  <c r="Z185" i="2"/>
  <c r="M188" i="2"/>
  <c r="AF189" i="2"/>
  <c r="V191" i="2"/>
  <c r="L193" i="2"/>
  <c r="AE194" i="2"/>
  <c r="U196" i="2"/>
  <c r="AN197" i="2"/>
  <c r="AD199" i="2"/>
  <c r="T201" i="2"/>
  <c r="AM202" i="2"/>
  <c r="AC204" i="2"/>
  <c r="W206" i="2"/>
  <c r="L180" i="2"/>
  <c r="AE181" i="2"/>
  <c r="U183" i="2"/>
  <c r="AN184" i="2"/>
  <c r="AA187" i="2"/>
  <c r="Q189" i="2"/>
  <c r="AR190" i="2"/>
  <c r="Z192" i="2"/>
  <c r="H194" i="2"/>
  <c r="AI195" i="2"/>
  <c r="Y197" i="2"/>
  <c r="G199" i="2"/>
  <c r="AH200" i="2"/>
  <c r="P202" i="2"/>
  <c r="AQ203" i="2"/>
  <c r="AL205" i="2"/>
  <c r="U209" i="2"/>
  <c r="AB177" i="2"/>
  <c r="J179" i="2"/>
  <c r="AK180" i="2"/>
  <c r="S182" i="2"/>
  <c r="I184" i="2"/>
  <c r="AJ185" i="2"/>
  <c r="O188" i="2"/>
  <c r="AP189" i="2"/>
  <c r="X191" i="2"/>
  <c r="N193" i="2"/>
  <c r="AO194" i="2"/>
  <c r="W196" i="2"/>
  <c r="M198" i="2"/>
  <c r="AF199" i="2"/>
  <c r="V201" i="2"/>
  <c r="L203" i="2"/>
  <c r="AE204" i="2"/>
  <c r="AJ206" i="2"/>
  <c r="N209" i="2"/>
  <c r="W209" i="2"/>
  <c r="AI205" i="2"/>
  <c r="Y207" i="2"/>
  <c r="Z209" i="2"/>
  <c r="AK205" i="2"/>
  <c r="S207" i="2"/>
  <c r="AQ209" i="2"/>
  <c r="AF235" i="2"/>
  <c r="K247" i="2"/>
  <c r="AC234" i="2"/>
  <c r="X245" i="2"/>
  <c r="AO162" i="2"/>
  <c r="AQ162" i="2"/>
  <c r="M162" i="2"/>
  <c r="S177" i="2"/>
  <c r="AL181" i="2"/>
  <c r="X190" i="2"/>
  <c r="R196" i="2"/>
  <c r="AD205" i="2"/>
  <c r="AD180" i="2"/>
  <c r="U187" i="2"/>
  <c r="R194" i="2"/>
  <c r="AN205" i="2"/>
  <c r="W177" i="2"/>
  <c r="V181" i="2"/>
  <c r="W187" i="2"/>
  <c r="O193" i="2"/>
  <c r="L200" i="2"/>
  <c r="V178" i="2"/>
  <c r="AG183" i="2"/>
  <c r="AL190" i="2"/>
  <c r="AK197" i="2"/>
  <c r="V162" i="2"/>
  <c r="K177" i="2"/>
  <c r="P180" i="2"/>
  <c r="AR184" i="2"/>
  <c r="Q191" i="2"/>
  <c r="H198" i="2"/>
  <c r="AP178" i="2"/>
  <c r="AO182" i="2"/>
  <c r="M189" i="2"/>
  <c r="H196" i="2"/>
  <c r="P204" i="2"/>
  <c r="H162" i="2"/>
  <c r="AI179" i="2"/>
  <c r="T184" i="2"/>
  <c r="Y191" i="2"/>
  <c r="S197" i="2"/>
  <c r="AK179" i="2"/>
  <c r="M187" i="2"/>
  <c r="J194" i="2"/>
  <c r="AJ200" i="2"/>
  <c r="V177" i="2"/>
  <c r="L179" i="2"/>
  <c r="AE180" i="2"/>
  <c r="U182" i="2"/>
  <c r="AN183" i="2"/>
  <c r="AD185" i="2"/>
  <c r="Y188" i="2"/>
  <c r="G190" i="2"/>
  <c r="AH191" i="2"/>
  <c r="P193" i="2"/>
  <c r="AQ194" i="2"/>
  <c r="AG196" i="2"/>
  <c r="O198" i="2"/>
  <c r="AP199" i="2"/>
  <c r="X201" i="2"/>
  <c r="N203" i="2"/>
  <c r="AO204" i="2"/>
  <c r="AM206" i="2"/>
  <c r="AL200" i="2"/>
  <c r="AB202" i="2"/>
  <c r="J204" i="2"/>
  <c r="AP205" i="2"/>
  <c r="AK209" i="2"/>
  <c r="AN177" i="2"/>
  <c r="AD179" i="2"/>
  <c r="T181" i="2"/>
  <c r="AM182" i="2"/>
  <c r="AC184" i="2"/>
  <c r="H187" i="2"/>
  <c r="AI188" i="2"/>
  <c r="Y190" i="2"/>
  <c r="G192" i="2"/>
  <c r="AH193" i="2"/>
  <c r="P195" i="2"/>
  <c r="AQ196" i="2"/>
  <c r="AG198" i="2"/>
  <c r="O200" i="2"/>
  <c r="AP201" i="2"/>
  <c r="X203" i="2"/>
  <c r="N205" i="2"/>
  <c r="P207" i="2"/>
  <c r="I177" i="2"/>
  <c r="AJ178" i="2"/>
  <c r="R180" i="2"/>
  <c r="AS181" i="2"/>
  <c r="AA183" i="2"/>
  <c r="Q185" i="2"/>
  <c r="AO187" i="2"/>
  <c r="W189" i="2"/>
  <c r="M191" i="2"/>
  <c r="AF192" i="2"/>
  <c r="V194" i="2"/>
  <c r="L196" i="2"/>
  <c r="AE197" i="2"/>
  <c r="U199" i="2"/>
  <c r="AN200" i="2"/>
  <c r="AD202" i="2"/>
  <c r="T204" i="2"/>
  <c r="K206" i="2"/>
  <c r="AS209" i="2"/>
  <c r="G184" i="2"/>
  <c r="AH185" i="2"/>
  <c r="U188" i="2"/>
  <c r="AN189" i="2"/>
  <c r="AD191" i="2"/>
  <c r="T193" i="2"/>
  <c r="AM194" i="2"/>
  <c r="AC196" i="2"/>
  <c r="K198" i="2"/>
  <c r="AL199" i="2"/>
  <c r="AB201" i="2"/>
  <c r="J203" i="2"/>
  <c r="AK204" i="2"/>
  <c r="AH206" i="2"/>
  <c r="T180" i="2"/>
  <c r="AM181" i="2"/>
  <c r="AC183" i="2"/>
  <c r="K185" i="2"/>
  <c r="AI187" i="2"/>
  <c r="Y189" i="2"/>
  <c r="G191" i="2"/>
  <c r="AH192" i="2"/>
  <c r="P194" i="2"/>
  <c r="AQ195" i="2"/>
  <c r="AG197" i="2"/>
  <c r="O199" i="2"/>
  <c r="AP200" i="2"/>
  <c r="X202" i="2"/>
  <c r="N204" i="2"/>
  <c r="M206" i="2"/>
  <c r="AJ177" i="2"/>
  <c r="R179" i="2"/>
  <c r="AS180" i="2"/>
  <c r="AA182" i="2"/>
  <c r="Q184" i="2"/>
  <c r="AR185" i="2"/>
  <c r="W188" i="2"/>
  <c r="M190" i="2"/>
  <c r="AF191" i="2"/>
  <c r="V193" i="2"/>
  <c r="L195" i="2"/>
  <c r="AE196" i="2"/>
  <c r="U198" i="2"/>
  <c r="AN199" i="2"/>
  <c r="AD201" i="2"/>
  <c r="T203" i="2"/>
  <c r="AM204" i="2"/>
  <c r="L207" i="2"/>
  <c r="V209" i="2"/>
  <c r="AE209" i="2"/>
  <c r="AQ205" i="2"/>
  <c r="AG207" i="2"/>
  <c r="J207" i="2"/>
  <c r="AH209" i="2"/>
  <c r="AS205" i="2"/>
  <c r="AA207" i="2"/>
  <c r="S236" i="2"/>
  <c r="AS248" i="2"/>
  <c r="AN235" i="2"/>
  <c r="AA246" i="2"/>
  <c r="Y162" i="2"/>
  <c r="O162" i="2"/>
  <c r="AI177" i="2"/>
  <c r="AB182" i="2"/>
  <c r="AG191" i="2"/>
  <c r="AA197" i="2"/>
  <c r="AA206" i="2"/>
  <c r="U177" i="2"/>
  <c r="S181" i="2"/>
  <c r="X188" i="2"/>
  <c r="U195" i="2"/>
  <c r="AK206" i="2"/>
  <c r="AM177" i="2"/>
  <c r="AQ181" i="2"/>
  <c r="Z188" i="2"/>
  <c r="T194" i="2"/>
  <c r="AM201" i="2"/>
  <c r="AL178" i="2"/>
  <c r="J184" i="2"/>
  <c r="K191" i="2"/>
  <c r="AL198" i="2"/>
  <c r="AD162" i="2"/>
  <c r="AA177" i="2"/>
  <c r="AL180" i="2"/>
  <c r="O185" i="2"/>
  <c r="T192" i="2"/>
  <c r="AN198" i="2"/>
  <c r="K179" i="2"/>
  <c r="I183" i="2"/>
  <c r="AS189" i="2"/>
  <c r="AN196" i="2"/>
  <c r="P162" i="2"/>
  <c r="V180" i="2"/>
  <c r="W185" i="2"/>
  <c r="AB192" i="2"/>
  <c r="P198" i="2"/>
  <c r="X180" i="2"/>
  <c r="AS187" i="2"/>
  <c r="AP194" i="2"/>
  <c r="O201" i="2"/>
  <c r="AD177" i="2"/>
  <c r="T179" i="2"/>
  <c r="AM180" i="2"/>
  <c r="AC182" i="2"/>
  <c r="K184" i="2"/>
  <c r="AL185" i="2"/>
  <c r="AG188" i="2"/>
  <c r="O190" i="2"/>
  <c r="AP191" i="2"/>
  <c r="X193" i="2"/>
  <c r="N195" i="2"/>
  <c r="AO196" i="2"/>
  <c r="W198" i="2"/>
  <c r="M200" i="2"/>
  <c r="AF201" i="2"/>
  <c r="V203" i="2"/>
  <c r="L205" i="2"/>
  <c r="N207" i="2"/>
  <c r="I201" i="2"/>
  <c r="AJ202" i="2"/>
  <c r="R204" i="2"/>
  <c r="I206" i="2"/>
  <c r="K178" i="2"/>
  <c r="AL179" i="2"/>
  <c r="AB181" i="2"/>
  <c r="J183" i="2"/>
  <c r="AK184" i="2"/>
  <c r="P187" i="2"/>
  <c r="AQ188" i="2"/>
  <c r="AG190" i="2"/>
  <c r="O192" i="2"/>
  <c r="AP193" i="2"/>
  <c r="X195" i="2"/>
  <c r="N197" i="2"/>
  <c r="AO198" i="2"/>
  <c r="W200" i="2"/>
  <c r="M202" i="2"/>
  <c r="AF203" i="2"/>
  <c r="W205" i="2"/>
  <c r="AD207" i="2"/>
  <c r="Q177" i="2"/>
  <c r="AR178" i="2"/>
  <c r="Z180" i="2"/>
  <c r="H182" i="2"/>
  <c r="AI183" i="2"/>
  <c r="Y185" i="2"/>
  <c r="L188" i="2"/>
  <c r="AE189" i="2"/>
  <c r="U191" i="2"/>
  <c r="AN192" i="2"/>
  <c r="AD194" i="2"/>
  <c r="T196" i="2"/>
  <c r="AM197" i="2"/>
  <c r="AC199" i="2"/>
  <c r="K201" i="2"/>
  <c r="AL202" i="2"/>
  <c r="AB204" i="2"/>
  <c r="U206" i="2"/>
  <c r="O184" i="2"/>
  <c r="AP185" i="2"/>
  <c r="AC188" i="2"/>
  <c r="K190" i="2"/>
  <c r="AL191" i="2"/>
  <c r="AB193" i="2"/>
  <c r="J195" i="2"/>
  <c r="AK196" i="2"/>
  <c r="S198" i="2"/>
  <c r="I200" i="2"/>
  <c r="AJ201" i="2"/>
  <c r="R203" i="2"/>
  <c r="AS204" i="2"/>
  <c r="AR206" i="2"/>
  <c r="AB180" i="2"/>
  <c r="J182" i="2"/>
  <c r="AK183" i="2"/>
  <c r="S185" i="2"/>
  <c r="AQ187" i="2"/>
  <c r="AG189" i="2"/>
  <c r="O191" i="2"/>
  <c r="AP192" i="2"/>
  <c r="X194" i="2"/>
  <c r="N196" i="2"/>
  <c r="AO197" i="2"/>
  <c r="W199" i="2"/>
  <c r="M201" i="2"/>
  <c r="AF202" i="2"/>
  <c r="V204" i="2"/>
  <c r="Y206" i="2"/>
  <c r="AR177" i="2"/>
  <c r="Z179" i="2"/>
  <c r="H181" i="2"/>
  <c r="AI182" i="2"/>
  <c r="Y184" i="2"/>
  <c r="L187" i="2"/>
  <c r="AE188" i="2"/>
  <c r="U190" i="2"/>
  <c r="AN191" i="2"/>
  <c r="AD193" i="2"/>
  <c r="T195" i="2"/>
  <c r="AM196" i="2"/>
  <c r="AC198" i="2"/>
  <c r="K200" i="2"/>
  <c r="AL201" i="2"/>
  <c r="AB203" i="2"/>
  <c r="J205" i="2"/>
  <c r="W207" i="2"/>
  <c r="AD209" i="2"/>
  <c r="AM209" i="2"/>
  <c r="AS234" i="2"/>
  <c r="N206" i="2"/>
  <c r="AO207" i="2"/>
  <c r="R207" i="2"/>
  <c r="AP209" i="2"/>
  <c r="H206" i="2"/>
  <c r="AI207" i="2"/>
  <c r="AJ239" i="2"/>
  <c r="AE251" i="2"/>
  <c r="AA236" i="2"/>
  <c r="AH247" i="2"/>
  <c r="AI162" i="2"/>
  <c r="Z162" i="2"/>
  <c r="P178" i="2"/>
  <c r="W183" i="2"/>
  <c r="AJ192" i="2"/>
  <c r="X198" i="2"/>
  <c r="X207" i="2"/>
  <c r="AK177" i="2"/>
  <c r="AO181" i="2"/>
  <c r="AC189" i="2"/>
  <c r="X196" i="2"/>
  <c r="AL207" i="2"/>
  <c r="U178" i="2"/>
  <c r="L182" i="2"/>
  <c r="AI189" i="2"/>
  <c r="W195" i="2"/>
  <c r="Z202" i="2"/>
  <c r="AA179" i="2"/>
  <c r="AP184" i="2"/>
  <c r="AQ191" i="2"/>
  <c r="K199" i="2"/>
  <c r="AL162" i="2"/>
  <c r="AQ177" i="2"/>
  <c r="AA181" i="2"/>
  <c r="AE187" i="2"/>
  <c r="W193" i="2"/>
  <c r="Q199" i="2"/>
  <c r="AF179" i="2"/>
  <c r="AO183" i="2"/>
  <c r="N190" i="2"/>
  <c r="M197" i="2"/>
  <c r="X162" i="2"/>
  <c r="O177" i="2"/>
  <c r="AQ180" i="2"/>
  <c r="G187" i="2"/>
  <c r="AE193" i="2"/>
  <c r="Y199" i="2"/>
  <c r="N181" i="2"/>
  <c r="P188" i="2"/>
  <c r="M195" i="2"/>
  <c r="AF204" i="2"/>
  <c r="AL177" i="2"/>
  <c r="AB179" i="2"/>
  <c r="J181" i="2"/>
  <c r="AK182" i="2"/>
  <c r="S184" i="2"/>
  <c r="N187" i="2"/>
  <c r="AO188" i="2"/>
  <c r="W190" i="2"/>
  <c r="M192" i="2"/>
  <c r="AF193" i="2"/>
  <c r="V195" i="2"/>
  <c r="L197" i="2"/>
  <c r="AE198" i="2"/>
  <c r="U200" i="2"/>
  <c r="AN201" i="2"/>
  <c r="AD203" i="2"/>
  <c r="T205" i="2"/>
  <c r="AB207" i="2"/>
  <c r="Q201" i="2"/>
  <c r="AR202" i="2"/>
  <c r="Z204" i="2"/>
  <c r="S206" i="2"/>
  <c r="S178" i="2"/>
  <c r="I180" i="2"/>
  <c r="AJ181" i="2"/>
  <c r="R183" i="2"/>
  <c r="AS184" i="2"/>
  <c r="X187" i="2"/>
  <c r="N189" i="2"/>
  <c r="AO190" i="2"/>
  <c r="W192" i="2"/>
  <c r="M194" i="2"/>
  <c r="AF195" i="2"/>
  <c r="V197" i="2"/>
  <c r="L199" i="2"/>
  <c r="AE200" i="2"/>
  <c r="U202" i="2"/>
  <c r="AN203" i="2"/>
  <c r="AG205" i="2"/>
  <c r="AR207" i="2"/>
  <c r="Y177" i="2"/>
  <c r="G179" i="2"/>
  <c r="AH180" i="2"/>
  <c r="P182" i="2"/>
  <c r="AQ183" i="2"/>
  <c r="AG185" i="2"/>
  <c r="T188" i="2"/>
  <c r="AM189" i="2"/>
  <c r="AC191" i="2"/>
  <c r="K193" i="2"/>
  <c r="AL194" i="2"/>
  <c r="AB196" i="2"/>
  <c r="J198" i="2"/>
  <c r="AK199" i="2"/>
  <c r="S201" i="2"/>
  <c r="I203" i="2"/>
  <c r="AJ204" i="2"/>
  <c r="AG206" i="2"/>
  <c r="W184" i="2"/>
  <c r="J187" i="2"/>
  <c r="AK188" i="2"/>
  <c r="S190" i="2"/>
  <c r="I192" i="2"/>
  <c r="AJ193" i="2"/>
  <c r="R195" i="2"/>
  <c r="AS196" i="2"/>
  <c r="AA198" i="2"/>
  <c r="Q200" i="2"/>
  <c r="AR201" i="2"/>
  <c r="Z203" i="2"/>
  <c r="H205" i="2"/>
  <c r="G207" i="2"/>
  <c r="I179" i="2"/>
  <c r="AJ180" i="2"/>
  <c r="R182" i="2"/>
  <c r="AS183" i="2"/>
  <c r="AA185" i="2"/>
  <c r="N188" i="2"/>
  <c r="AO189" i="2"/>
  <c r="W191" i="2"/>
  <c r="M193" i="2"/>
  <c r="AF194" i="2"/>
  <c r="V196" i="2"/>
  <c r="L198" i="2"/>
  <c r="AE199" i="2"/>
  <c r="U201" i="2"/>
  <c r="AN202" i="2"/>
  <c r="AD204" i="2"/>
  <c r="AI206" i="2"/>
  <c r="G178" i="2"/>
  <c r="AH179" i="2"/>
  <c r="P181" i="2"/>
  <c r="AQ182" i="2"/>
  <c r="AG184" i="2"/>
  <c r="T187" i="2"/>
  <c r="AM188" i="2"/>
  <c r="AC190" i="2"/>
  <c r="K192" i="2"/>
  <c r="AL193" i="2"/>
  <c r="AB195" i="2"/>
  <c r="J197" i="2"/>
  <c r="AK198" i="2"/>
  <c r="S200" i="2"/>
  <c r="I202" i="2"/>
  <c r="AJ203" i="2"/>
  <c r="R205" i="2"/>
  <c r="AK207" i="2"/>
  <c r="AL209" i="2"/>
  <c r="V234" i="2"/>
  <c r="H209" i="2"/>
  <c r="V206" i="2"/>
  <c r="I209" i="2"/>
  <c r="Z207" i="2"/>
  <c r="P206" i="2"/>
  <c r="AQ207" i="2"/>
  <c r="K236" i="2"/>
  <c r="O240" i="2"/>
  <c r="O256" i="2"/>
  <c r="AR239" i="2"/>
  <c r="J162" i="2"/>
  <c r="L162" i="2"/>
  <c r="AS162" i="2"/>
  <c r="AJ162" i="2"/>
  <c r="AF178" i="2"/>
  <c r="AB184" i="2"/>
  <c r="G193" i="2"/>
  <c r="AG199" i="2"/>
  <c r="R178" i="2"/>
  <c r="I182" i="2"/>
  <c r="AD190" i="2"/>
  <c r="AC197" i="2"/>
  <c r="AK178" i="2"/>
  <c r="AG182" i="2"/>
  <c r="AF190" i="2"/>
  <c r="Z196" i="2"/>
  <c r="M203" i="2"/>
  <c r="N180" i="2"/>
  <c r="M185" i="2"/>
  <c r="N192" i="2"/>
  <c r="AQ199" i="2"/>
  <c r="H178" i="2"/>
  <c r="Q182" i="2"/>
  <c r="AH188" i="2"/>
  <c r="AB194" i="2"/>
  <c r="T200" i="2"/>
  <c r="M177" i="2"/>
  <c r="S180" i="2"/>
  <c r="R184" i="2"/>
  <c r="S191" i="2"/>
  <c r="AS197" i="2"/>
  <c r="AF162" i="2"/>
  <c r="AE177" i="2"/>
  <c r="K181" i="2"/>
  <c r="AM187" i="2"/>
  <c r="AJ194" i="2"/>
  <c r="AB200" i="2"/>
  <c r="R177" i="2"/>
  <c r="AI181" i="2"/>
  <c r="U189" i="2"/>
  <c r="AS195" i="2"/>
  <c r="S205" i="2"/>
  <c r="I178" i="2"/>
  <c r="AJ179" i="2"/>
  <c r="R181" i="2"/>
  <c r="AS182" i="2"/>
  <c r="AA184" i="2"/>
  <c r="V187" i="2"/>
  <c r="L189" i="2"/>
  <c r="AE190" i="2"/>
  <c r="U192" i="2"/>
  <c r="AN193" i="2"/>
  <c r="AD195" i="2"/>
  <c r="T197" i="2"/>
  <c r="AM198" i="2"/>
  <c r="AC200" i="2"/>
  <c r="K202" i="2"/>
  <c r="AL203" i="2"/>
  <c r="AE205" i="2"/>
  <c r="AM207" i="2"/>
  <c r="Y201" i="2"/>
  <c r="G203" i="2"/>
  <c r="AH204" i="2"/>
  <c r="AC206" i="2"/>
  <c r="AA178" i="2"/>
  <c r="Q180" i="2"/>
  <c r="AR181" i="2"/>
  <c r="Z183" i="2"/>
  <c r="H185" i="2"/>
  <c r="AF187" i="2"/>
  <c r="V189" i="2"/>
  <c r="L191" i="2"/>
  <c r="AE192" i="2"/>
  <c r="U194" i="2"/>
  <c r="AN195" i="2"/>
  <c r="AD197" i="2"/>
  <c r="T199" i="2"/>
  <c r="AM200" i="2"/>
  <c r="AC202" i="2"/>
  <c r="K204" i="2"/>
  <c r="AR205" i="2"/>
  <c r="L209" i="2"/>
  <c r="AG177" i="2"/>
  <c r="O179" i="2"/>
  <c r="AP180" i="2"/>
  <c r="X182" i="2"/>
  <c r="N184" i="2"/>
  <c r="AO185" i="2"/>
  <c r="AB188" i="2"/>
  <c r="J190" i="2"/>
  <c r="AK191" i="2"/>
  <c r="S193" i="2"/>
  <c r="I195" i="2"/>
  <c r="AJ196" i="2"/>
  <c r="R198" i="2"/>
  <c r="AS199" i="2"/>
  <c r="AA201" i="2"/>
  <c r="Q203" i="2"/>
  <c r="AR204" i="2"/>
  <c r="AQ206" i="2"/>
  <c r="L183" i="2"/>
  <c r="AE184" i="2"/>
  <c r="R187" i="2"/>
  <c r="AS188" i="2"/>
  <c r="AA190" i="2"/>
  <c r="Q192" i="2"/>
  <c r="AR193" i="2"/>
  <c r="Z195" i="2"/>
  <c r="H197" i="2"/>
  <c r="AI198" i="2"/>
  <c r="Y200" i="2"/>
  <c r="G202" i="2"/>
  <c r="AH203" i="2"/>
  <c r="P205" i="2"/>
  <c r="U207" i="2"/>
  <c r="Q179" i="2"/>
  <c r="AR180" i="2"/>
  <c r="Z182" i="2"/>
  <c r="H184" i="2"/>
  <c r="AI185" i="2"/>
  <c r="V188" i="2"/>
  <c r="L190" i="2"/>
  <c r="AE191" i="2"/>
  <c r="U193" i="2"/>
  <c r="AN194" i="2"/>
  <c r="AD196" i="2"/>
  <c r="T198" i="2"/>
  <c r="AM199" i="2"/>
  <c r="AC201" i="2"/>
  <c r="K203" i="2"/>
  <c r="AL204" i="2"/>
  <c r="AS206" i="2"/>
  <c r="O178" i="2"/>
  <c r="AP179" i="2"/>
  <c r="X181" i="2"/>
  <c r="N183" i="2"/>
  <c r="AO184" i="2"/>
  <c r="AB187" i="2"/>
  <c r="J189" i="2"/>
  <c r="AK190" i="2"/>
  <c r="S192" i="2"/>
  <c r="I194" i="2"/>
  <c r="AJ195" i="2"/>
  <c r="R197" i="2"/>
  <c r="AS198" i="2"/>
  <c r="AA200" i="2"/>
  <c r="Q202" i="2"/>
  <c r="AR203" i="2"/>
  <c r="AB205" i="2"/>
  <c r="AB209" i="2"/>
  <c r="AO238" i="2"/>
  <c r="P209" i="2"/>
  <c r="AD206" i="2"/>
  <c r="Q209" i="2"/>
  <c r="AH207" i="2"/>
  <c r="X206" i="2"/>
  <c r="K209" i="2"/>
  <c r="X243" i="2"/>
  <c r="AB239" i="2"/>
  <c r="AG243" i="2"/>
  <c r="W260" i="2"/>
  <c r="W240" i="2"/>
  <c r="AK162" i="2"/>
  <c r="G162" i="2"/>
  <c r="T162" i="2"/>
  <c r="W162" i="2"/>
  <c r="S179" i="2"/>
  <c r="AE185" i="2"/>
  <c r="AM193" i="2"/>
  <c r="AR200" i="2"/>
  <c r="AH178" i="2"/>
  <c r="AD182" i="2"/>
  <c r="AI191" i="2"/>
  <c r="AD198" i="2"/>
  <c r="X179" i="2"/>
  <c r="AE183" i="2"/>
  <c r="I191" i="2"/>
  <c r="AI197" i="2"/>
  <c r="AI180" i="2"/>
  <c r="AS185" i="2"/>
  <c r="Q193" i="2"/>
  <c r="N200" i="2"/>
  <c r="X178" i="2"/>
  <c r="AL182" i="2"/>
  <c r="K189" i="2"/>
  <c r="AE195" i="2"/>
  <c r="AP202" i="2"/>
  <c r="AC177" i="2"/>
  <c r="AN180" i="2"/>
  <c r="U185" i="2"/>
  <c r="V192" i="2"/>
  <c r="N198" i="2"/>
  <c r="AN162" i="2"/>
  <c r="M178" i="2"/>
  <c r="AG181" i="2"/>
  <c r="J188" i="2"/>
  <c r="G195" i="2"/>
  <c r="G201" i="2"/>
  <c r="AH177" i="2"/>
  <c r="Y182" i="2"/>
  <c r="V190" i="2"/>
  <c r="P196" i="2"/>
  <c r="Q206" i="2"/>
  <c r="Q178" i="2"/>
  <c r="AR179" i="2"/>
  <c r="Z181" i="2"/>
  <c r="H183" i="2"/>
  <c r="AI184" i="2"/>
  <c r="AD187" i="2"/>
  <c r="T189" i="2"/>
  <c r="AM190" i="2"/>
  <c r="AC192" i="2"/>
  <c r="K194" i="2"/>
  <c r="AL195" i="2"/>
  <c r="AB197" i="2"/>
  <c r="J199" i="2"/>
  <c r="AK200" i="2"/>
  <c r="S202" i="2"/>
  <c r="I204" i="2"/>
  <c r="AO205" i="2"/>
  <c r="AJ209" i="2"/>
  <c r="AG201" i="2"/>
  <c r="O203" i="2"/>
  <c r="AP204" i="2"/>
  <c r="AO206" i="2"/>
  <c r="H177" i="2"/>
  <c r="AI178" i="2"/>
  <c r="Y180" i="2"/>
  <c r="G182" i="2"/>
  <c r="AH183" i="2"/>
  <c r="P185" i="2"/>
  <c r="AN187" i="2"/>
  <c r="AD189" i="2"/>
  <c r="T191" i="2"/>
  <c r="AM192" i="2"/>
  <c r="AC194" i="2"/>
  <c r="K196" i="2"/>
  <c r="AL197" i="2"/>
  <c r="AB199" i="2"/>
  <c r="J201" i="2"/>
  <c r="AK202" i="2"/>
  <c r="S204" i="2"/>
  <c r="J206" i="2"/>
  <c r="AR209" i="2"/>
  <c r="AO177" i="2"/>
  <c r="W179" i="2"/>
  <c r="M181" i="2"/>
  <c r="AF182" i="2"/>
  <c r="V184" i="2"/>
  <c r="I187" i="2"/>
  <c r="AJ188" i="2"/>
  <c r="R190" i="2"/>
  <c r="AS191" i="2"/>
  <c r="AA193" i="2"/>
  <c r="Q195" i="2"/>
  <c r="AR196" i="2"/>
  <c r="Z198" i="2"/>
  <c r="H200" i="2"/>
  <c r="AI201" i="2"/>
  <c r="Y203" i="2"/>
  <c r="G205" i="2"/>
  <c r="T207" i="2"/>
  <c r="T183" i="2"/>
  <c r="AM184" i="2"/>
  <c r="Z187" i="2"/>
  <c r="H189" i="2"/>
  <c r="AI190" i="2"/>
  <c r="Y192" i="2"/>
  <c r="G194" i="2"/>
  <c r="AH195" i="2"/>
  <c r="P197" i="2"/>
  <c r="AQ198" i="2"/>
  <c r="AG200" i="2"/>
  <c r="O202" i="2"/>
  <c r="AP203" i="2"/>
  <c r="Y205" i="2"/>
  <c r="AF207" i="2"/>
  <c r="Y179" i="2"/>
  <c r="G181" i="2"/>
  <c r="AH182" i="2"/>
  <c r="P184" i="2"/>
  <c r="AQ185" i="2"/>
  <c r="AD188" i="2"/>
  <c r="T190" i="2"/>
  <c r="AM191" i="2"/>
  <c r="AC193" i="2"/>
  <c r="K195" i="2"/>
  <c r="AL196" i="2"/>
  <c r="AB198" i="2"/>
  <c r="J200" i="2"/>
  <c r="AK201" i="2"/>
  <c r="S203" i="2"/>
  <c r="I205" i="2"/>
  <c r="H207" i="2"/>
  <c r="W178" i="2"/>
  <c r="M180" i="2"/>
  <c r="AF181" i="2"/>
  <c r="V183" i="2"/>
  <c r="L185" i="2"/>
  <c r="AJ187" i="2"/>
  <c r="R189" i="2"/>
  <c r="AS190" i="2"/>
  <c r="AA192" i="2"/>
  <c r="Q194" i="2"/>
  <c r="AR195" i="2"/>
  <c r="Z197" i="2"/>
  <c r="H199" i="2"/>
  <c r="AI200" i="2"/>
  <c r="Y202" i="2"/>
  <c r="G204" i="2"/>
  <c r="AM205" i="2"/>
  <c r="V248" i="2"/>
  <c r="X209" i="2"/>
  <c r="AL206" i="2"/>
  <c r="Y209" i="2"/>
  <c r="AP207" i="2"/>
  <c r="G240" i="2"/>
  <c r="AF206" i="2"/>
  <c r="S209" i="2"/>
  <c r="Q244" i="2"/>
  <c r="H266" i="2"/>
  <c r="J241" i="2"/>
  <c r="AL244" i="2"/>
  <c r="AC162" i="2"/>
  <c r="R162" i="2"/>
  <c r="AE162" i="2"/>
  <c r="K162" i="2"/>
  <c r="AH162" i="2"/>
  <c r="AN179" i="2"/>
  <c r="O187" i="2"/>
  <c r="L194" i="2"/>
  <c r="W201" i="2"/>
  <c r="U179" i="2"/>
  <c r="Y183" i="2"/>
  <c r="AL192" i="2"/>
  <c r="AI199" i="2"/>
  <c r="AS179" i="2"/>
  <c r="AJ184" i="2"/>
  <c r="AO191" i="2"/>
  <c r="AF198" i="2"/>
  <c r="J177" i="2"/>
  <c r="Y181" i="2"/>
  <c r="AC187" i="2"/>
  <c r="Z194" i="2"/>
  <c r="AH202" i="2"/>
  <c r="AN178" i="2"/>
  <c r="G183" i="2"/>
  <c r="AQ189" i="2"/>
  <c r="AH196" i="2"/>
  <c r="AC203" i="2"/>
  <c r="AS177" i="2"/>
  <c r="I181" i="2"/>
  <c r="AK187" i="2"/>
  <c r="Y193" i="2"/>
  <c r="S199" i="2"/>
  <c r="AC178" i="2"/>
  <c r="V182" i="2"/>
  <c r="AP188" i="2"/>
  <c r="AM195" i="2"/>
  <c r="AS203" i="2"/>
  <c r="N178" i="2"/>
  <c r="Q183" i="2"/>
  <c r="AA191" i="2"/>
  <c r="U197" i="2"/>
  <c r="M207" i="2"/>
  <c r="Y178" i="2"/>
  <c r="G180" i="2"/>
  <c r="AH181" i="2"/>
  <c r="P183" i="2"/>
  <c r="AQ184" i="2"/>
  <c r="AL187" i="2"/>
  <c r="AB189" i="2"/>
  <c r="J191" i="2"/>
  <c r="AK192" i="2"/>
  <c r="S194" i="2"/>
  <c r="I196" i="2"/>
  <c r="AJ197" i="2"/>
  <c r="R199" i="2"/>
  <c r="AS200" i="2"/>
  <c r="AA202" i="2"/>
  <c r="Q204" i="2"/>
  <c r="G206" i="2"/>
  <c r="AO201" i="2"/>
  <c r="W203" i="2"/>
  <c r="M205" i="2"/>
  <c r="O207" i="2"/>
  <c r="P177" i="2"/>
  <c r="AQ178" i="2"/>
  <c r="AG180" i="2"/>
  <c r="O182" i="2"/>
  <c r="AP183" i="2"/>
  <c r="X185" i="2"/>
  <c r="K188" i="2"/>
  <c r="AL189" i="2"/>
  <c r="AB191" i="2"/>
  <c r="J193" i="2"/>
  <c r="AK194" i="2"/>
  <c r="S196" i="2"/>
  <c r="I198" i="2"/>
  <c r="AJ199" i="2"/>
  <c r="R201" i="2"/>
  <c r="AS202" i="2"/>
  <c r="AA204" i="2"/>
  <c r="T206" i="2"/>
  <c r="L178" i="2"/>
  <c r="AE179" i="2"/>
  <c r="U181" i="2"/>
  <c r="AN182" i="2"/>
  <c r="AD184" i="2"/>
  <c r="Q187" i="2"/>
  <c r="AR188" i="2"/>
  <c r="Z190" i="2"/>
  <c r="H192" i="2"/>
  <c r="AI193" i="2"/>
  <c r="Y195" i="2"/>
  <c r="G197" i="2"/>
  <c r="AH198" i="2"/>
  <c r="P200" i="2"/>
  <c r="AQ201" i="2"/>
  <c r="AG203" i="2"/>
  <c r="O205" i="2"/>
  <c r="AE207" i="2"/>
  <c r="AB183" i="2"/>
  <c r="J185" i="2"/>
  <c r="AH187" i="2"/>
  <c r="P189" i="2"/>
  <c r="AQ190" i="2"/>
  <c r="AG192" i="2"/>
  <c r="O194" i="2"/>
  <c r="AP195" i="2"/>
  <c r="X197" i="2"/>
  <c r="N199" i="2"/>
  <c r="AO200" i="2"/>
  <c r="W202" i="2"/>
  <c r="M204" i="2"/>
  <c r="AJ205" i="2"/>
  <c r="T209" i="2"/>
  <c r="AG179" i="2"/>
  <c r="O181" i="2"/>
  <c r="AP182" i="2"/>
  <c r="X184" i="2"/>
  <c r="K187" i="2"/>
  <c r="AL188" i="2"/>
  <c r="AB190" i="2"/>
  <c r="J192" i="2"/>
  <c r="AK193" i="2"/>
  <c r="S195" i="2"/>
  <c r="I197" i="2"/>
  <c r="AJ198" i="2"/>
  <c r="R200" i="2"/>
  <c r="AS201" i="2"/>
  <c r="AA203" i="2"/>
  <c r="Q205" i="2"/>
  <c r="V207" i="2"/>
  <c r="L177" i="2"/>
  <c r="AE178" i="2"/>
  <c r="U180" i="2"/>
  <c r="AN181" i="2"/>
  <c r="AD183" i="2"/>
  <c r="T185" i="2"/>
  <c r="AR187" i="2"/>
  <c r="Z189" i="2"/>
  <c r="H191" i="2"/>
  <c r="AI192" i="2"/>
  <c r="Y194" i="2"/>
  <c r="G196" i="2"/>
  <c r="AH197" i="2"/>
  <c r="P199" i="2"/>
  <c r="AQ200" i="2"/>
  <c r="AG202" i="2"/>
  <c r="O204" i="2"/>
  <c r="O206" i="2"/>
  <c r="G209" i="2"/>
  <c r="AF209" i="2"/>
  <c r="I207" i="2"/>
  <c r="AG209" i="2"/>
  <c r="J209" i="2"/>
  <c r="U205" i="2"/>
  <c r="AN206" i="2"/>
  <c r="AA209" i="2"/>
  <c r="M245" i="2"/>
  <c r="AP243" i="2"/>
  <c r="AB162" i="2"/>
  <c r="AP162" i="2"/>
  <c r="U162" i="2"/>
  <c r="AR162" i="2"/>
  <c r="AA180" i="2"/>
  <c r="R188" i="2"/>
  <c r="AR194" i="2"/>
  <c r="J202" i="2"/>
  <c r="AQ179" i="2"/>
  <c r="AH184" i="2"/>
  <c r="I193" i="2"/>
  <c r="AE201" i="2"/>
  <c r="K180" i="2"/>
  <c r="G185" i="2"/>
  <c r="L192" i="2"/>
  <c r="I199" i="2"/>
  <c r="Z177" i="2"/>
  <c r="N182" i="2"/>
  <c r="AF188" i="2"/>
  <c r="AC195" i="2"/>
  <c r="U203" i="2"/>
  <c r="H179" i="2"/>
  <c r="AM183" i="2"/>
  <c r="H190" i="2"/>
  <c r="K197" i="2"/>
  <c r="H204" i="2"/>
  <c r="J178" i="2"/>
  <c r="AD181" i="2"/>
  <c r="H188" i="2"/>
  <c r="AH194" i="2"/>
  <c r="V200" i="2"/>
  <c r="AS178" i="2"/>
  <c r="AR182" i="2"/>
  <c r="S189" i="2"/>
  <c r="J196" i="2"/>
  <c r="X204" i="2"/>
  <c r="AD178" i="2"/>
  <c r="Z184" i="2"/>
  <c r="AD192" i="2"/>
  <c r="V198" i="2"/>
  <c r="AG178" i="2"/>
  <c r="O180" i="2"/>
  <c r="AP181" i="2"/>
  <c r="X183" i="2"/>
  <c r="N185" i="2"/>
  <c r="I188" i="2"/>
  <c r="AJ189" i="2"/>
  <c r="R191" i="2"/>
  <c r="AS192" i="2"/>
  <c r="AA194" i="2"/>
  <c r="Q196" i="2"/>
  <c r="AR197" i="2"/>
  <c r="Z199" i="2"/>
  <c r="H201" i="2"/>
  <c r="AI202" i="2"/>
  <c r="Y204" i="2"/>
  <c r="R206" i="2"/>
  <c r="L202" i="2"/>
  <c r="AE203" i="2"/>
  <c r="V205" i="2"/>
  <c r="AC207" i="2"/>
  <c r="X177" i="2"/>
  <c r="N179" i="2"/>
  <c r="AO180" i="2"/>
  <c r="W182" i="2"/>
  <c r="M184" i="2"/>
  <c r="AF185" i="2"/>
  <c r="S188" i="2"/>
  <c r="I190" i="2"/>
  <c r="AJ191" i="2"/>
  <c r="R193" i="2"/>
  <c r="AS194" i="2"/>
  <c r="AA196" i="2"/>
  <c r="Q198" i="2"/>
  <c r="AR199" i="2"/>
  <c r="Z201" i="2"/>
  <c r="H203" i="2"/>
  <c r="AI204" i="2"/>
  <c r="AE206" i="2"/>
  <c r="T178" i="2"/>
  <c r="AM179" i="2"/>
  <c r="AC181" i="2"/>
  <c r="K183" i="2"/>
  <c r="AL184" i="2"/>
  <c r="Y187" i="2"/>
  <c r="G189" i="2"/>
  <c r="AH190" i="2"/>
  <c r="P192" i="2"/>
  <c r="AQ193" i="2"/>
  <c r="AG195" i="2"/>
  <c r="O197" i="2"/>
  <c r="AP198" i="2"/>
  <c r="X200" i="2"/>
  <c r="N202" i="2"/>
  <c r="AO203" i="2"/>
  <c r="X205" i="2"/>
  <c r="AS207" i="2"/>
  <c r="AJ183" i="2"/>
  <c r="R185" i="2"/>
  <c r="AP187" i="2"/>
  <c r="X189" i="2"/>
  <c r="N191" i="2"/>
  <c r="AO192" i="2"/>
  <c r="W194" i="2"/>
  <c r="M196" i="2"/>
  <c r="AF197" i="2"/>
  <c r="V199" i="2"/>
  <c r="L201" i="2"/>
  <c r="AE202" i="2"/>
  <c r="U204" i="2"/>
  <c r="L206" i="2"/>
  <c r="AO179" i="2"/>
  <c r="W181" i="2"/>
  <c r="M183" i="2"/>
  <c r="AF184" i="2"/>
  <c r="S187" i="2"/>
  <c r="I189" i="2"/>
  <c r="AJ190" i="2"/>
  <c r="R192" i="2"/>
  <c r="AS193" i="2"/>
  <c r="AA195" i="2"/>
  <c r="Q197" i="2"/>
  <c r="AR198" i="2"/>
  <c r="Z200" i="2"/>
  <c r="H202" i="2"/>
  <c r="AI203" i="2"/>
  <c r="Z205" i="2"/>
  <c r="AJ207" i="2"/>
  <c r="T177" i="2"/>
  <c r="AM178" i="2"/>
  <c r="AC180" i="2"/>
  <c r="K182" i="2"/>
  <c r="AL183" i="2"/>
  <c r="AB185" i="2"/>
  <c r="G188" i="2"/>
  <c r="AH189" i="2"/>
  <c r="P191" i="2"/>
  <c r="AQ192" i="2"/>
  <c r="AG194" i="2"/>
  <c r="O196" i="2"/>
  <c r="AP197" i="2"/>
  <c r="X199" i="2"/>
  <c r="N201" i="2"/>
  <c r="AO202" i="2"/>
  <c r="W204" i="2"/>
  <c r="Z206" i="2"/>
  <c r="X235" i="2"/>
  <c r="O209" i="2"/>
  <c r="AN209" i="2"/>
  <c r="AA205" i="2"/>
  <c r="Q207" i="2"/>
  <c r="AO209" i="2"/>
  <c r="R209" i="2"/>
  <c r="AC205" i="2"/>
  <c r="K207" i="2"/>
  <c r="AI209" i="2"/>
  <c r="X234" i="2"/>
  <c r="K246" i="2"/>
  <c r="AB244" i="2"/>
  <c r="AQ236" i="2"/>
  <c r="AP258" i="2"/>
  <c r="P234" i="2"/>
  <c r="H243" i="2"/>
  <c r="U234" i="2"/>
  <c r="AB257" i="2"/>
  <c r="T236" i="2"/>
  <c r="AM237" i="2"/>
  <c r="AC239" i="2"/>
  <c r="K241" i="2"/>
  <c r="AL242" i="2"/>
  <c r="AC244" i="2"/>
  <c r="AI247" i="2"/>
  <c r="P254" i="2"/>
  <c r="S266" i="2"/>
  <c r="J235" i="2"/>
  <c r="AK236" i="2"/>
  <c r="S238" i="2"/>
  <c r="I240" i="2"/>
  <c r="AJ241" i="2"/>
  <c r="R243" i="2"/>
  <c r="P245" i="2"/>
  <c r="AK250" i="2"/>
  <c r="W256" i="2"/>
  <c r="AA235" i="2"/>
  <c r="Q237" i="2"/>
  <c r="AR238" i="2"/>
  <c r="Z240" i="2"/>
  <c r="H242" i="2"/>
  <c r="AJ243" i="2"/>
  <c r="AN245" i="2"/>
  <c r="AR250" i="2"/>
  <c r="AL257" i="2"/>
  <c r="AG234" i="2"/>
  <c r="O236" i="2"/>
  <c r="AP237" i="2"/>
  <c r="X239" i="2"/>
  <c r="N241" i="2"/>
  <c r="AO242" i="2"/>
  <c r="AR244" i="2"/>
  <c r="AQ247" i="2"/>
  <c r="Y254" i="2"/>
  <c r="AP234" i="2"/>
  <c r="X236" i="2"/>
  <c r="N238" i="2"/>
  <c r="AO239" i="2"/>
  <c r="W241" i="2"/>
  <c r="M243" i="2"/>
  <c r="I245" i="2"/>
  <c r="AK248" i="2"/>
  <c r="J257" i="2"/>
  <c r="AI234" i="2"/>
  <c r="Y236" i="2"/>
  <c r="G238" i="2"/>
  <c r="AH239" i="2"/>
  <c r="P241" i="2"/>
  <c r="AQ242" i="2"/>
  <c r="K245" i="2"/>
  <c r="AA247" i="2"/>
  <c r="K255" i="2"/>
  <c r="AN274" i="2"/>
  <c r="G235" i="2"/>
  <c r="AH236" i="2"/>
  <c r="P238" i="2"/>
  <c r="AQ239" i="2"/>
  <c r="AG241" i="2"/>
  <c r="O243" i="2"/>
  <c r="W245" i="2"/>
  <c r="U248" i="2"/>
  <c r="L255" i="2"/>
  <c r="AS273" i="2"/>
  <c r="AG251" i="2"/>
  <c r="O253" i="2"/>
  <c r="AP254" i="2"/>
  <c r="X256" i="2"/>
  <c r="W258" i="2"/>
  <c r="AO261" i="2"/>
  <c r="AN243" i="2"/>
  <c r="AD245" i="2"/>
  <c r="T247" i="2"/>
  <c r="AM248" i="2"/>
  <c r="Z251" i="2"/>
  <c r="H253" i="2"/>
  <c r="AI254" i="2"/>
  <c r="Y256" i="2"/>
  <c r="X258" i="2"/>
  <c r="J261" i="2"/>
  <c r="J271" i="2"/>
  <c r="U247" i="2"/>
  <c r="AN248" i="2"/>
  <c r="AA251" i="2"/>
  <c r="Q253" i="2"/>
  <c r="AR254" i="2"/>
  <c r="Z256" i="2"/>
  <c r="Y258" i="2"/>
  <c r="AC262" i="2"/>
  <c r="AD247" i="2"/>
  <c r="Q250" i="2"/>
  <c r="AR251" i="2"/>
  <c r="Z253" i="2"/>
  <c r="H255" i="2"/>
  <c r="AI256" i="2"/>
  <c r="Z258" i="2"/>
  <c r="AN269" i="2"/>
  <c r="AJ246" i="2"/>
  <c r="R248" i="2"/>
  <c r="AP250" i="2"/>
  <c r="X252" i="2"/>
  <c r="N254" i="2"/>
  <c r="AO255" i="2"/>
  <c r="Y257" i="2"/>
  <c r="AI259" i="2"/>
  <c r="X273" i="2"/>
  <c r="AM244" i="2"/>
  <c r="AC246" i="2"/>
  <c r="K248" i="2"/>
  <c r="AI250" i="2"/>
  <c r="Y252" i="2"/>
  <c r="G254" i="2"/>
  <c r="AH255" i="2"/>
  <c r="Q257" i="2"/>
  <c r="T259" i="2"/>
  <c r="AI273" i="2"/>
  <c r="K261" i="2"/>
  <c r="AL262" i="2"/>
  <c r="AC264" i="2"/>
  <c r="AP266" i="2"/>
  <c r="I269" i="2"/>
  <c r="V271" i="2"/>
  <c r="Y273" i="2"/>
  <c r="AL275" i="2"/>
  <c r="I260" i="2"/>
  <c r="AJ261" i="2"/>
  <c r="R263" i="2"/>
  <c r="P265" i="2"/>
  <c r="R267" i="2"/>
  <c r="AF269" i="2"/>
  <c r="AS271" i="2"/>
  <c r="K274" i="2"/>
  <c r="P276" i="2"/>
  <c r="O259" i="2"/>
  <c r="AP260" i="2"/>
  <c r="X262" i="2"/>
  <c r="N264" i="2"/>
  <c r="L266" i="2"/>
  <c r="P268" i="2"/>
  <c r="R270" i="2"/>
  <c r="AF272" i="2"/>
  <c r="AH274" i="2"/>
  <c r="G277" i="2"/>
  <c r="S260" i="2"/>
  <c r="I262" i="2"/>
  <c r="AJ263" i="2"/>
  <c r="S265" i="2"/>
  <c r="AE267" i="2"/>
  <c r="AS269" i="2"/>
  <c r="L272" i="2"/>
  <c r="N274" i="2"/>
  <c r="AP276" i="2"/>
  <c r="N258" i="2"/>
  <c r="AO259" i="2"/>
  <c r="W261" i="2"/>
  <c r="M263" i="2"/>
  <c r="AH264" i="2"/>
  <c r="AJ266" i="2"/>
  <c r="AN268" i="2"/>
  <c r="Q271" i="2"/>
  <c r="T273" i="2"/>
  <c r="AG275" i="2"/>
  <c r="U260" i="2"/>
  <c r="AN261" i="2"/>
  <c r="AD263" i="2"/>
  <c r="AF265" i="2"/>
  <c r="AS267" i="2"/>
  <c r="K270" i="2"/>
  <c r="N272" i="2"/>
  <c r="AA274" i="2"/>
  <c r="P277" i="2"/>
  <c r="AE263" i="2"/>
  <c r="AG265" i="2"/>
  <c r="AI267" i="2"/>
  <c r="AM269" i="2"/>
  <c r="AO271" i="2"/>
  <c r="G274" i="2"/>
  <c r="AB276" i="2"/>
  <c r="AP265" i="2"/>
  <c r="X267" i="2"/>
  <c r="N269" i="2"/>
  <c r="AO270" i="2"/>
  <c r="W272" i="2"/>
  <c r="M274" i="2"/>
  <c r="AF275" i="2"/>
  <c r="Z277" i="2"/>
  <c r="R277" i="2"/>
  <c r="AD277" i="2"/>
  <c r="AL265" i="2"/>
  <c r="AB267" i="2"/>
  <c r="J269" i="2"/>
  <c r="AK270" i="2"/>
  <c r="S272" i="2"/>
  <c r="I274" i="2"/>
  <c r="AJ275" i="2"/>
  <c r="T277" i="2"/>
  <c r="W277" i="2"/>
  <c r="Q277" i="2"/>
  <c r="P278" i="2"/>
  <c r="P249" i="2"/>
  <c r="P208" i="2"/>
  <c r="P186" i="2"/>
  <c r="P159" i="2"/>
  <c r="P161" i="2"/>
  <c r="P70" i="2"/>
  <c r="F182" i="2"/>
  <c r="AG278" i="2"/>
  <c r="AG249" i="2"/>
  <c r="AG186" i="2"/>
  <c r="AG208" i="2"/>
  <c r="AG159" i="2"/>
  <c r="AG161" i="2"/>
  <c r="AG70" i="2"/>
  <c r="F250" i="2"/>
  <c r="K278" i="2"/>
  <c r="K249" i="2"/>
  <c r="K208" i="2"/>
  <c r="K186" i="2"/>
  <c r="K161" i="2"/>
  <c r="K159" i="2"/>
  <c r="K70" i="2"/>
  <c r="AH278" i="2"/>
  <c r="AH249" i="2"/>
  <c r="AH208" i="2"/>
  <c r="AH186" i="2"/>
  <c r="AH159" i="2"/>
  <c r="AH161" i="2"/>
  <c r="AH70" i="2"/>
  <c r="F209" i="2"/>
  <c r="Q278" i="2"/>
  <c r="Q249" i="2"/>
  <c r="Q186" i="2"/>
  <c r="Q208" i="2"/>
  <c r="Q159" i="2"/>
  <c r="Q161" i="2"/>
  <c r="Q70" i="2"/>
  <c r="AI245" i="2"/>
  <c r="V237" i="2"/>
  <c r="N234" i="2"/>
  <c r="AL234" i="2"/>
  <c r="AL253" i="2"/>
  <c r="AN234" i="2"/>
  <c r="AH261" i="2"/>
  <c r="AB236" i="2"/>
  <c r="J238" i="2"/>
  <c r="AK239" i="2"/>
  <c r="S241" i="2"/>
  <c r="I243" i="2"/>
  <c r="AN244" i="2"/>
  <c r="AB248" i="2"/>
  <c r="T255" i="2"/>
  <c r="R235" i="2"/>
  <c r="AS236" i="2"/>
  <c r="AA238" i="2"/>
  <c r="Q240" i="2"/>
  <c r="AR241" i="2"/>
  <c r="Z243" i="2"/>
  <c r="AA245" i="2"/>
  <c r="G251" i="2"/>
  <c r="AK257" i="2"/>
  <c r="AI235" i="2"/>
  <c r="Y237" i="2"/>
  <c r="G239" i="2"/>
  <c r="AH240" i="2"/>
  <c r="P242" i="2"/>
  <c r="J244" i="2"/>
  <c r="P246" i="2"/>
  <c r="H251" i="2"/>
  <c r="S258" i="2"/>
  <c r="AO234" i="2"/>
  <c r="W236" i="2"/>
  <c r="M238" i="2"/>
  <c r="AF239" i="2"/>
  <c r="V241" i="2"/>
  <c r="L243" i="2"/>
  <c r="H245" i="2"/>
  <c r="M248" i="2"/>
  <c r="AI255" i="2"/>
  <c r="M235" i="2"/>
  <c r="AF236" i="2"/>
  <c r="V238" i="2"/>
  <c r="L240" i="2"/>
  <c r="AE241" i="2"/>
  <c r="U243" i="2"/>
  <c r="T245" i="2"/>
  <c r="T250" i="2"/>
  <c r="AE258" i="2"/>
  <c r="AQ234" i="2"/>
  <c r="AG236" i="2"/>
  <c r="O238" i="2"/>
  <c r="AP239" i="2"/>
  <c r="X241" i="2"/>
  <c r="N243" i="2"/>
  <c r="U245" i="2"/>
  <c r="T248" i="2"/>
  <c r="AQ255" i="2"/>
  <c r="O235" i="2"/>
  <c r="AP236" i="2"/>
  <c r="X238" i="2"/>
  <c r="N240" i="2"/>
  <c r="AO241" i="2"/>
  <c r="W243" i="2"/>
  <c r="AG245" i="2"/>
  <c r="AR248" i="2"/>
  <c r="AR255" i="2"/>
  <c r="N250" i="2"/>
  <c r="AO251" i="2"/>
  <c r="W253" i="2"/>
  <c r="M255" i="2"/>
  <c r="AF256" i="2"/>
  <c r="AG258" i="2"/>
  <c r="M262" i="2"/>
  <c r="K244" i="2"/>
  <c r="AL245" i="2"/>
  <c r="AB247" i="2"/>
  <c r="G250" i="2"/>
  <c r="AH251" i="2"/>
  <c r="P253" i="2"/>
  <c r="AQ254" i="2"/>
  <c r="AG256" i="2"/>
  <c r="AH258" i="2"/>
  <c r="AP261" i="2"/>
  <c r="AM245" i="2"/>
  <c r="AC247" i="2"/>
  <c r="H250" i="2"/>
  <c r="AI251" i="2"/>
  <c r="Y253" i="2"/>
  <c r="G255" i="2"/>
  <c r="AH256" i="2"/>
  <c r="AI258" i="2"/>
  <c r="H263" i="2"/>
  <c r="AL247" i="2"/>
  <c r="Y250" i="2"/>
  <c r="G252" i="2"/>
  <c r="AH253" i="2"/>
  <c r="P255" i="2"/>
  <c r="AQ256" i="2"/>
  <c r="AK258" i="2"/>
  <c r="AI270" i="2"/>
  <c r="AR246" i="2"/>
  <c r="Z248" i="2"/>
  <c r="M251" i="2"/>
  <c r="AF252" i="2"/>
  <c r="V254" i="2"/>
  <c r="L256" i="2"/>
  <c r="AH257" i="2"/>
  <c r="O260" i="2"/>
  <c r="H274" i="2"/>
  <c r="J245" i="2"/>
  <c r="AK246" i="2"/>
  <c r="S248" i="2"/>
  <c r="AQ250" i="2"/>
  <c r="AG252" i="2"/>
  <c r="O254" i="2"/>
  <c r="AP255" i="2"/>
  <c r="Z257" i="2"/>
  <c r="AJ259" i="2"/>
  <c r="S274" i="2"/>
  <c r="S261" i="2"/>
  <c r="I263" i="2"/>
  <c r="AN264" i="2"/>
  <c r="Q267" i="2"/>
  <c r="T269" i="2"/>
  <c r="AG271" i="2"/>
  <c r="AJ273" i="2"/>
  <c r="N276" i="2"/>
  <c r="Q260" i="2"/>
  <c r="AR261" i="2"/>
  <c r="Z263" i="2"/>
  <c r="AA265" i="2"/>
  <c r="AC267" i="2"/>
  <c r="AQ269" i="2"/>
  <c r="I272" i="2"/>
  <c r="V274" i="2"/>
  <c r="AJ276" i="2"/>
  <c r="W259" i="2"/>
  <c r="M261" i="2"/>
  <c r="AF262" i="2"/>
  <c r="V264" i="2"/>
  <c r="W266" i="2"/>
  <c r="Z268" i="2"/>
  <c r="AB270" i="2"/>
  <c r="AP272" i="2"/>
  <c r="AR274" i="2"/>
  <c r="AI277" i="2"/>
  <c r="AA260" i="2"/>
  <c r="Q262" i="2"/>
  <c r="AR263" i="2"/>
  <c r="AC265" i="2"/>
  <c r="AP267" i="2"/>
  <c r="H270" i="2"/>
  <c r="V272" i="2"/>
  <c r="X274" i="2"/>
  <c r="L277" i="2"/>
  <c r="V258" i="2"/>
  <c r="L260" i="2"/>
  <c r="AE261" i="2"/>
  <c r="U263" i="2"/>
  <c r="AS264" i="2"/>
  <c r="K267" i="2"/>
  <c r="O269" i="2"/>
  <c r="AA271" i="2"/>
  <c r="AE273" i="2"/>
  <c r="AQ275" i="2"/>
  <c r="AC260" i="2"/>
  <c r="K262" i="2"/>
  <c r="AL263" i="2"/>
  <c r="AQ265" i="2"/>
  <c r="I268" i="2"/>
  <c r="V270" i="2"/>
  <c r="Y272" i="2"/>
  <c r="AL274" i="2"/>
  <c r="T262" i="2"/>
  <c r="AM263" i="2"/>
  <c r="AR265" i="2"/>
  <c r="J268" i="2"/>
  <c r="L270" i="2"/>
  <c r="P272" i="2"/>
  <c r="R274" i="2"/>
  <c r="V277" i="2"/>
  <c r="M266" i="2"/>
  <c r="AF267" i="2"/>
  <c r="V269" i="2"/>
  <c r="L271" i="2"/>
  <c r="AE272" i="2"/>
  <c r="U274" i="2"/>
  <c r="AN275" i="2"/>
  <c r="AJ277" i="2"/>
  <c r="AB277" i="2"/>
  <c r="AN277" i="2"/>
  <c r="I266" i="2"/>
  <c r="AJ267" i="2"/>
  <c r="R269" i="2"/>
  <c r="AS270" i="2"/>
  <c r="AA272" i="2"/>
  <c r="Q274" i="2"/>
  <c r="AR275" i="2"/>
  <c r="AE277" i="2"/>
  <c r="AH277" i="2"/>
  <c r="Y277" i="2"/>
  <c r="F180" i="2"/>
  <c r="F196" i="2"/>
  <c r="F179" i="2"/>
  <c r="H234" i="2"/>
  <c r="AQ246" i="2"/>
  <c r="I238" i="2"/>
  <c r="AK234" i="2"/>
  <c r="H235" i="2"/>
  <c r="P235" i="2"/>
  <c r="I235" i="2"/>
  <c r="AJ236" i="2"/>
  <c r="R238" i="2"/>
  <c r="AS239" i="2"/>
  <c r="AA241" i="2"/>
  <c r="Q243" i="2"/>
  <c r="O245" i="2"/>
  <c r="AJ250" i="2"/>
  <c r="V256" i="2"/>
  <c r="Z235" i="2"/>
  <c r="H237" i="2"/>
  <c r="AI238" i="2"/>
  <c r="Y240" i="2"/>
  <c r="G242" i="2"/>
  <c r="AI243" i="2"/>
  <c r="AK245" i="2"/>
  <c r="AM251" i="2"/>
  <c r="K258" i="2"/>
  <c r="AQ235" i="2"/>
  <c r="AG237" i="2"/>
  <c r="O239" i="2"/>
  <c r="AP240" i="2"/>
  <c r="X242" i="2"/>
  <c r="U244" i="2"/>
  <c r="AF246" i="2"/>
  <c r="AN251" i="2"/>
  <c r="AL264" i="2"/>
  <c r="L235" i="2"/>
  <c r="AE236" i="2"/>
  <c r="U238" i="2"/>
  <c r="AN239" i="2"/>
  <c r="AD241" i="2"/>
  <c r="T243" i="2"/>
  <c r="S245" i="2"/>
  <c r="AJ248" i="2"/>
  <c r="AE256" i="2"/>
  <c r="U235" i="2"/>
  <c r="AN236" i="2"/>
  <c r="AD238" i="2"/>
  <c r="T240" i="2"/>
  <c r="AM241" i="2"/>
  <c r="AC243" i="2"/>
  <c r="AE245" i="2"/>
  <c r="P251" i="2"/>
  <c r="L268" i="2"/>
  <c r="N235" i="2"/>
  <c r="AO236" i="2"/>
  <c r="W238" i="2"/>
  <c r="M240" i="2"/>
  <c r="AF241" i="2"/>
  <c r="V243" i="2"/>
  <c r="AF245" i="2"/>
  <c r="AL248" i="2"/>
  <c r="G256" i="2"/>
  <c r="W235" i="2"/>
  <c r="M237" i="2"/>
  <c r="AF238" i="2"/>
  <c r="V240" i="2"/>
  <c r="L242" i="2"/>
  <c r="AE243" i="2"/>
  <c r="AS245" i="2"/>
  <c r="AB250" i="2"/>
  <c r="N256" i="2"/>
  <c r="V250" i="2"/>
  <c r="L252" i="2"/>
  <c r="AE253" i="2"/>
  <c r="U255" i="2"/>
  <c r="AN256" i="2"/>
  <c r="AQ258" i="2"/>
  <c r="AS265" i="2"/>
  <c r="S244" i="2"/>
  <c r="I246" i="2"/>
  <c r="AJ247" i="2"/>
  <c r="O250" i="2"/>
  <c r="AP251" i="2"/>
  <c r="X253" i="2"/>
  <c r="N255" i="2"/>
  <c r="AO256" i="2"/>
  <c r="AS258" i="2"/>
  <c r="U262" i="2"/>
  <c r="J246" i="2"/>
  <c r="AK247" i="2"/>
  <c r="P250" i="2"/>
  <c r="AQ251" i="2"/>
  <c r="AG253" i="2"/>
  <c r="O255" i="2"/>
  <c r="AP256" i="2"/>
  <c r="M259" i="2"/>
  <c r="AR268" i="2"/>
  <c r="I248" i="2"/>
  <c r="AG250" i="2"/>
  <c r="O252" i="2"/>
  <c r="AP253" i="2"/>
  <c r="X255" i="2"/>
  <c r="O257" i="2"/>
  <c r="R259" i="2"/>
  <c r="AE271" i="2"/>
  <c r="G247" i="2"/>
  <c r="AH248" i="2"/>
  <c r="U251" i="2"/>
  <c r="AN252" i="2"/>
  <c r="AD254" i="2"/>
  <c r="T256" i="2"/>
  <c r="AR257" i="2"/>
  <c r="Y261" i="2"/>
  <c r="X277" i="2"/>
  <c r="R245" i="2"/>
  <c r="AS246" i="2"/>
  <c r="AA248" i="2"/>
  <c r="N251" i="2"/>
  <c r="AO252" i="2"/>
  <c r="W254" i="2"/>
  <c r="M256" i="2"/>
  <c r="AJ257" i="2"/>
  <c r="V260" i="2"/>
  <c r="O275" i="2"/>
  <c r="AA261" i="2"/>
  <c r="Q263" i="2"/>
  <c r="O265" i="2"/>
  <c r="AA267" i="2"/>
  <c r="AE269" i="2"/>
  <c r="AQ271" i="2"/>
  <c r="J274" i="2"/>
  <c r="AH276" i="2"/>
  <c r="Y260" i="2"/>
  <c r="G262" i="2"/>
  <c r="AH263" i="2"/>
  <c r="AK265" i="2"/>
  <c r="AM267" i="2"/>
  <c r="P270" i="2"/>
  <c r="T272" i="2"/>
  <c r="AF274" i="2"/>
  <c r="AF277" i="2"/>
  <c r="AE259" i="2"/>
  <c r="U261" i="2"/>
  <c r="AN262" i="2"/>
  <c r="AF264" i="2"/>
  <c r="AH266" i="2"/>
  <c r="AK268" i="2"/>
  <c r="AM270" i="2"/>
  <c r="G273" i="2"/>
  <c r="I275" i="2"/>
  <c r="H259" i="2"/>
  <c r="AI260" i="2"/>
  <c r="Y262" i="2"/>
  <c r="G264" i="2"/>
  <c r="AN265" i="2"/>
  <c r="Q268" i="2"/>
  <c r="S270" i="2"/>
  <c r="AG272" i="2"/>
  <c r="AI274" i="2"/>
  <c r="AL277" i="2"/>
  <c r="AD258" i="2"/>
  <c r="T260" i="2"/>
  <c r="AM261" i="2"/>
  <c r="AC263" i="2"/>
  <c r="I265" i="2"/>
  <c r="V267" i="2"/>
  <c r="Y269" i="2"/>
  <c r="AL271" i="2"/>
  <c r="AO273" i="2"/>
  <c r="H276" i="2"/>
  <c r="AK260" i="2"/>
  <c r="S262" i="2"/>
  <c r="I264" i="2"/>
  <c r="P266" i="2"/>
  <c r="T268" i="2"/>
  <c r="AF270" i="2"/>
  <c r="AJ272" i="2"/>
  <c r="M275" i="2"/>
  <c r="AB262" i="2"/>
  <c r="J264" i="2"/>
  <c r="G266" i="2"/>
  <c r="U268" i="2"/>
  <c r="W270" i="2"/>
  <c r="Z272" i="2"/>
  <c r="AB274" i="2"/>
  <c r="AE264" i="2"/>
  <c r="U266" i="2"/>
  <c r="AN267" i="2"/>
  <c r="AD269" i="2"/>
  <c r="T271" i="2"/>
  <c r="AM272" i="2"/>
  <c r="AC274" i="2"/>
  <c r="K276" i="2"/>
  <c r="M276" i="2"/>
  <c r="AM277" i="2"/>
  <c r="AA264" i="2"/>
  <c r="Q266" i="2"/>
  <c r="AR267" i="2"/>
  <c r="Z269" i="2"/>
  <c r="H271" i="2"/>
  <c r="AI272" i="2"/>
  <c r="Y274" i="2"/>
  <c r="G276" i="2"/>
  <c r="AP277" i="2"/>
  <c r="AR277" i="2"/>
  <c r="AG277" i="2"/>
  <c r="V278" i="2"/>
  <c r="V249" i="2"/>
  <c r="V208" i="2"/>
  <c r="V186" i="2"/>
  <c r="V161" i="2"/>
  <c r="V159" i="2"/>
  <c r="V70" i="2"/>
  <c r="F255" i="2"/>
  <c r="H278" i="2"/>
  <c r="H249" i="2"/>
  <c r="H208" i="2"/>
  <c r="H186" i="2"/>
  <c r="H159" i="2"/>
  <c r="H70" i="2"/>
  <c r="H161" i="2"/>
  <c r="F187" i="2"/>
  <c r="Y278" i="2"/>
  <c r="Y249" i="2"/>
  <c r="Y186" i="2"/>
  <c r="Y208" i="2"/>
  <c r="Y159" i="2"/>
  <c r="Y161" i="2"/>
  <c r="Y70" i="2"/>
  <c r="F277" i="2"/>
  <c r="AS278" i="2"/>
  <c r="AS249" i="2"/>
  <c r="AS208" i="2"/>
  <c r="AS186" i="2"/>
  <c r="AS161" i="2"/>
  <c r="AS159" i="2"/>
  <c r="AS70" i="2"/>
  <c r="AE278" i="2"/>
  <c r="AE249" i="2"/>
  <c r="AE208" i="2"/>
  <c r="AE186" i="2"/>
  <c r="AE161" i="2"/>
  <c r="AE159" i="2"/>
  <c r="AE70" i="2"/>
  <c r="AD234" i="2"/>
  <c r="AC250" i="2"/>
  <c r="AM240" i="2"/>
  <c r="AD237" i="2"/>
  <c r="AL237" i="2"/>
  <c r="AG238" i="2"/>
  <c r="Q235" i="2"/>
  <c r="AR236" i="2"/>
  <c r="Z238" i="2"/>
  <c r="H240" i="2"/>
  <c r="AI241" i="2"/>
  <c r="Y243" i="2"/>
  <c r="Y245" i="2"/>
  <c r="AF251" i="2"/>
  <c r="AC257" i="2"/>
  <c r="G234" i="2"/>
  <c r="AH235" i="2"/>
  <c r="P237" i="2"/>
  <c r="AQ238" i="2"/>
  <c r="AG240" i="2"/>
  <c r="O242" i="2"/>
  <c r="AS243" i="2"/>
  <c r="O246" i="2"/>
  <c r="K252" i="2"/>
  <c r="AP259" i="2"/>
  <c r="N236" i="2"/>
  <c r="AO237" i="2"/>
  <c r="W239" i="2"/>
  <c r="M241" i="2"/>
  <c r="AF242" i="2"/>
  <c r="AF244" i="2"/>
  <c r="S247" i="2"/>
  <c r="R252" i="2"/>
  <c r="AF276" i="2"/>
  <c r="T235" i="2"/>
  <c r="AM236" i="2"/>
  <c r="AC238" i="2"/>
  <c r="K240" i="2"/>
  <c r="AL241" i="2"/>
  <c r="AB243" i="2"/>
  <c r="AC245" i="2"/>
  <c r="M250" i="2"/>
  <c r="I257" i="2"/>
  <c r="AC235" i="2"/>
  <c r="K237" i="2"/>
  <c r="AL238" i="2"/>
  <c r="AB240" i="2"/>
  <c r="J242" i="2"/>
  <c r="AL243" i="2"/>
  <c r="AQ245" i="2"/>
  <c r="Z252" i="2"/>
  <c r="AD274" i="2"/>
  <c r="V235" i="2"/>
  <c r="L237" i="2"/>
  <c r="AE238" i="2"/>
  <c r="U240" i="2"/>
  <c r="AN241" i="2"/>
  <c r="AD243" i="2"/>
  <c r="AR245" i="2"/>
  <c r="U250" i="2"/>
  <c r="AM256" i="2"/>
  <c r="L234" i="2"/>
  <c r="AE235" i="2"/>
  <c r="U237" i="2"/>
  <c r="AN238" i="2"/>
  <c r="AD240" i="2"/>
  <c r="T242" i="2"/>
  <c r="AO243" i="2"/>
  <c r="H246" i="2"/>
  <c r="X251" i="2"/>
  <c r="T257" i="2"/>
  <c r="AD250" i="2"/>
  <c r="T252" i="2"/>
  <c r="AM253" i="2"/>
  <c r="AC255" i="2"/>
  <c r="L257" i="2"/>
  <c r="K259" i="2"/>
  <c r="AD266" i="2"/>
  <c r="AA244" i="2"/>
  <c r="Q246" i="2"/>
  <c r="AR247" i="2"/>
  <c r="W250" i="2"/>
  <c r="M252" i="2"/>
  <c r="AF253" i="2"/>
  <c r="V255" i="2"/>
  <c r="M257" i="2"/>
  <c r="L259" i="2"/>
  <c r="AN266" i="2"/>
  <c r="R246" i="2"/>
  <c r="AS247" i="2"/>
  <c r="X250" i="2"/>
  <c r="N252" i="2"/>
  <c r="AO253" i="2"/>
  <c r="W255" i="2"/>
  <c r="N257" i="2"/>
  <c r="AC259" i="2"/>
  <c r="AC269" i="2"/>
  <c r="Q248" i="2"/>
  <c r="AO250" i="2"/>
  <c r="W252" i="2"/>
  <c r="M254" i="2"/>
  <c r="AF255" i="2"/>
  <c r="X257" i="2"/>
  <c r="AH259" i="2"/>
  <c r="Q272" i="2"/>
  <c r="O247" i="2"/>
  <c r="AP248" i="2"/>
  <c r="AC251" i="2"/>
  <c r="K253" i="2"/>
  <c r="AL254" i="2"/>
  <c r="AB256" i="2"/>
  <c r="H258" i="2"/>
  <c r="AS262" i="2"/>
  <c r="AR243" i="2"/>
  <c r="Z245" i="2"/>
  <c r="H247" i="2"/>
  <c r="AI248" i="2"/>
  <c r="V251" i="2"/>
  <c r="L253" i="2"/>
  <c r="AE254" i="2"/>
  <c r="U256" i="2"/>
  <c r="AS257" i="2"/>
  <c r="Z261" i="2"/>
  <c r="L276" i="2"/>
  <c r="AI261" i="2"/>
  <c r="Y263" i="2"/>
  <c r="Y265" i="2"/>
  <c r="AL267" i="2"/>
  <c r="AO269" i="2"/>
  <c r="H272" i="2"/>
  <c r="T274" i="2"/>
  <c r="AA277" i="2"/>
  <c r="AG260" i="2"/>
  <c r="O262" i="2"/>
  <c r="AP263" i="2"/>
  <c r="K266" i="2"/>
  <c r="N268" i="2"/>
  <c r="AA270" i="2"/>
  <c r="AD272" i="2"/>
  <c r="AQ274" i="2"/>
  <c r="T258" i="2"/>
  <c r="AM259" i="2"/>
  <c r="AC261" i="2"/>
  <c r="K263" i="2"/>
  <c r="AP264" i="2"/>
  <c r="AR266" i="2"/>
  <c r="L269" i="2"/>
  <c r="N271" i="2"/>
  <c r="Q273" i="2"/>
  <c r="S275" i="2"/>
  <c r="P259" i="2"/>
  <c r="AQ260" i="2"/>
  <c r="AG262" i="2"/>
  <c r="O264" i="2"/>
  <c r="N266" i="2"/>
  <c r="AB268" i="2"/>
  <c r="AD270" i="2"/>
  <c r="AR272" i="2"/>
  <c r="J275" i="2"/>
  <c r="K257" i="2"/>
  <c r="AL258" i="2"/>
  <c r="AB260" i="2"/>
  <c r="J262" i="2"/>
  <c r="AK263" i="2"/>
  <c r="T265" i="2"/>
  <c r="AG267" i="2"/>
  <c r="AJ269" i="2"/>
  <c r="M272" i="2"/>
  <c r="O274" i="2"/>
  <c r="X276" i="2"/>
  <c r="AS260" i="2"/>
  <c r="AA262" i="2"/>
  <c r="Q264" i="2"/>
  <c r="AA266" i="2"/>
  <c r="AD268" i="2"/>
  <c r="AQ270" i="2"/>
  <c r="K273" i="2"/>
  <c r="W275" i="2"/>
  <c r="AJ262" i="2"/>
  <c r="R264" i="2"/>
  <c r="R266" i="2"/>
  <c r="AF268" i="2"/>
  <c r="AH270" i="2"/>
  <c r="AK272" i="2"/>
  <c r="AM274" i="2"/>
  <c r="AM264" i="2"/>
  <c r="AC266" i="2"/>
  <c r="K268" i="2"/>
  <c r="AL269" i="2"/>
  <c r="AB271" i="2"/>
  <c r="J273" i="2"/>
  <c r="AK274" i="2"/>
  <c r="S276" i="2"/>
  <c r="U276" i="2"/>
  <c r="V276" i="2"/>
  <c r="AI264" i="2"/>
  <c r="Y266" i="2"/>
  <c r="G268" i="2"/>
  <c r="AH269" i="2"/>
  <c r="P271" i="2"/>
  <c r="AQ272" i="2"/>
  <c r="AG274" i="2"/>
  <c r="O276" i="2"/>
  <c r="Q276" i="2"/>
  <c r="U277" i="2"/>
  <c r="AO277" i="2"/>
  <c r="F260" i="2"/>
  <c r="F271" i="2"/>
  <c r="F248" i="2"/>
  <c r="AI236" i="2"/>
  <c r="S255" i="2"/>
  <c r="Z241" i="2"/>
  <c r="Q238" i="2"/>
  <c r="Y238" i="2"/>
  <c r="T239" i="2"/>
  <c r="Y235" i="2"/>
  <c r="G237" i="2"/>
  <c r="AH238" i="2"/>
  <c r="P240" i="2"/>
  <c r="AQ241" i="2"/>
  <c r="AH243" i="2"/>
  <c r="AJ245" i="2"/>
  <c r="J252" i="2"/>
  <c r="J258" i="2"/>
  <c r="O234" i="2"/>
  <c r="AP235" i="2"/>
  <c r="X237" i="2"/>
  <c r="N239" i="2"/>
  <c r="AO240" i="2"/>
  <c r="W242" i="2"/>
  <c r="I244" i="2"/>
  <c r="AE246" i="2"/>
  <c r="AQ252" i="2"/>
  <c r="AB264" i="2"/>
  <c r="V236" i="2"/>
  <c r="L238" i="2"/>
  <c r="AE239" i="2"/>
  <c r="U241" i="2"/>
  <c r="AN242" i="2"/>
  <c r="AP244" i="2"/>
  <c r="AP247" i="2"/>
  <c r="U253" i="2"/>
  <c r="AB235" i="2"/>
  <c r="J237" i="2"/>
  <c r="AK238" i="2"/>
  <c r="S240" i="2"/>
  <c r="I242" i="2"/>
  <c r="AK243" i="2"/>
  <c r="AO245" i="2"/>
  <c r="AS250" i="2"/>
  <c r="U258" i="2"/>
  <c r="J234" i="2"/>
  <c r="AK235" i="2"/>
  <c r="S237" i="2"/>
  <c r="I239" i="2"/>
  <c r="AJ240" i="2"/>
  <c r="R242" i="2"/>
  <c r="M244" i="2"/>
  <c r="V246" i="2"/>
  <c r="AC253" i="2"/>
  <c r="AK275" i="2"/>
  <c r="AD235" i="2"/>
  <c r="T237" i="2"/>
  <c r="AM238" i="2"/>
  <c r="AC240" i="2"/>
  <c r="K242" i="2"/>
  <c r="AM243" i="2"/>
  <c r="G246" i="2"/>
  <c r="W251" i="2"/>
  <c r="R257" i="2"/>
  <c r="T234" i="2"/>
  <c r="AM235" i="2"/>
  <c r="AC237" i="2"/>
  <c r="K239" i="2"/>
  <c r="AL240" i="2"/>
  <c r="AB242" i="2"/>
  <c r="P244" i="2"/>
  <c r="X246" i="2"/>
  <c r="AH252" i="2"/>
  <c r="AO258" i="2"/>
  <c r="AL250" i="2"/>
  <c r="AB252" i="2"/>
  <c r="J254" i="2"/>
  <c r="AK255" i="2"/>
  <c r="U257" i="2"/>
  <c r="AA259" i="2"/>
  <c r="Z267" i="2"/>
  <c r="AI244" i="2"/>
  <c r="Y246" i="2"/>
  <c r="G248" i="2"/>
  <c r="AE250" i="2"/>
  <c r="U252" i="2"/>
  <c r="AN253" i="2"/>
  <c r="AD255" i="2"/>
  <c r="V257" i="2"/>
  <c r="AB259" i="2"/>
  <c r="AK267" i="2"/>
  <c r="Z246" i="2"/>
  <c r="H248" i="2"/>
  <c r="AF250" i="2"/>
  <c r="V252" i="2"/>
  <c r="L254" i="2"/>
  <c r="AE255" i="2"/>
  <c r="W257" i="2"/>
  <c r="AS259" i="2"/>
  <c r="X270" i="2"/>
  <c r="Y248" i="2"/>
  <c r="L251" i="2"/>
  <c r="AE252" i="2"/>
  <c r="U254" i="2"/>
  <c r="AN255" i="2"/>
  <c r="AG257" i="2"/>
  <c r="N260" i="2"/>
  <c r="M273" i="2"/>
  <c r="W247" i="2"/>
  <c r="J250" i="2"/>
  <c r="AK251" i="2"/>
  <c r="S253" i="2"/>
  <c r="I255" i="2"/>
  <c r="AJ256" i="2"/>
  <c r="Q258" i="2"/>
  <c r="X263" i="2"/>
  <c r="G244" i="2"/>
  <c r="AH245" i="2"/>
  <c r="P247" i="2"/>
  <c r="AQ248" i="2"/>
  <c r="AD251" i="2"/>
  <c r="T253" i="2"/>
  <c r="AM254" i="2"/>
  <c r="AC256" i="2"/>
  <c r="I258" i="2"/>
  <c r="AF263" i="2"/>
  <c r="P260" i="2"/>
  <c r="AQ261" i="2"/>
  <c r="AG263" i="2"/>
  <c r="AJ265" i="2"/>
  <c r="M268" i="2"/>
  <c r="O270" i="2"/>
  <c r="R272" i="2"/>
  <c r="AE274" i="2"/>
  <c r="N259" i="2"/>
  <c r="AO260" i="2"/>
  <c r="W262" i="2"/>
  <c r="M264" i="2"/>
  <c r="V266" i="2"/>
  <c r="Y268" i="2"/>
  <c r="AL270" i="2"/>
  <c r="AO272" i="2"/>
  <c r="G275" i="2"/>
  <c r="AB258" i="2"/>
  <c r="J260" i="2"/>
  <c r="AK261" i="2"/>
  <c r="S263" i="2"/>
  <c r="G265" i="2"/>
  <c r="I267" i="2"/>
  <c r="W269" i="2"/>
  <c r="Y271" i="2"/>
  <c r="AB273" i="2"/>
  <c r="AD275" i="2"/>
  <c r="X259" i="2"/>
  <c r="N261" i="2"/>
  <c r="AO262" i="2"/>
  <c r="W264" i="2"/>
  <c r="X266" i="2"/>
  <c r="AL268" i="2"/>
  <c r="AN270" i="2"/>
  <c r="H273" i="2"/>
  <c r="U275" i="2"/>
  <c r="S257" i="2"/>
  <c r="I259" i="2"/>
  <c r="AJ260" i="2"/>
  <c r="R262" i="2"/>
  <c r="AS263" i="2"/>
  <c r="AE265" i="2"/>
  <c r="AQ267" i="2"/>
  <c r="J270" i="2"/>
  <c r="X272" i="2"/>
  <c r="Z274" i="2"/>
  <c r="AR276" i="2"/>
  <c r="H261" i="2"/>
  <c r="AI262" i="2"/>
  <c r="Y264" i="2"/>
  <c r="AL266" i="2"/>
  <c r="AO268" i="2"/>
  <c r="G271" i="2"/>
  <c r="U273" i="2"/>
  <c r="AH275" i="2"/>
  <c r="AR262" i="2"/>
  <c r="Z264" i="2"/>
  <c r="AB266" i="2"/>
  <c r="AP268" i="2"/>
  <c r="AR270" i="2"/>
  <c r="L273" i="2"/>
  <c r="N275" i="2"/>
  <c r="J265" i="2"/>
  <c r="AK266" i="2"/>
  <c r="S268" i="2"/>
  <c r="I270" i="2"/>
  <c r="AJ271" i="2"/>
  <c r="R273" i="2"/>
  <c r="AS274" i="2"/>
  <c r="AA276" i="2"/>
  <c r="AC276" i="2"/>
  <c r="AD276" i="2"/>
  <c r="AQ264" i="2"/>
  <c r="AG266" i="2"/>
  <c r="O268" i="2"/>
  <c r="AP269" i="2"/>
  <c r="X271" i="2"/>
  <c r="N273" i="2"/>
  <c r="AO274" i="2"/>
  <c r="W276" i="2"/>
  <c r="Y276" i="2"/>
  <c r="AC277" i="2"/>
  <c r="AA278" i="2"/>
  <c r="AA249" i="2"/>
  <c r="AA208" i="2"/>
  <c r="AA186" i="2"/>
  <c r="AA159" i="2"/>
  <c r="AA161" i="2"/>
  <c r="AA70" i="2"/>
  <c r="F245" i="2"/>
  <c r="AR278" i="2"/>
  <c r="AR249" i="2"/>
  <c r="AR208" i="2"/>
  <c r="AR186" i="2"/>
  <c r="AR159" i="2"/>
  <c r="AR161" i="2"/>
  <c r="AR70" i="2"/>
  <c r="N278" i="2"/>
  <c r="N249" i="2"/>
  <c r="N208" i="2"/>
  <c r="N186" i="2"/>
  <c r="N161" i="2"/>
  <c r="N159" i="2"/>
  <c r="N70" i="2"/>
  <c r="F238" i="2"/>
  <c r="AM278" i="2"/>
  <c r="AM249" i="2"/>
  <c r="AM208" i="2"/>
  <c r="AM186" i="2"/>
  <c r="AM161" i="2"/>
  <c r="AM159" i="2"/>
  <c r="AM70" i="2"/>
  <c r="F195" i="2"/>
  <c r="AB278" i="2"/>
  <c r="AB249" i="2"/>
  <c r="AB208" i="2"/>
  <c r="AB186" i="2"/>
  <c r="AB159" i="2"/>
  <c r="AB161" i="2"/>
  <c r="AB70" i="2"/>
  <c r="AL278" i="2"/>
  <c r="AL249" i="2"/>
  <c r="AL208" i="2"/>
  <c r="AL186" i="2"/>
  <c r="AL161" i="2"/>
  <c r="AL159" i="2"/>
  <c r="AL70" i="2"/>
  <c r="N237" i="2"/>
  <c r="Z259" i="2"/>
  <c r="M242" i="2"/>
  <c r="AH241" i="2"/>
  <c r="L239" i="2"/>
  <c r="AK242" i="2"/>
  <c r="AG235" i="2"/>
  <c r="O237" i="2"/>
  <c r="AP238" i="2"/>
  <c r="X240" i="2"/>
  <c r="N242" i="2"/>
  <c r="AQ243" i="2"/>
  <c r="N246" i="2"/>
  <c r="AP252" i="2"/>
  <c r="AK259" i="2"/>
  <c r="W234" i="2"/>
  <c r="M236" i="2"/>
  <c r="AF237" i="2"/>
  <c r="V239" i="2"/>
  <c r="L241" i="2"/>
  <c r="AE242" i="2"/>
  <c r="T244" i="2"/>
  <c r="R247" i="2"/>
  <c r="N253" i="2"/>
  <c r="AI265" i="2"/>
  <c r="AD236" i="2"/>
  <c r="T238" i="2"/>
  <c r="AM239" i="2"/>
  <c r="AC241" i="2"/>
  <c r="K243" i="2"/>
  <c r="G245" i="2"/>
  <c r="L248" i="2"/>
  <c r="X254" i="2"/>
  <c r="I234" i="2"/>
  <c r="AJ235" i="2"/>
  <c r="R237" i="2"/>
  <c r="AS238" i="2"/>
  <c r="AA240" i="2"/>
  <c r="Q242" i="2"/>
  <c r="L244" i="2"/>
  <c r="S246" i="2"/>
  <c r="O251" i="2"/>
  <c r="AN263" i="2"/>
  <c r="R234" i="2"/>
  <c r="AS235" i="2"/>
  <c r="AA237" i="2"/>
  <c r="Q239" i="2"/>
  <c r="AR240" i="2"/>
  <c r="Z242" i="2"/>
  <c r="X244" i="2"/>
  <c r="AL246" i="2"/>
  <c r="AF254" i="2"/>
  <c r="K234" i="2"/>
  <c r="AL235" i="2"/>
  <c r="AB237" i="2"/>
  <c r="J239" i="2"/>
  <c r="AK240" i="2"/>
  <c r="S242" i="2"/>
  <c r="N244" i="2"/>
  <c r="W246" i="2"/>
  <c r="AA252" i="2"/>
  <c r="AF258" i="2"/>
  <c r="AB234" i="2"/>
  <c r="J236" i="2"/>
  <c r="AK237" i="2"/>
  <c r="S239" i="2"/>
  <c r="I241" i="2"/>
  <c r="AJ242" i="2"/>
  <c r="Z244" i="2"/>
  <c r="AN246" i="2"/>
  <c r="AK253" i="2"/>
  <c r="U259" i="2"/>
  <c r="I251" i="2"/>
  <c r="AJ252" i="2"/>
  <c r="R254" i="2"/>
  <c r="AS255" i="2"/>
  <c r="AD257" i="2"/>
  <c r="AQ259" i="2"/>
  <c r="V268" i="2"/>
  <c r="AQ244" i="2"/>
  <c r="AG246" i="2"/>
  <c r="O248" i="2"/>
  <c r="AM250" i="2"/>
  <c r="AC252" i="2"/>
  <c r="K254" i="2"/>
  <c r="AL255" i="2"/>
  <c r="AE257" i="2"/>
  <c r="AR259" i="2"/>
  <c r="AG268" i="2"/>
  <c r="AH246" i="2"/>
  <c r="P248" i="2"/>
  <c r="AN250" i="2"/>
  <c r="AD252" i="2"/>
  <c r="T254" i="2"/>
  <c r="AM255" i="2"/>
  <c r="AF257" i="2"/>
  <c r="H260" i="2"/>
  <c r="U271" i="2"/>
  <c r="AG248" i="2"/>
  <c r="T251" i="2"/>
  <c r="AM252" i="2"/>
  <c r="AC254" i="2"/>
  <c r="K256" i="2"/>
  <c r="AP257" i="2"/>
  <c r="R261" i="2"/>
  <c r="L246" i="2"/>
  <c r="AE247" i="2"/>
  <c r="R250" i="2"/>
  <c r="AS251" i="2"/>
  <c r="AA253" i="2"/>
  <c r="Q255" i="2"/>
  <c r="AR256" i="2"/>
  <c r="AA258" i="2"/>
  <c r="K264" i="2"/>
  <c r="O244" i="2"/>
  <c r="AP245" i="2"/>
  <c r="X247" i="2"/>
  <c r="K250" i="2"/>
  <c r="AL251" i="2"/>
  <c r="AB253" i="2"/>
  <c r="J255" i="2"/>
  <c r="AK256" i="2"/>
  <c r="R258" i="2"/>
  <c r="S264" i="2"/>
  <c r="X260" i="2"/>
  <c r="N262" i="2"/>
  <c r="AO263" i="2"/>
  <c r="J266" i="2"/>
  <c r="X268" i="2"/>
  <c r="Z270" i="2"/>
  <c r="AC272" i="2"/>
  <c r="AP274" i="2"/>
  <c r="V259" i="2"/>
  <c r="L261" i="2"/>
  <c r="AE262" i="2"/>
  <c r="U264" i="2"/>
  <c r="AF266" i="2"/>
  <c r="AJ268" i="2"/>
  <c r="M271" i="2"/>
  <c r="P273" i="2"/>
  <c r="R275" i="2"/>
  <c r="AJ258" i="2"/>
  <c r="R260" i="2"/>
  <c r="AS261" i="2"/>
  <c r="AA263" i="2"/>
  <c r="Q265" i="2"/>
  <c r="S267" i="2"/>
  <c r="AG269" i="2"/>
  <c r="AI271" i="2"/>
  <c r="AM273" i="2"/>
  <c r="AO275" i="2"/>
  <c r="AF259" i="2"/>
  <c r="V261" i="2"/>
  <c r="L263" i="2"/>
  <c r="AG264" i="2"/>
  <c r="AI266" i="2"/>
  <c r="M269" i="2"/>
  <c r="O271" i="2"/>
  <c r="S273" i="2"/>
  <c r="AE275" i="2"/>
  <c r="AA257" i="2"/>
  <c r="Q259" i="2"/>
  <c r="AR260" i="2"/>
  <c r="Z262" i="2"/>
  <c r="H264" i="2"/>
  <c r="AO265" i="2"/>
  <c r="H268" i="2"/>
  <c r="T270" i="2"/>
  <c r="AH272" i="2"/>
  <c r="AJ274" i="2"/>
  <c r="N277" i="2"/>
  <c r="P261" i="2"/>
  <c r="AQ262" i="2"/>
  <c r="AJ264" i="2"/>
  <c r="M267" i="2"/>
  <c r="P269" i="2"/>
  <c r="R271" i="2"/>
  <c r="AF273" i="2"/>
  <c r="AS275" i="2"/>
  <c r="G263" i="2"/>
  <c r="AK264" i="2"/>
  <c r="AM266" i="2"/>
  <c r="G269" i="2"/>
  <c r="I271" i="2"/>
  <c r="W273" i="2"/>
  <c r="Y275" i="2"/>
  <c r="R265" i="2"/>
  <c r="AS266" i="2"/>
  <c r="AA268" i="2"/>
  <c r="Q270" i="2"/>
  <c r="AR271" i="2"/>
  <c r="Z273" i="2"/>
  <c r="H275" i="2"/>
  <c r="AI276" i="2"/>
  <c r="AK276" i="2"/>
  <c r="AL276" i="2"/>
  <c r="N265" i="2"/>
  <c r="AO266" i="2"/>
  <c r="W268" i="2"/>
  <c r="M270" i="2"/>
  <c r="AF271" i="2"/>
  <c r="V273" i="2"/>
  <c r="L275" i="2"/>
  <c r="AE276" i="2"/>
  <c r="AG276" i="2"/>
  <c r="AK277" i="2"/>
  <c r="F192" i="2"/>
  <c r="F263" i="2"/>
  <c r="F254" i="2"/>
  <c r="AE240" i="2"/>
  <c r="M234" i="2"/>
  <c r="I254" i="2"/>
  <c r="U242" i="2"/>
  <c r="AP241" i="2"/>
  <c r="P243" i="2"/>
  <c r="AO235" i="2"/>
  <c r="W237" i="2"/>
  <c r="M239" i="2"/>
  <c r="AF240" i="2"/>
  <c r="V242" i="2"/>
  <c r="H244" i="2"/>
  <c r="AD246" i="2"/>
  <c r="M253" i="2"/>
  <c r="AD260" i="2"/>
  <c r="AE234" i="2"/>
  <c r="U236" i="2"/>
  <c r="AN237" i="2"/>
  <c r="AD239" i="2"/>
  <c r="T241" i="2"/>
  <c r="AM242" i="2"/>
  <c r="AD244" i="2"/>
  <c r="AO247" i="2"/>
  <c r="Q254" i="2"/>
  <c r="K235" i="2"/>
  <c r="AL236" i="2"/>
  <c r="AB238" i="2"/>
  <c r="J240" i="2"/>
  <c r="AK241" i="2"/>
  <c r="S243" i="2"/>
  <c r="Q245" i="2"/>
  <c r="AD248" i="2"/>
  <c r="AB255" i="2"/>
  <c r="Q234" i="2"/>
  <c r="AR235" i="2"/>
  <c r="Z237" i="2"/>
  <c r="H239" i="2"/>
  <c r="AI240" i="2"/>
  <c r="Y242" i="2"/>
  <c r="V244" i="2"/>
  <c r="AI246" i="2"/>
  <c r="S252" i="2"/>
  <c r="Z275" i="2"/>
  <c r="Z234" i="2"/>
  <c r="H236" i="2"/>
  <c r="AI237" i="2"/>
  <c r="Y239" i="2"/>
  <c r="G241" i="2"/>
  <c r="AH242" i="2"/>
  <c r="AH244" i="2"/>
  <c r="Z247" i="2"/>
  <c r="AJ255" i="2"/>
  <c r="S234" i="2"/>
  <c r="I236" i="2"/>
  <c r="AJ237" i="2"/>
  <c r="R239" i="2"/>
  <c r="AS240" i="2"/>
  <c r="AA242" i="2"/>
  <c r="Y244" i="2"/>
  <c r="AM246" i="2"/>
  <c r="AD253" i="2"/>
  <c r="J259" i="2"/>
  <c r="AJ234" i="2"/>
  <c r="R236" i="2"/>
  <c r="AS237" i="2"/>
  <c r="AA239" i="2"/>
  <c r="Q241" i="2"/>
  <c r="AR242" i="2"/>
  <c r="AK244" i="2"/>
  <c r="J247" i="2"/>
  <c r="H254" i="2"/>
  <c r="AG261" i="2"/>
  <c r="Q251" i="2"/>
  <c r="AR252" i="2"/>
  <c r="Z254" i="2"/>
  <c r="H256" i="2"/>
  <c r="AM257" i="2"/>
  <c r="AE260" i="2"/>
  <c r="H269" i="2"/>
  <c r="N245" i="2"/>
  <c r="AO246" i="2"/>
  <c r="W248" i="2"/>
  <c r="J251" i="2"/>
  <c r="AK252" i="2"/>
  <c r="S254" i="2"/>
  <c r="I256" i="2"/>
  <c r="AN257" i="2"/>
  <c r="G260" i="2"/>
  <c r="S269" i="2"/>
  <c r="AP246" i="2"/>
  <c r="X248" i="2"/>
  <c r="K251" i="2"/>
  <c r="AL252" i="2"/>
  <c r="AB254" i="2"/>
  <c r="J256" i="2"/>
  <c r="AO257" i="2"/>
  <c r="AM260" i="2"/>
  <c r="N247" i="2"/>
  <c r="AO248" i="2"/>
  <c r="AB251" i="2"/>
  <c r="J253" i="2"/>
  <c r="AK254" i="2"/>
  <c r="S256" i="2"/>
  <c r="G258" i="2"/>
  <c r="AK262" i="2"/>
  <c r="T246" i="2"/>
  <c r="AM247" i="2"/>
  <c r="Z250" i="2"/>
  <c r="H252" i="2"/>
  <c r="AI253" i="2"/>
  <c r="Y255" i="2"/>
  <c r="G257" i="2"/>
  <c r="AM258" i="2"/>
  <c r="AP271" i="2"/>
  <c r="W244" i="2"/>
  <c r="M246" i="2"/>
  <c r="AF247" i="2"/>
  <c r="S250" i="2"/>
  <c r="I252" i="2"/>
  <c r="AJ253" i="2"/>
  <c r="R255" i="2"/>
  <c r="AS256" i="2"/>
  <c r="AC258" i="2"/>
  <c r="M265" i="2"/>
  <c r="AF260" i="2"/>
  <c r="V262" i="2"/>
  <c r="L264" i="2"/>
  <c r="T266" i="2"/>
  <c r="AH268" i="2"/>
  <c r="AJ270" i="2"/>
  <c r="AN272" i="2"/>
  <c r="Q275" i="2"/>
  <c r="AD259" i="2"/>
  <c r="T261" i="2"/>
  <c r="AM262" i="2"/>
  <c r="AD264" i="2"/>
  <c r="AQ266" i="2"/>
  <c r="K269" i="2"/>
  <c r="W271" i="2"/>
  <c r="AA273" i="2"/>
  <c r="AC275" i="2"/>
  <c r="AR258" i="2"/>
  <c r="Z260" i="2"/>
  <c r="H262" i="2"/>
  <c r="AI263" i="2"/>
  <c r="AB265" i="2"/>
  <c r="AD267" i="2"/>
  <c r="AR269" i="2"/>
  <c r="J272" i="2"/>
  <c r="L274" i="2"/>
  <c r="R276" i="2"/>
  <c r="AN259" i="2"/>
  <c r="AD261" i="2"/>
  <c r="T263" i="2"/>
  <c r="AR264" i="2"/>
  <c r="J267" i="2"/>
  <c r="X269" i="2"/>
  <c r="Z271" i="2"/>
  <c r="AC273" i="2"/>
  <c r="AP275" i="2"/>
  <c r="AI257" i="2"/>
  <c r="Y259" i="2"/>
  <c r="G261" i="2"/>
  <c r="AH262" i="2"/>
  <c r="P264" i="2"/>
  <c r="O266" i="2"/>
  <c r="R268" i="2"/>
  <c r="AE270" i="2"/>
  <c r="AS272" i="2"/>
  <c r="K275" i="2"/>
  <c r="AQ277" i="2"/>
  <c r="X261" i="2"/>
  <c r="N263" i="2"/>
  <c r="K265" i="2"/>
  <c r="W267" i="2"/>
  <c r="AA269" i="2"/>
  <c r="AC271" i="2"/>
  <c r="AQ273" i="2"/>
  <c r="I276" i="2"/>
  <c r="O263" i="2"/>
  <c r="L265" i="2"/>
  <c r="N267" i="2"/>
  <c r="Q269" i="2"/>
  <c r="S271" i="2"/>
  <c r="AG273" i="2"/>
  <c r="AI275" i="2"/>
  <c r="Z265" i="2"/>
  <c r="H267" i="2"/>
  <c r="AI268" i="2"/>
  <c r="Y270" i="2"/>
  <c r="G272" i="2"/>
  <c r="AH273" i="2"/>
  <c r="P275" i="2"/>
  <c r="AQ276" i="2"/>
  <c r="AS276" i="2"/>
  <c r="J277" i="2"/>
  <c r="V265" i="2"/>
  <c r="L267" i="2"/>
  <c r="AE268" i="2"/>
  <c r="U270" i="2"/>
  <c r="AN271" i="2"/>
  <c r="AD273" i="2"/>
  <c r="T275" i="2"/>
  <c r="AM276" i="2"/>
  <c r="AO276" i="2"/>
  <c r="AS277" i="2"/>
  <c r="AO278" i="2"/>
  <c r="AO249" i="2"/>
  <c r="AO186" i="2"/>
  <c r="AO208" i="2"/>
  <c r="AO161" i="2"/>
  <c r="AO159" i="2"/>
  <c r="AO70" i="2"/>
  <c r="F193" i="2"/>
  <c r="S278" i="2"/>
  <c r="S249" i="2"/>
  <c r="S208" i="2"/>
  <c r="S186" i="2"/>
  <c r="S159" i="2"/>
  <c r="S161" i="2"/>
  <c r="S70" i="2"/>
  <c r="F244" i="2"/>
  <c r="AJ278" i="2"/>
  <c r="AJ249" i="2"/>
  <c r="AJ208" i="2"/>
  <c r="AJ186" i="2"/>
  <c r="AJ159" i="2"/>
  <c r="AJ161" i="2"/>
  <c r="AJ70" i="2"/>
  <c r="F278" i="2"/>
  <c r="F249" i="2"/>
  <c r="F208" i="2"/>
  <c r="F186" i="2"/>
  <c r="F159" i="2"/>
  <c r="F161" i="2"/>
  <c r="F70" i="2"/>
  <c r="F266" i="2"/>
  <c r="F177" i="2"/>
  <c r="F262" i="2"/>
  <c r="F253" i="2"/>
  <c r="F206" i="2"/>
  <c r="F258" i="2"/>
  <c r="F199" i="2"/>
  <c r="F237" i="2"/>
  <c r="F274" i="2"/>
  <c r="F200" i="2"/>
  <c r="AP278" i="2"/>
  <c r="AP249" i="2"/>
  <c r="AP208" i="2"/>
  <c r="AP186" i="2"/>
  <c r="AP159" i="2"/>
  <c r="AP161" i="2"/>
  <c r="AP70" i="2"/>
  <c r="T278" i="2"/>
  <c r="T249" i="2"/>
  <c r="T208" i="2"/>
  <c r="T186" i="2"/>
  <c r="T161" i="2"/>
  <c r="T159" i="2"/>
  <c r="T70" i="2"/>
  <c r="R241" i="2"/>
  <c r="AF234" i="2"/>
  <c r="AO254" i="2"/>
  <c r="AC242" i="2"/>
  <c r="AI252" i="2"/>
  <c r="L236" i="2"/>
  <c r="AE237" i="2"/>
  <c r="U239" i="2"/>
  <c r="AN240" i="2"/>
  <c r="AD242" i="2"/>
  <c r="R244" i="2"/>
  <c r="Q247" i="2"/>
  <c r="AS253" i="2"/>
  <c r="X265" i="2"/>
  <c r="AM234" i="2"/>
  <c r="AC236" i="2"/>
  <c r="K238" i="2"/>
  <c r="AL239" i="2"/>
  <c r="AB241" i="2"/>
  <c r="J243" i="2"/>
  <c r="AO244" i="2"/>
  <c r="AC248" i="2"/>
  <c r="AA255" i="2"/>
  <c r="S235" i="2"/>
  <c r="I237" i="2"/>
  <c r="AJ238" i="2"/>
  <c r="R240" i="2"/>
  <c r="AS241" i="2"/>
  <c r="AA243" i="2"/>
  <c r="AB245" i="2"/>
  <c r="L250" i="2"/>
  <c r="AD256" i="2"/>
  <c r="Y234" i="2"/>
  <c r="G236" i="2"/>
  <c r="AH237" i="2"/>
  <c r="P239" i="2"/>
  <c r="AQ240" i="2"/>
  <c r="AG242" i="2"/>
  <c r="AG244" i="2"/>
  <c r="Y247" i="2"/>
  <c r="V253" i="2"/>
  <c r="AH234" i="2"/>
  <c r="P236" i="2"/>
  <c r="AQ237" i="2"/>
  <c r="AG239" i="2"/>
  <c r="O241" i="2"/>
  <c r="AP242" i="2"/>
  <c r="AS244" i="2"/>
  <c r="N248" i="2"/>
  <c r="AL256" i="2"/>
  <c r="AA234" i="2"/>
  <c r="Q236" i="2"/>
  <c r="AR237" i="2"/>
  <c r="Z239" i="2"/>
  <c r="H241" i="2"/>
  <c r="AI242" i="2"/>
  <c r="AJ244" i="2"/>
  <c r="I247" i="2"/>
  <c r="AG254" i="2"/>
  <c r="L262" i="2"/>
  <c r="AR234" i="2"/>
  <c r="Z236" i="2"/>
  <c r="H238" i="2"/>
  <c r="AI239" i="2"/>
  <c r="Y241" i="2"/>
  <c r="G243" i="2"/>
  <c r="L245" i="2"/>
  <c r="AG247" i="2"/>
  <c r="AN254" i="2"/>
  <c r="O267" i="2"/>
  <c r="Y251" i="2"/>
  <c r="G253" i="2"/>
  <c r="AH254" i="2"/>
  <c r="P256" i="2"/>
  <c r="L258" i="2"/>
  <c r="I261" i="2"/>
  <c r="AF243" i="2"/>
  <c r="V245" i="2"/>
  <c r="L247" i="2"/>
  <c r="AE248" i="2"/>
  <c r="R251" i="2"/>
  <c r="AS252" i="2"/>
  <c r="AA254" i="2"/>
  <c r="Q256" i="2"/>
  <c r="M258" i="2"/>
  <c r="AL260" i="2"/>
  <c r="N270" i="2"/>
  <c r="M247" i="2"/>
  <c r="AF248" i="2"/>
  <c r="S251" i="2"/>
  <c r="I253" i="2"/>
  <c r="AJ254" i="2"/>
  <c r="R256" i="2"/>
  <c r="O258" i="2"/>
  <c r="Q261" i="2"/>
  <c r="V247" i="2"/>
  <c r="I250" i="2"/>
  <c r="AJ251" i="2"/>
  <c r="R253" i="2"/>
  <c r="AS254" i="2"/>
  <c r="AA256" i="2"/>
  <c r="P258" i="2"/>
  <c r="P263" i="2"/>
  <c r="AB246" i="2"/>
  <c r="J248" i="2"/>
  <c r="AH250" i="2"/>
  <c r="P252" i="2"/>
  <c r="AQ253" i="2"/>
  <c r="AG255" i="2"/>
  <c r="P257" i="2"/>
  <c r="S259" i="2"/>
  <c r="AB272" i="2"/>
  <c r="AE244" i="2"/>
  <c r="U246" i="2"/>
  <c r="AN247" i="2"/>
  <c r="AA250" i="2"/>
  <c r="Q252" i="2"/>
  <c r="AR253" i="2"/>
  <c r="Z255" i="2"/>
  <c r="H257" i="2"/>
  <c r="AN258" i="2"/>
  <c r="AL272" i="2"/>
  <c r="AN260" i="2"/>
  <c r="AD262" i="2"/>
  <c r="T264" i="2"/>
  <c r="AE266" i="2"/>
  <c r="AS268" i="2"/>
  <c r="K271" i="2"/>
  <c r="O273" i="2"/>
  <c r="AA275" i="2"/>
  <c r="AL259" i="2"/>
  <c r="AB261" i="2"/>
  <c r="J263" i="2"/>
  <c r="AO264" i="2"/>
  <c r="G267" i="2"/>
  <c r="U269" i="2"/>
  <c r="AH271" i="2"/>
  <c r="AK273" i="2"/>
  <c r="AM275" i="2"/>
  <c r="G259" i="2"/>
  <c r="AH260" i="2"/>
  <c r="P262" i="2"/>
  <c r="AQ263" i="2"/>
  <c r="AM265" i="2"/>
  <c r="AO267" i="2"/>
  <c r="G270" i="2"/>
  <c r="U272" i="2"/>
  <c r="W274" i="2"/>
  <c r="AN276" i="2"/>
  <c r="K260" i="2"/>
  <c r="AL261" i="2"/>
  <c r="AB263" i="2"/>
  <c r="H265" i="2"/>
  <c r="U267" i="2"/>
  <c r="AI269" i="2"/>
  <c r="AK271" i="2"/>
  <c r="AN273" i="2"/>
  <c r="T276" i="2"/>
  <c r="AQ257" i="2"/>
  <c r="AG259" i="2"/>
  <c r="O261" i="2"/>
  <c r="AP262" i="2"/>
  <c r="X264" i="2"/>
  <c r="Z266" i="2"/>
  <c r="AC268" i="2"/>
  <c r="AP270" i="2"/>
  <c r="I273" i="2"/>
  <c r="V275" i="2"/>
  <c r="M260" i="2"/>
  <c r="AF261" i="2"/>
  <c r="V263" i="2"/>
  <c r="U265" i="2"/>
  <c r="AH267" i="2"/>
  <c r="AK269" i="2"/>
  <c r="AM271" i="2"/>
  <c r="P274" i="2"/>
  <c r="Z276" i="2"/>
  <c r="W263" i="2"/>
  <c r="W265" i="2"/>
  <c r="Y267" i="2"/>
  <c r="AB269" i="2"/>
  <c r="AD271" i="2"/>
  <c r="AR273" i="2"/>
  <c r="J276" i="2"/>
  <c r="AH265" i="2"/>
  <c r="P267" i="2"/>
  <c r="AQ268" i="2"/>
  <c r="AG270" i="2"/>
  <c r="O272" i="2"/>
  <c r="AP273" i="2"/>
  <c r="X275" i="2"/>
  <c r="O277" i="2"/>
  <c r="H277" i="2"/>
  <c r="S277" i="2"/>
  <c r="AD265" i="2"/>
  <c r="T267" i="2"/>
  <c r="AM268" i="2"/>
  <c r="AC270" i="2"/>
  <c r="K272" i="2"/>
  <c r="AL273" i="2"/>
  <c r="AB275" i="2"/>
  <c r="K277" i="2"/>
  <c r="M277" i="2"/>
  <c r="I277" i="2"/>
  <c r="F242" i="2"/>
  <c r="F191" i="2"/>
  <c r="F204" i="2"/>
  <c r="AC2" i="2"/>
  <c r="O2" i="2"/>
  <c r="AQ2" i="2"/>
  <c r="M2" i="2"/>
  <c r="AD2" i="2"/>
  <c r="R2" i="2"/>
  <c r="L2" i="2"/>
  <c r="W2" i="2"/>
  <c r="AK2" i="2"/>
  <c r="AF2" i="2"/>
  <c r="AI2" i="2"/>
  <c r="Z2" i="2"/>
  <c r="J2" i="2"/>
  <c r="I2" i="2"/>
  <c r="U2" i="2"/>
  <c r="G2" i="2"/>
  <c r="AN2" i="2"/>
  <c r="X2" i="2"/>
  <c r="P2" i="2"/>
  <c r="AG2" i="2"/>
  <c r="K2" i="2"/>
  <c r="AH2" i="2"/>
  <c r="Q2" i="2"/>
  <c r="V2" i="2"/>
  <c r="H2" i="2"/>
  <c r="Y2" i="2"/>
  <c r="AS2" i="2"/>
  <c r="AE2" i="2"/>
  <c r="AA2" i="2"/>
  <c r="AR2" i="2"/>
  <c r="N2" i="2"/>
  <c r="AM2" i="2"/>
  <c r="AB2" i="2"/>
  <c r="AL2" i="2"/>
  <c r="AO2" i="2"/>
  <c r="S2" i="2"/>
  <c r="AJ2" i="2"/>
  <c r="F2" i="2"/>
  <c r="AP2" i="2"/>
  <c r="T2" i="2"/>
  <c r="O176" i="3"/>
  <c r="AQ160" i="3"/>
  <c r="AQ38" i="3"/>
  <c r="M160" i="3"/>
  <c r="M69" i="3"/>
  <c r="AD119" i="3"/>
  <c r="R69" i="3"/>
  <c r="F31" i="3"/>
  <c r="AK160" i="3"/>
  <c r="AK38" i="3"/>
  <c r="F42" i="3"/>
  <c r="AF233" i="3"/>
  <c r="AI233" i="3"/>
  <c r="Z69" i="3"/>
  <c r="F173" i="3"/>
  <c r="J160" i="3"/>
  <c r="J38" i="3"/>
  <c r="I119" i="3"/>
  <c r="F163" i="3"/>
  <c r="U69" i="3"/>
  <c r="G160" i="3"/>
  <c r="G38" i="3"/>
  <c r="X119" i="3"/>
  <c r="AA42" i="3"/>
  <c r="H165" i="3"/>
  <c r="P28" i="3"/>
  <c r="M32" i="3"/>
  <c r="AQ62" i="3"/>
  <c r="AD166" i="3"/>
  <c r="AF66" i="3"/>
  <c r="U35" i="3"/>
  <c r="AR45" i="3"/>
  <c r="Y56" i="3"/>
  <c r="AK31" i="3"/>
  <c r="O42" i="3"/>
  <c r="AO169" i="3"/>
  <c r="AF59" i="3"/>
  <c r="AH66" i="3"/>
  <c r="M41" i="3"/>
  <c r="AE49" i="3"/>
  <c r="U34" i="3"/>
  <c r="AR43" i="3"/>
  <c r="P62" i="3"/>
  <c r="S32" i="3"/>
  <c r="L63" i="3"/>
  <c r="AF210" i="3"/>
  <c r="X114" i="3"/>
  <c r="AD29" i="3"/>
  <c r="L59" i="3"/>
  <c r="AL43" i="3"/>
  <c r="AP163" i="3"/>
  <c r="T171" i="3"/>
  <c r="AK28" i="3"/>
  <c r="U32" i="3"/>
  <c r="N63" i="3"/>
  <c r="AL166" i="3"/>
  <c r="AP173" i="3"/>
  <c r="T167" i="3"/>
  <c r="AH48" i="3"/>
  <c r="O166" i="3"/>
  <c r="N66" i="3"/>
  <c r="AA34" i="3"/>
  <c r="U58" i="3"/>
  <c r="T64" i="3"/>
  <c r="AL58" i="3"/>
  <c r="AM31" i="3"/>
  <c r="Y42" i="3"/>
  <c r="AQ169" i="3"/>
  <c r="AP59" i="3"/>
  <c r="M67" i="3"/>
  <c r="L175" i="3"/>
  <c r="AG175" i="3"/>
  <c r="AS66" i="3"/>
  <c r="AS226" i="3"/>
  <c r="S31" i="3"/>
  <c r="AK67" i="3"/>
  <c r="T49" i="3"/>
  <c r="J35" i="3"/>
  <c r="AL165" i="3"/>
  <c r="AB46" i="3"/>
  <c r="AP49" i="3"/>
  <c r="AM165" i="3"/>
  <c r="L173" i="3"/>
  <c r="AJ62" i="3"/>
  <c r="K163" i="3"/>
  <c r="AQ41" i="3"/>
  <c r="X169" i="3"/>
  <c r="W59" i="3"/>
  <c r="Z165" i="3"/>
  <c r="AC58" i="3"/>
  <c r="I166" i="3"/>
  <c r="J32" i="3"/>
  <c r="AG42" i="3"/>
  <c r="Z164" i="3"/>
  <c r="AB63" i="3"/>
  <c r="AI175" i="3"/>
  <c r="AA212" i="3"/>
  <c r="P163" i="3"/>
  <c r="X56" i="3"/>
  <c r="U27" i="3"/>
  <c r="W51" i="3"/>
  <c r="AP35" i="3"/>
  <c r="AA167" i="3"/>
  <c r="AF164" i="3"/>
  <c r="M54" i="3"/>
  <c r="AE48" i="3"/>
  <c r="AB164" i="3"/>
  <c r="L54" i="3"/>
  <c r="S174" i="3"/>
  <c r="AS35" i="3"/>
  <c r="L58" i="3"/>
  <c r="G164" i="3"/>
  <c r="AM42" i="3"/>
  <c r="W35" i="3"/>
  <c r="H173" i="3"/>
  <c r="AS34" i="3"/>
  <c r="W45" i="3"/>
  <c r="AD64" i="3"/>
  <c r="AH164" i="3"/>
  <c r="J54" i="3"/>
  <c r="Z175" i="3"/>
  <c r="AF163" i="3"/>
  <c r="AG58" i="3"/>
  <c r="AD43" i="3"/>
  <c r="AG32" i="3"/>
  <c r="N29" i="3"/>
  <c r="H163" i="3"/>
  <c r="AB49" i="3"/>
  <c r="AB166" i="3"/>
  <c r="I27" i="3"/>
  <c r="AS168" i="3"/>
  <c r="AD51" i="3"/>
  <c r="AM175" i="3"/>
  <c r="AH64" i="3"/>
  <c r="Q165" i="3"/>
  <c r="AE46" i="3"/>
  <c r="K172" i="3"/>
  <c r="O164" i="3"/>
  <c r="J43" i="3"/>
  <c r="Q63" i="3"/>
  <c r="L170" i="3"/>
  <c r="Z51" i="3"/>
  <c r="U175" i="3"/>
  <c r="AC60" i="3"/>
  <c r="AS67" i="3"/>
  <c r="X167" i="3"/>
  <c r="I49" i="3"/>
  <c r="AB173" i="3"/>
  <c r="AD174" i="3"/>
  <c r="X67" i="3"/>
  <c r="AE37" i="3"/>
  <c r="AH27" i="3"/>
  <c r="Q48" i="3"/>
  <c r="AL168" i="3"/>
  <c r="AP62" i="3"/>
  <c r="V46" i="3"/>
  <c r="AG167" i="3"/>
  <c r="G60" i="3"/>
  <c r="AR28" i="3"/>
  <c r="AI171" i="3"/>
  <c r="AC46" i="3"/>
  <c r="I172" i="3"/>
  <c r="G168" i="3"/>
  <c r="AK62" i="3"/>
  <c r="AF168" i="3"/>
  <c r="Q51" i="3"/>
  <c r="AI60" i="3"/>
  <c r="T68" i="3"/>
  <c r="AG166" i="3"/>
  <c r="Y66" i="3"/>
  <c r="G167" i="3"/>
  <c r="I173" i="3"/>
  <c r="V34" i="3"/>
  <c r="Z54" i="3"/>
  <c r="V118" i="3"/>
  <c r="AP68" i="3"/>
  <c r="J109" i="3"/>
  <c r="W60" i="3"/>
  <c r="AL46" i="3"/>
  <c r="AJ35" i="3"/>
  <c r="Y31" i="3"/>
  <c r="AN27" i="3"/>
  <c r="AC63" i="3"/>
  <c r="N163" i="3"/>
  <c r="U54" i="3"/>
  <c r="G165" i="3"/>
  <c r="R58" i="3"/>
  <c r="Q64" i="3"/>
  <c r="AQ163" i="3"/>
  <c r="AL42" i="3"/>
  <c r="L27" i="3"/>
  <c r="AN168" i="3"/>
  <c r="Y51" i="3"/>
  <c r="AE175" i="3"/>
  <c r="AO166" i="3"/>
  <c r="AJ173" i="3"/>
  <c r="O31" i="3"/>
  <c r="R166" i="3"/>
  <c r="Q66" i="3"/>
  <c r="AD34" i="3"/>
  <c r="P58" i="3"/>
  <c r="O64" i="3"/>
  <c r="I68" i="3"/>
  <c r="AN67" i="3"/>
  <c r="R41" i="3"/>
  <c r="K165" i="3"/>
  <c r="AC51" i="3"/>
  <c r="AM34" i="3"/>
  <c r="X64" i="3"/>
  <c r="AD46" i="3"/>
  <c r="O29" i="3"/>
  <c r="N37" i="3"/>
  <c r="AS46" i="3"/>
  <c r="R174" i="3"/>
  <c r="V66" i="3"/>
  <c r="M35" i="3"/>
  <c r="AJ45" i="3"/>
  <c r="AI64" i="3"/>
  <c r="AM164" i="3"/>
  <c r="O54" i="3"/>
  <c r="AF54" i="3"/>
  <c r="U172" i="3"/>
  <c r="AF35" i="3"/>
  <c r="AR56" i="3"/>
  <c r="AM163" i="3"/>
  <c r="AH42" i="3"/>
  <c r="X101" i="3"/>
  <c r="Q68" i="3"/>
  <c r="K68" i="3"/>
  <c r="AB113" i="3"/>
  <c r="T102" i="3"/>
  <c r="K217" i="3"/>
  <c r="AI229" i="3"/>
  <c r="J210" i="3"/>
  <c r="R111" i="3"/>
  <c r="AA210" i="3"/>
  <c r="O212" i="3"/>
  <c r="X102" i="3"/>
  <c r="W217" i="3"/>
  <c r="Y102" i="3"/>
  <c r="P217" i="3"/>
  <c r="AA229" i="3"/>
  <c r="G101" i="3"/>
  <c r="AQ215" i="3"/>
  <c r="AP127" i="3"/>
  <c r="T117" i="3"/>
  <c r="J135" i="3"/>
  <c r="AN226" i="3"/>
  <c r="AD229" i="3"/>
  <c r="H128" i="3"/>
  <c r="X124" i="3"/>
  <c r="AI218" i="3"/>
  <c r="Y124" i="3"/>
  <c r="T218" i="3"/>
  <c r="AL136" i="3"/>
  <c r="V227" i="3"/>
  <c r="K154" i="3"/>
  <c r="AP133" i="3"/>
  <c r="P145" i="3"/>
  <c r="AJ138" i="3"/>
  <c r="L150" i="3"/>
  <c r="N131" i="3"/>
  <c r="Q148" i="3"/>
  <c r="U133" i="3"/>
  <c r="AS143" i="3"/>
  <c r="AI143" i="3"/>
  <c r="N146" i="3"/>
  <c r="R155" i="3"/>
  <c r="I154" i="3"/>
  <c r="W230" i="3"/>
  <c r="P233" i="3"/>
  <c r="AG233" i="3"/>
  <c r="AH176" i="3"/>
  <c r="V103" i="3"/>
  <c r="AK106" i="3"/>
  <c r="AN223" i="3"/>
  <c r="R210" i="3"/>
  <c r="Z111" i="3"/>
  <c r="G106" i="3"/>
  <c r="J113" i="3"/>
  <c r="S131" i="3"/>
  <c r="L220" i="3"/>
  <c r="AI128" i="3"/>
  <c r="V213" i="3"/>
  <c r="AE221" i="3"/>
  <c r="O104" i="3"/>
  <c r="N220" i="3"/>
  <c r="AO109" i="3"/>
  <c r="AR226" i="3"/>
  <c r="W125" i="3"/>
  <c r="AP135" i="3"/>
  <c r="AQ129" i="3"/>
  <c r="AR228" i="3"/>
  <c r="AF124" i="3"/>
  <c r="O133" i="3"/>
  <c r="AK116" i="3"/>
  <c r="O127" i="3"/>
  <c r="Q143" i="3"/>
  <c r="AJ152" i="3"/>
  <c r="W218" i="3"/>
  <c r="W142" i="3"/>
  <c r="AP150" i="3"/>
  <c r="L230" i="3"/>
  <c r="AE135" i="3"/>
  <c r="AQ157" i="3"/>
  <c r="AQ141" i="3"/>
  <c r="R154" i="3"/>
  <c r="AF143" i="3"/>
  <c r="I211" i="3"/>
  <c r="AE230" i="3"/>
  <c r="H210" i="3"/>
  <c r="AS106" i="3"/>
  <c r="O224" i="3"/>
  <c r="Y108" i="3"/>
  <c r="AK114" i="3"/>
  <c r="AQ101" i="3"/>
  <c r="AP216" i="3"/>
  <c r="AF228" i="3"/>
  <c r="AN106" i="3"/>
  <c r="S224" i="3"/>
  <c r="U210" i="3"/>
  <c r="AC111" i="3"/>
  <c r="W104" i="3"/>
  <c r="V220" i="3"/>
  <c r="N129" i="3"/>
  <c r="S223" i="3"/>
  <c r="AO129" i="3"/>
  <c r="J116" i="3"/>
  <c r="AG125" i="3"/>
  <c r="R132" i="3"/>
  <c r="AH226" i="3"/>
  <c r="X230" i="3"/>
  <c r="AA226" i="3"/>
  <c r="O157" i="3"/>
  <c r="AA143" i="3"/>
  <c r="AH138" i="3"/>
  <c r="AE218" i="3"/>
  <c r="AH211" i="3"/>
  <c r="G152" i="3"/>
  <c r="Q145" i="3"/>
  <c r="AM150" i="3"/>
  <c r="M158" i="3"/>
  <c r="AI150" i="3"/>
  <c r="AP155" i="3"/>
  <c r="V160" i="3"/>
  <c r="V38" i="3"/>
  <c r="Y119" i="3"/>
  <c r="AS119" i="3"/>
  <c r="AL103" i="3"/>
  <c r="AR212" i="3"/>
  <c r="Y114" i="3"/>
  <c r="AH101" i="3"/>
  <c r="AG216" i="3"/>
  <c r="O228" i="3"/>
  <c r="N212" i="3"/>
  <c r="AC104" i="3"/>
  <c r="AB111" i="3"/>
  <c r="AL104" i="3"/>
  <c r="AL111" i="3"/>
  <c r="AE104" i="3"/>
  <c r="AD220" i="3"/>
  <c r="AN213" i="3"/>
  <c r="AO220" i="3"/>
  <c r="T130" i="3"/>
  <c r="AR117" i="3"/>
  <c r="N124" i="3"/>
  <c r="AC218" i="3"/>
  <c r="AL127" i="3"/>
  <c r="H117" i="3"/>
  <c r="Y141" i="3"/>
  <c r="T154" i="3"/>
  <c r="AA147" i="3"/>
  <c r="T131" i="3"/>
  <c r="N148" i="3"/>
  <c r="P218" i="3"/>
  <c r="N211" i="3"/>
  <c r="AR150" i="3"/>
  <c r="AL131" i="3"/>
  <c r="T141" i="3"/>
  <c r="O154" i="3"/>
  <c r="AQ222" i="3"/>
  <c r="AJ136" i="3"/>
  <c r="AH222" i="3"/>
  <c r="AC142" i="3"/>
  <c r="AB148" i="3"/>
  <c r="S158" i="3"/>
  <c r="P227" i="3"/>
  <c r="O158" i="3"/>
  <c r="AO155" i="3"/>
  <c r="F226" i="3"/>
  <c r="Z109" i="3"/>
  <c r="G103" i="3"/>
  <c r="AQ217" i="3"/>
  <c r="AP101" i="3"/>
  <c r="AO216" i="3"/>
  <c r="AE228" i="3"/>
  <c r="U109" i="3"/>
  <c r="AP117" i="3"/>
  <c r="J103" i="3"/>
  <c r="I110" i="3"/>
  <c r="S214" i="3"/>
  <c r="AC108" i="3"/>
  <c r="G116" i="3"/>
  <c r="AM101" i="3"/>
  <c r="AL216" i="3"/>
  <c r="X228" i="3"/>
  <c r="U124" i="3"/>
  <c r="AB218" i="3"/>
  <c r="H226" i="3"/>
  <c r="AE128" i="3"/>
  <c r="X222" i="3"/>
  <c r="AK122" i="3"/>
  <c r="Q131" i="3"/>
  <c r="AH224" i="3"/>
  <c r="AQ135" i="3"/>
  <c r="O222" i="3"/>
  <c r="N132" i="3"/>
  <c r="V142" i="3"/>
  <c r="U157" i="3"/>
  <c r="AR232" i="3"/>
  <c r="AL142" i="3"/>
  <c r="U225" i="3"/>
  <c r="AD158" i="3"/>
  <c r="AP146" i="3"/>
  <c r="AO154" i="3"/>
  <c r="AC230" i="3"/>
  <c r="AA69" i="3"/>
  <c r="F224" i="3"/>
  <c r="AR69" i="3"/>
  <c r="N160" i="3"/>
  <c r="N38" i="3"/>
  <c r="AM160" i="3"/>
  <c r="AM38" i="3"/>
  <c r="AB160" i="3"/>
  <c r="AB38" i="3"/>
  <c r="AL119" i="3"/>
  <c r="M110" i="3"/>
  <c r="AK110" i="3"/>
  <c r="AP213" i="3"/>
  <c r="AQ220" i="3"/>
  <c r="AK218" i="3"/>
  <c r="AF103" i="3"/>
  <c r="AE110" i="3"/>
  <c r="N125" i="3"/>
  <c r="T104" i="3"/>
  <c r="K220" i="3"/>
  <c r="R103" i="3"/>
  <c r="Q110" i="3"/>
  <c r="O122" i="3"/>
  <c r="AA214" i="3"/>
  <c r="AB103" i="3"/>
  <c r="S110" i="3"/>
  <c r="AA124" i="3"/>
  <c r="I109" i="3"/>
  <c r="AN116" i="3"/>
  <c r="AC124" i="3"/>
  <c r="AR218" i="3"/>
  <c r="P226" i="3"/>
  <c r="AM128" i="3"/>
  <c r="AC127" i="3"/>
  <c r="L228" i="3"/>
  <c r="AA131" i="3"/>
  <c r="F54" i="3"/>
  <c r="F170" i="3"/>
  <c r="F60" i="3"/>
  <c r="AC176" i="3"/>
  <c r="O160" i="3"/>
  <c r="O38" i="3"/>
  <c r="F135" i="3"/>
  <c r="F157" i="3"/>
  <c r="L176" i="3"/>
  <c r="W233" i="3"/>
  <c r="AF119" i="3"/>
  <c r="AI119" i="3"/>
  <c r="F63" i="3"/>
  <c r="F66" i="3"/>
  <c r="F27" i="3"/>
  <c r="F212" i="3"/>
  <c r="AN69" i="3"/>
  <c r="F145" i="3"/>
  <c r="H29" i="3"/>
  <c r="AO58" i="3"/>
  <c r="AN43" i="3"/>
  <c r="T168" i="3"/>
  <c r="AK63" i="3"/>
  <c r="P43" i="3"/>
  <c r="AO163" i="3"/>
  <c r="AR42" i="3"/>
  <c r="AD59" i="3"/>
  <c r="L167" i="3"/>
  <c r="AQ172" i="3"/>
  <c r="AB163" i="3"/>
  <c r="AO51" i="3"/>
  <c r="AM62" i="3"/>
  <c r="L165" i="3"/>
  <c r="Y54" i="3"/>
  <c r="J164" i="3"/>
  <c r="AP42" i="3"/>
  <c r="AK173" i="3"/>
  <c r="AF101" i="3"/>
  <c r="X43" i="3"/>
  <c r="V167" i="3"/>
  <c r="AR171" i="3"/>
  <c r="AP27" i="3"/>
  <c r="P172" i="3"/>
  <c r="T35" i="3"/>
  <c r="L164" i="3"/>
  <c r="G43" i="3"/>
  <c r="AL59" i="3"/>
  <c r="AP66" i="3"/>
  <c r="T31" i="3"/>
  <c r="O59" i="3"/>
  <c r="R165" i="3"/>
  <c r="AF46" i="3"/>
  <c r="AH37" i="3"/>
  <c r="T48" i="3"/>
  <c r="AH174" i="3"/>
  <c r="AQ51" i="3"/>
  <c r="AA168" i="3"/>
  <c r="W41" i="3"/>
  <c r="L169" i="3"/>
  <c r="AD60" i="3"/>
  <c r="L68" i="3"/>
  <c r="AG68" i="3"/>
  <c r="AS118" i="3"/>
  <c r="AA54" i="3"/>
  <c r="AL29" i="3"/>
  <c r="K164" i="3"/>
  <c r="AM29" i="3"/>
  <c r="AL37" i="3"/>
  <c r="X48" i="3"/>
  <c r="M166" i="3"/>
  <c r="L66" i="3"/>
  <c r="K27" i="3"/>
  <c r="J170" i="3"/>
  <c r="X51" i="3"/>
  <c r="AD175" i="3"/>
  <c r="Z29" i="3"/>
  <c r="Y37" i="3"/>
  <c r="AN46" i="3"/>
  <c r="U174" i="3"/>
  <c r="AC41" i="3"/>
  <c r="J169" i="3"/>
  <c r="AR174" i="3"/>
  <c r="AO54" i="3"/>
  <c r="V172" i="3"/>
  <c r="Z28" i="3"/>
  <c r="Y171" i="3"/>
  <c r="AN45" i="3"/>
  <c r="AC56" i="3"/>
  <c r="R175" i="3"/>
  <c r="AI68" i="3"/>
  <c r="AA102" i="3"/>
  <c r="P27" i="3"/>
  <c r="AC42" i="3"/>
  <c r="AA31" i="3"/>
  <c r="AF28" i="3"/>
  <c r="M169" i="3"/>
  <c r="AB28" i="3"/>
  <c r="S171" i="3"/>
  <c r="M46" i="3"/>
  <c r="AD63" i="3"/>
  <c r="Q60" i="3"/>
  <c r="S67" i="3"/>
  <c r="AJ167" i="3"/>
  <c r="M49" i="3"/>
  <c r="AG173" i="3"/>
  <c r="G28" i="3"/>
  <c r="AQ170" i="3"/>
  <c r="J56" i="3"/>
  <c r="AJ172" i="3"/>
  <c r="AJ48" i="3"/>
  <c r="Q166" i="3"/>
  <c r="H66" i="3"/>
  <c r="AJ165" i="3"/>
  <c r="AE58" i="3"/>
  <c r="AH28" i="3"/>
  <c r="AG171" i="3"/>
  <c r="K46" i="3"/>
  <c r="AJ63" i="3"/>
  <c r="Z68" i="3"/>
  <c r="K212" i="3"/>
  <c r="AR215" i="3"/>
  <c r="AF27" i="3"/>
  <c r="H27" i="3"/>
  <c r="R171" i="3"/>
  <c r="AB59" i="3"/>
  <c r="AS169" i="3"/>
  <c r="AS32" i="3"/>
  <c r="AE43" i="3"/>
  <c r="K62" i="3"/>
  <c r="AM68" i="3"/>
  <c r="Q29" i="3"/>
  <c r="H37" i="3"/>
  <c r="T58" i="3"/>
  <c r="K64" i="3"/>
  <c r="O28" i="3"/>
  <c r="N171" i="3"/>
  <c r="L34" i="3"/>
  <c r="AA43" i="3"/>
  <c r="G62" i="3"/>
  <c r="U68" i="3"/>
  <c r="Z168" i="3"/>
  <c r="V41" i="3"/>
  <c r="AN49" i="3"/>
  <c r="X31" i="3"/>
  <c r="AA166" i="3"/>
  <c r="AB66" i="3"/>
  <c r="AD67" i="3"/>
  <c r="AG220" i="3"/>
  <c r="X164" i="3"/>
  <c r="AI54" i="3"/>
  <c r="AL32" i="3"/>
  <c r="AG31" i="3"/>
  <c r="Q174" i="3"/>
  <c r="AI35" i="3"/>
  <c r="J58" i="3"/>
  <c r="I64" i="3"/>
  <c r="O63" i="3"/>
  <c r="G32" i="3"/>
  <c r="AD42" i="3"/>
  <c r="AF32" i="3"/>
  <c r="R43" i="3"/>
  <c r="H42" i="3"/>
  <c r="AH169" i="3"/>
  <c r="AG59" i="3"/>
  <c r="G31" i="3"/>
  <c r="AQ37" i="3"/>
  <c r="AC48" i="3"/>
  <c r="J166" i="3"/>
  <c r="I66" i="3"/>
  <c r="M165" i="3"/>
  <c r="AA46" i="3"/>
  <c r="G172" i="3"/>
  <c r="Q223" i="3"/>
  <c r="S58" i="3"/>
  <c r="AP41" i="3"/>
  <c r="N27" i="3"/>
  <c r="G29" i="3"/>
  <c r="AQ171" i="3"/>
  <c r="AK46" i="3"/>
  <c r="M173" i="3"/>
  <c r="AQ27" i="3"/>
  <c r="AP170" i="3"/>
  <c r="I56" i="3"/>
  <c r="AA172" i="3"/>
  <c r="AN32" i="3"/>
  <c r="Z43" i="3"/>
  <c r="AQ60" i="3"/>
  <c r="AE68" i="3"/>
  <c r="P42" i="3"/>
  <c r="AP169" i="3"/>
  <c r="AO59" i="3"/>
  <c r="AJ66" i="3"/>
  <c r="AL41" i="3"/>
  <c r="S169" i="3"/>
  <c r="R59" i="3"/>
  <c r="U165" i="3"/>
  <c r="AI46" i="3"/>
  <c r="AH171" i="3"/>
  <c r="K29" i="3"/>
  <c r="J163" i="3"/>
  <c r="AH49" i="3"/>
  <c r="AR168" i="3"/>
  <c r="H60" i="3"/>
  <c r="R67" i="3"/>
  <c r="AO165" i="3"/>
  <c r="AR58" i="3"/>
  <c r="AM28" i="3"/>
  <c r="AL171" i="3"/>
  <c r="P46" i="3"/>
  <c r="AO63" i="3"/>
  <c r="AJ170" i="3"/>
  <c r="N45" i="3"/>
  <c r="U64" i="3"/>
  <c r="W167" i="3"/>
  <c r="AS48" i="3"/>
  <c r="Z173" i="3"/>
  <c r="AM27" i="3"/>
  <c r="AL170" i="3"/>
  <c r="AP54" i="3"/>
  <c r="W172" i="3"/>
  <c r="H220" i="3"/>
  <c r="K109" i="3"/>
  <c r="AI117" i="3"/>
  <c r="J101" i="3"/>
  <c r="I216" i="3"/>
  <c r="AA101" i="3"/>
  <c r="Z216" i="3"/>
  <c r="AN224" i="3"/>
  <c r="O102" i="3"/>
  <c r="N217" i="3"/>
  <c r="AQ117" i="3"/>
  <c r="W109" i="3"/>
  <c r="AK226" i="3"/>
  <c r="P109" i="3"/>
  <c r="AA117" i="3"/>
  <c r="AQ106" i="3"/>
  <c r="W224" i="3"/>
  <c r="AS225" i="3"/>
  <c r="AN220" i="3"/>
  <c r="AI127" i="3"/>
  <c r="AN118" i="3"/>
  <c r="Z129" i="3"/>
  <c r="AD117" i="3"/>
  <c r="AJ228" i="3"/>
  <c r="AI132" i="3"/>
  <c r="AC228" i="3"/>
  <c r="T132" i="3"/>
  <c r="V148" i="3"/>
  <c r="I133" i="3"/>
  <c r="R143" i="3"/>
  <c r="G230" i="3"/>
  <c r="P155" i="3"/>
  <c r="AB232" i="3"/>
  <c r="AF231" i="3"/>
  <c r="J146" i="3"/>
  <c r="W155" i="3"/>
  <c r="P119" i="3"/>
  <c r="AG119" i="3"/>
  <c r="K69" i="3"/>
  <c r="AH160" i="3"/>
  <c r="AH38" i="3"/>
  <c r="Q233" i="3"/>
  <c r="AB212" i="3"/>
  <c r="AN113" i="3"/>
  <c r="R101" i="3"/>
  <c r="Q216" i="3"/>
  <c r="AI210" i="3"/>
  <c r="AF215" i="3"/>
  <c r="V104" i="3"/>
  <c r="U220" i="3"/>
  <c r="AE131" i="3"/>
  <c r="N111" i="3"/>
  <c r="AQ128" i="3"/>
  <c r="X213" i="3"/>
  <c r="AR118" i="3"/>
  <c r="M136" i="3"/>
  <c r="AB229" i="3"/>
  <c r="AQ127" i="3"/>
  <c r="AI122" i="3"/>
  <c r="AI221" i="3"/>
  <c r="AR116" i="3"/>
  <c r="S154" i="3"/>
  <c r="Z138" i="3"/>
  <c r="I150" i="3"/>
  <c r="W132" i="3"/>
  <c r="W211" i="3"/>
  <c r="Q136" i="3"/>
  <c r="H222" i="3"/>
  <c r="L155" i="3"/>
  <c r="AA148" i="3"/>
  <c r="AL154" i="3"/>
  <c r="J145" i="3"/>
  <c r="U154" i="3"/>
  <c r="AB230" i="3"/>
  <c r="AA150" i="3"/>
  <c r="AE155" i="3"/>
  <c r="F165" i="3"/>
  <c r="AQ228" i="3"/>
  <c r="H101" i="3"/>
  <c r="AJ212" i="3"/>
  <c r="O114" i="3"/>
  <c r="H214" i="3"/>
  <c r="AP108" i="3"/>
  <c r="AF116" i="3"/>
  <c r="AE212" i="3"/>
  <c r="S114" i="3"/>
  <c r="U101" i="3"/>
  <c r="T216" i="3"/>
  <c r="N210" i="3"/>
  <c r="V111" i="3"/>
  <c r="G129" i="3"/>
  <c r="AF213" i="3"/>
  <c r="AE220" i="3"/>
  <c r="AN129" i="3"/>
  <c r="S113" i="3"/>
  <c r="AR145" i="3"/>
  <c r="AP125" i="3"/>
  <c r="AH118" i="3"/>
  <c r="T129" i="3"/>
  <c r="AA118" i="3"/>
  <c r="M129" i="3"/>
  <c r="AH232" i="3"/>
  <c r="T150" i="3"/>
  <c r="AE132" i="3"/>
  <c r="AH142" i="3"/>
  <c r="G225" i="3"/>
  <c r="AI133" i="3"/>
  <c r="AL230" i="3"/>
  <c r="AM135" i="3"/>
  <c r="Y146" i="3"/>
  <c r="H232" i="3"/>
  <c r="P211" i="3"/>
  <c r="AJ150" i="3"/>
  <c r="G142" i="3"/>
  <c r="Z150" i="3"/>
  <c r="AN143" i="3"/>
  <c r="AR143" i="3"/>
  <c r="H233" i="3"/>
  <c r="AE176" i="3"/>
  <c r="AM216" i="3"/>
  <c r="AR102" i="3"/>
  <c r="AI217" i="3"/>
  <c r="AG108" i="3"/>
  <c r="O116" i="3"/>
  <c r="N102" i="3"/>
  <c r="M217" i="3"/>
  <c r="S229" i="3"/>
  <c r="T210" i="3"/>
  <c r="AB220" i="3"/>
  <c r="AC210" i="3"/>
  <c r="V210" i="3"/>
  <c r="AD111" i="3"/>
  <c r="AN104" i="3"/>
  <c r="AO111" i="3"/>
  <c r="L130" i="3"/>
  <c r="AA223" i="3"/>
  <c r="M130" i="3"/>
  <c r="R228" i="3"/>
  <c r="AC132" i="3"/>
  <c r="W124" i="3"/>
  <c r="AH218" i="3"/>
  <c r="AP226" i="3"/>
  <c r="AR220" i="3"/>
  <c r="AE127" i="3"/>
  <c r="L232" i="3"/>
  <c r="AP138" i="3"/>
  <c r="AA222" i="3"/>
  <c r="P132" i="3"/>
  <c r="N142" i="3"/>
  <c r="AH147" i="3"/>
  <c r="AC211" i="3"/>
  <c r="Y142" i="3"/>
  <c r="P148" i="3"/>
  <c r="AO230" i="3"/>
  <c r="F118" i="3"/>
  <c r="Z217" i="3"/>
  <c r="T215" i="3"/>
  <c r="AQ109" i="3"/>
  <c r="J124" i="3"/>
  <c r="AO108" i="3"/>
  <c r="AE116" i="3"/>
  <c r="L213" i="3"/>
  <c r="U221" i="3"/>
  <c r="S103" i="3"/>
  <c r="R110" i="3"/>
  <c r="AC125" i="3"/>
  <c r="T214" i="3"/>
  <c r="AL108" i="3"/>
  <c r="X116" i="3"/>
  <c r="AB124" i="3"/>
  <c r="AA218" i="3"/>
  <c r="Y228" i="3"/>
  <c r="AB132" i="3"/>
  <c r="H118" i="3"/>
  <c r="U127" i="3"/>
  <c r="M225" i="3"/>
  <c r="Q221" i="3"/>
  <c r="AH114" i="3"/>
  <c r="AD122" i="3"/>
  <c r="I131" i="3"/>
  <c r="O147" i="3"/>
  <c r="G231" i="3"/>
  <c r="AK135" i="3"/>
  <c r="W146" i="3"/>
  <c r="AD231" i="3"/>
  <c r="AO136" i="3"/>
  <c r="AN147" i="3"/>
  <c r="R136" i="3"/>
  <c r="J147" i="3"/>
  <c r="AR158" i="3"/>
  <c r="AL211" i="3"/>
  <c r="U152" i="3"/>
  <c r="AB142" i="3"/>
  <c r="L225" i="3"/>
  <c r="AK142" i="3"/>
  <c r="AJ227" i="3"/>
  <c r="AA158" i="3"/>
  <c r="AC155" i="3"/>
  <c r="F114" i="3"/>
  <c r="AP104" i="3"/>
  <c r="AQ111" i="3"/>
  <c r="AK132" i="3"/>
  <c r="K111" i="3"/>
  <c r="X127" i="3"/>
  <c r="AA103" i="3"/>
  <c r="Z110" i="3"/>
  <c r="AF127" i="3"/>
  <c r="AK214" i="3"/>
  <c r="AJ124" i="3"/>
  <c r="AQ218" i="3"/>
  <c r="AG228" i="3"/>
  <c r="AR132" i="3"/>
  <c r="P118" i="3"/>
  <c r="AG226" i="3"/>
  <c r="L116" i="3"/>
  <c r="AA125" i="3"/>
  <c r="X229" i="3"/>
  <c r="J128" i="3"/>
  <c r="X133" i="3"/>
  <c r="AP154" i="3"/>
  <c r="M148" i="3"/>
  <c r="AJ221" i="3"/>
  <c r="AI227" i="3"/>
  <c r="AF218" i="3"/>
  <c r="AI142" i="3"/>
  <c r="S225" i="3"/>
  <c r="Q218" i="3"/>
  <c r="AO141" i="3"/>
  <c r="AQ136" i="3"/>
  <c r="R227" i="3"/>
  <c r="G138" i="3"/>
  <c r="I148" i="3"/>
  <c r="Q222" i="3"/>
  <c r="AK232" i="3"/>
  <c r="AO211" i="3"/>
  <c r="AF148" i="3"/>
  <c r="AE232" i="3"/>
  <c r="AE108" i="3"/>
  <c r="AP109" i="3"/>
  <c r="W214" i="3"/>
  <c r="T109" i="3"/>
  <c r="AO117" i="3"/>
  <c r="AL102" i="3"/>
  <c r="AK217" i="3"/>
  <c r="AR101" i="3"/>
  <c r="AI216" i="3"/>
  <c r="AI228" i="3"/>
  <c r="Y106" i="3"/>
  <c r="AH113" i="3"/>
  <c r="I212" i="3"/>
  <c r="AA215" i="3"/>
  <c r="AK223" i="3"/>
  <c r="AG135" i="3"/>
  <c r="H129" i="3"/>
  <c r="N224" i="3"/>
  <c r="AP116" i="3"/>
  <c r="G131" i="3"/>
  <c r="AM117" i="3"/>
  <c r="AF117" i="3"/>
  <c r="AF133" i="3"/>
  <c r="AH145" i="3"/>
  <c r="Q157" i="3"/>
  <c r="W148" i="3"/>
  <c r="AR221" i="3"/>
  <c r="X146" i="3"/>
  <c r="AP231" i="3"/>
  <c r="G135" i="3"/>
  <c r="R145" i="3"/>
  <c r="K157" i="3"/>
  <c r="AC148" i="3"/>
  <c r="O138" i="3"/>
  <c r="S148" i="3"/>
  <c r="Y147" i="3"/>
  <c r="P231" i="3"/>
  <c r="J230" i="3"/>
  <c r="AD152" i="3"/>
  <c r="AO232" i="3"/>
  <c r="AO233" i="3"/>
  <c r="S119" i="3"/>
  <c r="AJ119" i="3"/>
  <c r="F211" i="3"/>
  <c r="F67" i="3"/>
  <c r="F103" i="3"/>
  <c r="K104" i="3"/>
  <c r="J220" i="3"/>
  <c r="AS109" i="3"/>
  <c r="AH103" i="3"/>
  <c r="AG110" i="3"/>
  <c r="V125" i="3"/>
  <c r="F34" i="3"/>
  <c r="AC38" i="3"/>
  <c r="AQ233" i="3"/>
  <c r="M233" i="3"/>
  <c r="AD69" i="3"/>
  <c r="F122" i="3"/>
  <c r="R176" i="3"/>
  <c r="F231" i="3"/>
  <c r="L160" i="3"/>
  <c r="L38" i="3"/>
  <c r="W119" i="3"/>
  <c r="AK233" i="3"/>
  <c r="F130" i="3"/>
  <c r="Z176" i="3"/>
  <c r="J233" i="3"/>
  <c r="I176" i="3"/>
  <c r="F124" i="3"/>
  <c r="U176" i="3"/>
  <c r="G233" i="3"/>
  <c r="F102" i="3"/>
  <c r="X69" i="3"/>
  <c r="F217" i="3"/>
  <c r="O169" i="3"/>
  <c r="AF165" i="3"/>
  <c r="T32" i="3"/>
  <c r="AC37" i="3"/>
  <c r="AO27" i="3"/>
  <c r="AF170" i="3"/>
  <c r="G56" i="3"/>
  <c r="AG172" i="3"/>
  <c r="AN175" i="3"/>
  <c r="L31" i="3"/>
  <c r="AN37" i="3"/>
  <c r="Z48" i="3"/>
  <c r="G166" i="3"/>
  <c r="AQ64" i="3"/>
  <c r="AB27" i="3"/>
  <c r="S170" i="3"/>
  <c r="AP43" i="3"/>
  <c r="V62" i="3"/>
  <c r="AF42" i="3"/>
  <c r="L29" i="3"/>
  <c r="AN171" i="3"/>
  <c r="Z46" i="3"/>
  <c r="AQ63" i="3"/>
  <c r="J28" i="3"/>
  <c r="I171" i="3"/>
  <c r="M56" i="3"/>
  <c r="AE172" i="3"/>
  <c r="AI173" i="3"/>
  <c r="AK66" i="3"/>
  <c r="V31" i="3"/>
  <c r="V163" i="3"/>
  <c r="AK54" i="3"/>
  <c r="AR35" i="3"/>
  <c r="P64" i="3"/>
  <c r="L28" i="3"/>
  <c r="AN170" i="3"/>
  <c r="O56" i="3"/>
  <c r="AO172" i="3"/>
  <c r="AI41" i="3"/>
  <c r="P169" i="3"/>
  <c r="P175" i="3"/>
  <c r="R29" i="3"/>
  <c r="Q37" i="3"/>
  <c r="AN166" i="3"/>
  <c r="K174" i="3"/>
  <c r="AB60" i="3"/>
  <c r="AH67" i="3"/>
  <c r="AC170" i="3"/>
  <c r="G45" i="3"/>
  <c r="X62" i="3"/>
  <c r="AA32" i="3"/>
  <c r="L51" i="3"/>
  <c r="AA175" i="3"/>
  <c r="X41" i="3"/>
  <c r="AM60" i="3"/>
  <c r="K45" i="3"/>
  <c r="K28" i="3"/>
  <c r="P56" i="3"/>
  <c r="O60" i="3"/>
  <c r="M59" i="3"/>
  <c r="R172" i="3"/>
  <c r="J34" i="3"/>
  <c r="AG43" i="3"/>
  <c r="M62" i="3"/>
  <c r="AD68" i="3"/>
  <c r="K60" i="3"/>
  <c r="U67" i="3"/>
  <c r="J51" i="3"/>
  <c r="AJ60" i="3"/>
  <c r="AR67" i="3"/>
  <c r="AK170" i="3"/>
  <c r="O45" i="3"/>
  <c r="V64" i="3"/>
  <c r="Y35" i="3"/>
  <c r="J173" i="3"/>
  <c r="R68" i="3"/>
  <c r="X175" i="3"/>
  <c r="L168" i="3"/>
  <c r="Z62" i="3"/>
  <c r="AQ45" i="3"/>
  <c r="Y58" i="3"/>
  <c r="M51" i="3"/>
  <c r="S35" i="3"/>
  <c r="AE56" i="3"/>
  <c r="AJ31" i="3"/>
  <c r="AE166" i="3"/>
  <c r="AG66" i="3"/>
  <c r="AQ34" i="3"/>
  <c r="AC45" i="3"/>
  <c r="AJ64" i="3"/>
  <c r="Q59" i="3"/>
  <c r="AJ29" i="3"/>
  <c r="AA37" i="3"/>
  <c r="M48" i="3"/>
  <c r="AI174" i="3"/>
  <c r="AG35" i="3"/>
  <c r="AK56" i="3"/>
  <c r="K102" i="3"/>
  <c r="AR106" i="3"/>
  <c r="R163" i="3"/>
  <c r="AC54" i="3"/>
  <c r="AF43" i="3"/>
  <c r="M37" i="3"/>
  <c r="T166" i="3"/>
  <c r="R35" i="3"/>
  <c r="K31" i="3"/>
  <c r="AS51" i="3"/>
  <c r="AJ164" i="3"/>
  <c r="T54" i="3"/>
  <c r="AC174" i="3"/>
  <c r="U49" i="3"/>
  <c r="N35" i="3"/>
  <c r="AK45" i="3"/>
  <c r="R56" i="3"/>
  <c r="AR172" i="3"/>
  <c r="H54" i="3"/>
  <c r="Z32" i="3"/>
  <c r="K63" i="3"/>
  <c r="O163" i="3"/>
  <c r="J42" i="3"/>
  <c r="AJ169" i="3"/>
  <c r="AA59" i="3"/>
  <c r="AG111" i="3"/>
  <c r="AM48" i="3"/>
  <c r="AD168" i="3"/>
  <c r="X28" i="3"/>
  <c r="N166" i="3"/>
  <c r="N56" i="3"/>
  <c r="Q67" i="3"/>
  <c r="Z167" i="3"/>
  <c r="K49" i="3"/>
  <c r="AI163" i="3"/>
  <c r="AL54" i="3"/>
  <c r="S172" i="3"/>
  <c r="W164" i="3"/>
  <c r="Y63" i="3"/>
  <c r="T170" i="3"/>
  <c r="AH51" i="3"/>
  <c r="AF175" i="3"/>
  <c r="J59" i="3"/>
  <c r="M29" i="3"/>
  <c r="L37" i="3"/>
  <c r="H58" i="3"/>
  <c r="G64" i="3"/>
  <c r="G216" i="3"/>
  <c r="Q113" i="3"/>
  <c r="AL223" i="3"/>
  <c r="AN164" i="3"/>
  <c r="U164" i="3"/>
  <c r="AI58" i="3"/>
  <c r="AO45" i="3"/>
  <c r="G170" i="3"/>
  <c r="M175" i="3"/>
  <c r="AQ35" i="3"/>
  <c r="AS59" i="3"/>
  <c r="G174" i="3"/>
  <c r="M66" i="3"/>
  <c r="AP34" i="3"/>
  <c r="AB45" i="3"/>
  <c r="AA64" i="3"/>
  <c r="AE164" i="3"/>
  <c r="G54" i="3"/>
  <c r="AP51" i="3"/>
  <c r="AP168" i="3"/>
  <c r="S51" i="3"/>
  <c r="V175" i="3"/>
  <c r="U29" i="3"/>
  <c r="T37" i="3"/>
  <c r="AQ166" i="3"/>
  <c r="O174" i="3"/>
  <c r="AR49" i="3"/>
  <c r="AH35" i="3"/>
  <c r="N168" i="3"/>
  <c r="U63" i="3"/>
  <c r="H43" i="3"/>
  <c r="J27" i="3"/>
  <c r="AR32" i="3"/>
  <c r="AD163" i="3"/>
  <c r="V56" i="3"/>
  <c r="AP167" i="3"/>
  <c r="I41" i="3"/>
  <c r="AA49" i="3"/>
  <c r="AC175" i="3"/>
  <c r="AO29" i="3"/>
  <c r="AF37" i="3"/>
  <c r="R48" i="3"/>
  <c r="AE174" i="3"/>
  <c r="AL35" i="3"/>
  <c r="AP56" i="3"/>
  <c r="AJ34" i="3"/>
  <c r="V58" i="3"/>
  <c r="W31" i="3"/>
  <c r="Z166" i="3"/>
  <c r="Z66" i="3"/>
  <c r="AL34" i="3"/>
  <c r="P45" i="3"/>
  <c r="W64" i="3"/>
  <c r="AQ212" i="3"/>
  <c r="H111" i="3"/>
  <c r="AM214" i="3"/>
  <c r="I108" i="3"/>
  <c r="P224" i="3"/>
  <c r="Z108" i="3"/>
  <c r="AN114" i="3"/>
  <c r="N109" i="3"/>
  <c r="AQ229" i="3"/>
  <c r="N213" i="3"/>
  <c r="AK118" i="3"/>
  <c r="G213" i="3"/>
  <c r="AH212" i="3"/>
  <c r="W114" i="3"/>
  <c r="AS152" i="3"/>
  <c r="X129" i="3"/>
  <c r="AN111" i="3"/>
  <c r="AM226" i="3"/>
  <c r="J148" i="3"/>
  <c r="AI129" i="3"/>
  <c r="AJ116" i="3"/>
  <c r="N127" i="3"/>
  <c r="AC116" i="3"/>
  <c r="G127" i="3"/>
  <c r="P232" i="3"/>
  <c r="X136" i="3"/>
  <c r="R222" i="3"/>
  <c r="G155" i="3"/>
  <c r="S141" i="3"/>
  <c r="N154" i="3"/>
  <c r="AO132" i="3"/>
  <c r="AJ142" i="3"/>
  <c r="T225" i="3"/>
  <c r="AN135" i="3"/>
  <c r="K147" i="3"/>
  <c r="P230" i="3"/>
  <c r="AM146" i="3"/>
  <c r="AB158" i="3"/>
  <c r="AO147" i="3"/>
  <c r="AF157" i="3"/>
  <c r="AD230" i="3"/>
  <c r="AJ231" i="3"/>
  <c r="Q119" i="3"/>
  <c r="AB102" i="3"/>
  <c r="S217" i="3"/>
  <c r="Q108" i="3"/>
  <c r="AA224" i="3"/>
  <c r="AI101" i="3"/>
  <c r="AH216" i="3"/>
  <c r="P228" i="3"/>
  <c r="AF106" i="3"/>
  <c r="H224" i="3"/>
  <c r="M210" i="3"/>
  <c r="U111" i="3"/>
  <c r="AP215" i="3"/>
  <c r="X104" i="3"/>
  <c r="W220" i="3"/>
  <c r="M128" i="3"/>
  <c r="AB117" i="3"/>
  <c r="AM224" i="3"/>
  <c r="AI131" i="3"/>
  <c r="G124" i="3"/>
  <c r="AK221" i="3"/>
  <c r="V127" i="3"/>
  <c r="H154" i="3"/>
  <c r="S226" i="3"/>
  <c r="AP128" i="3"/>
  <c r="T146" i="3"/>
  <c r="N158" i="3"/>
  <c r="AR154" i="3"/>
  <c r="H147" i="3"/>
  <c r="U138" i="3"/>
  <c r="AA227" i="3"/>
  <c r="AC133" i="3"/>
  <c r="I145" i="3"/>
  <c r="V230" i="3"/>
  <c r="V146" i="3"/>
  <c r="AB155" i="3"/>
  <c r="AJ143" i="3"/>
  <c r="F29" i="3"/>
  <c r="AQ116" i="3"/>
  <c r="AJ102" i="3"/>
  <c r="AA217" i="3"/>
  <c r="H103" i="3"/>
  <c r="G110" i="3"/>
  <c r="AM122" i="3"/>
  <c r="AG214" i="3"/>
  <c r="AE102" i="3"/>
  <c r="AD217" i="3"/>
  <c r="T108" i="3"/>
  <c r="AE224" i="3"/>
  <c r="N101" i="3"/>
  <c r="M216" i="3"/>
  <c r="AF104" i="3"/>
  <c r="AE111" i="3"/>
  <c r="AP122" i="3"/>
  <c r="AS221" i="3"/>
  <c r="AK229" i="3"/>
  <c r="O128" i="3"/>
  <c r="AE227" i="3"/>
  <c r="R224" i="3"/>
  <c r="AA135" i="3"/>
  <c r="AE146" i="3"/>
  <c r="AH158" i="3"/>
  <c r="AK141" i="3"/>
  <c r="S147" i="3"/>
  <c r="AL155" i="3"/>
  <c r="H158" i="3"/>
  <c r="P142" i="3"/>
  <c r="G211" i="3"/>
  <c r="AC154" i="3"/>
  <c r="AM230" i="3"/>
  <c r="Y154" i="3"/>
  <c r="AR230" i="3"/>
  <c r="V233" i="3"/>
  <c r="H119" i="3"/>
  <c r="Y176" i="3"/>
  <c r="F230" i="3"/>
  <c r="AS69" i="3"/>
  <c r="AE160" i="3"/>
  <c r="AE38" i="3"/>
  <c r="AM108" i="3"/>
  <c r="AG213" i="3"/>
  <c r="AI109" i="3"/>
  <c r="AF122" i="3"/>
  <c r="P214" i="3"/>
  <c r="M109" i="3"/>
  <c r="S117" i="3"/>
  <c r="T101" i="3"/>
  <c r="K216" i="3"/>
  <c r="AC101" i="3"/>
  <c r="AB216" i="3"/>
  <c r="AQ224" i="3"/>
  <c r="V101" i="3"/>
  <c r="U216" i="3"/>
  <c r="AE210" i="3"/>
  <c r="AA113" i="3"/>
  <c r="R116" i="3"/>
  <c r="AO125" i="3"/>
  <c r="AH132" i="3"/>
  <c r="AP118" i="3"/>
  <c r="AB129" i="3"/>
  <c r="AR111" i="3"/>
  <c r="AI226" i="3"/>
  <c r="L158" i="3"/>
  <c r="AL143" i="3"/>
  <c r="AA230" i="3"/>
  <c r="AM218" i="3"/>
  <c r="AR142" i="3"/>
  <c r="Q152" i="3"/>
  <c r="J231" i="3"/>
  <c r="AB133" i="3"/>
  <c r="AG143" i="3"/>
  <c r="X232" i="3"/>
  <c r="AA211" i="3"/>
  <c r="K225" i="3"/>
  <c r="J225" i="3"/>
  <c r="U232" i="3"/>
  <c r="Y211" i="3"/>
  <c r="Q232" i="3"/>
  <c r="T106" i="3"/>
  <c r="AH213" i="3"/>
  <c r="X214" i="3"/>
  <c r="L104" i="3"/>
  <c r="AN110" i="3"/>
  <c r="U125" i="3"/>
  <c r="AK213" i="3"/>
  <c r="AK220" i="3"/>
  <c r="U131" i="3"/>
  <c r="T103" i="3"/>
  <c r="K110" i="3"/>
  <c r="W122" i="3"/>
  <c r="AC214" i="3"/>
  <c r="AA132" i="3"/>
  <c r="Y116" i="3"/>
  <c r="AN125" i="3"/>
  <c r="W130" i="3"/>
  <c r="Y226" i="3"/>
  <c r="M152" i="3"/>
  <c r="S125" i="3"/>
  <c r="I221" i="3"/>
  <c r="AG138" i="3"/>
  <c r="AO133" i="3"/>
  <c r="Y145" i="3"/>
  <c r="G157" i="3"/>
  <c r="AD157" i="3"/>
  <c r="AN222" i="3"/>
  <c r="S130" i="3"/>
  <c r="J222" i="3"/>
  <c r="AB211" i="3"/>
  <c r="L152" i="3"/>
  <c r="AK211" i="3"/>
  <c r="AJ148" i="3"/>
  <c r="AA232" i="3"/>
  <c r="X227" i="3"/>
  <c r="W232" i="3"/>
  <c r="AA176" i="3"/>
  <c r="AR176" i="3"/>
  <c r="N233" i="3"/>
  <c r="AM233" i="3"/>
  <c r="AB233" i="3"/>
  <c r="AL69" i="3"/>
  <c r="N214" i="3"/>
  <c r="AH217" i="3"/>
  <c r="AG210" i="3"/>
  <c r="V215" i="3"/>
  <c r="T223" i="3"/>
  <c r="AI141" i="3"/>
  <c r="AM215" i="3"/>
  <c r="AS213" i="3"/>
  <c r="L223" i="3"/>
  <c r="AN138" i="3"/>
  <c r="J215" i="3"/>
  <c r="N223" i="3"/>
  <c r="AF221" i="3"/>
  <c r="AK103" i="3"/>
  <c r="AJ110" i="3"/>
  <c r="AK125" i="3"/>
  <c r="AQ132" i="3"/>
  <c r="AG116" i="3"/>
  <c r="K127" i="3"/>
  <c r="AF130" i="3"/>
  <c r="AG118" i="3"/>
  <c r="K129" i="3"/>
  <c r="X117" i="3"/>
  <c r="X145" i="3"/>
  <c r="AJ131" i="3"/>
  <c r="Q141" i="3"/>
  <c r="AF132" i="3"/>
  <c r="AI211" i="3"/>
  <c r="S152" i="3"/>
  <c r="Q132" i="3"/>
  <c r="AJ154" i="3"/>
  <c r="I227" i="3"/>
  <c r="R141" i="3"/>
  <c r="Q147" i="3"/>
  <c r="H231" i="3"/>
  <c r="AE158" i="3"/>
  <c r="F46" i="3"/>
  <c r="W103" i="3"/>
  <c r="V110" i="3"/>
  <c r="M125" i="3"/>
  <c r="AN214" i="3"/>
  <c r="AK109" i="3"/>
  <c r="AD226" i="3"/>
  <c r="AI108" i="3"/>
  <c r="AI116" i="3"/>
  <c r="H212" i="3"/>
  <c r="I102" i="3"/>
  <c r="AS216" i="3"/>
  <c r="AM228" i="3"/>
  <c r="AA106" i="3"/>
  <c r="AK113" i="3"/>
  <c r="N114" i="3"/>
  <c r="J122" i="3"/>
  <c r="AN130" i="3"/>
  <c r="AB127" i="3"/>
  <c r="N229" i="3"/>
  <c r="J125" i="3"/>
  <c r="F222" i="3"/>
  <c r="O233" i="3"/>
  <c r="AQ119" i="3"/>
  <c r="M119" i="3"/>
  <c r="R160" i="3"/>
  <c r="R38" i="3"/>
  <c r="AK119" i="3"/>
  <c r="AF69" i="3"/>
  <c r="F220" i="3"/>
  <c r="AI69" i="3"/>
  <c r="F229" i="3"/>
  <c r="Z160" i="3"/>
  <c r="Z38" i="3"/>
  <c r="F216" i="3"/>
  <c r="J119" i="3"/>
  <c r="I38" i="3"/>
  <c r="U160" i="3"/>
  <c r="U38" i="3"/>
  <c r="G119" i="3"/>
  <c r="AN176" i="3"/>
  <c r="F56" i="3"/>
  <c r="F109" i="3"/>
  <c r="O51" i="3"/>
  <c r="AK37" i="3"/>
  <c r="AF29" i="3"/>
  <c r="AC164" i="3"/>
  <c r="AQ54" i="3"/>
  <c r="M164" i="3"/>
  <c r="AF34" i="3"/>
  <c r="Z45" i="3"/>
  <c r="AG64" i="3"/>
  <c r="T62" i="3"/>
  <c r="AN68" i="3"/>
  <c r="G59" i="3"/>
  <c r="S34" i="3"/>
  <c r="W54" i="3"/>
  <c r="AR170" i="3"/>
  <c r="AN54" i="3"/>
  <c r="AC172" i="3"/>
  <c r="AN35" i="3"/>
  <c r="G58" i="3"/>
  <c r="I35" i="3"/>
  <c r="X45" i="3"/>
  <c r="AE64" i="3"/>
  <c r="AI66" i="3"/>
  <c r="K229" i="3"/>
  <c r="R49" i="3"/>
  <c r="V27" i="3"/>
  <c r="AO168" i="3"/>
  <c r="Y45" i="3"/>
  <c r="J49" i="3"/>
  <c r="AN34" i="3"/>
  <c r="AH45" i="3"/>
  <c r="AO64" i="3"/>
  <c r="AB62" i="3"/>
  <c r="AM168" i="3"/>
  <c r="P51" i="3"/>
  <c r="AP60" i="3"/>
  <c r="P68" i="3"/>
  <c r="V49" i="3"/>
  <c r="AN59" i="3"/>
  <c r="K67" i="3"/>
  <c r="U41" i="3"/>
  <c r="AM49" i="3"/>
  <c r="AC34" i="3"/>
  <c r="AG54" i="3"/>
  <c r="R164" i="3"/>
  <c r="M43" i="3"/>
  <c r="T63" i="3"/>
  <c r="J175" i="3"/>
  <c r="AA68" i="3"/>
  <c r="AN210" i="3"/>
  <c r="AA174" i="3"/>
  <c r="AQ167" i="3"/>
  <c r="O37" i="3"/>
  <c r="V165" i="3"/>
  <c r="AC168" i="3"/>
  <c r="AG41" i="3"/>
  <c r="N169" i="3"/>
  <c r="N175" i="3"/>
  <c r="R64" i="3"/>
  <c r="AL164" i="3"/>
  <c r="N54" i="3"/>
  <c r="H168" i="3"/>
  <c r="L41" i="3"/>
  <c r="AD49" i="3"/>
  <c r="K43" i="3"/>
  <c r="AK34" i="3"/>
  <c r="W58" i="3"/>
  <c r="H167" i="3"/>
  <c r="AD48" i="3"/>
  <c r="K166" i="3"/>
  <c r="J66" i="3"/>
  <c r="N174" i="3"/>
  <c r="AJ215" i="3"/>
  <c r="AH229" i="3"/>
  <c r="W170" i="3"/>
  <c r="X68" i="3"/>
  <c r="L32" i="3"/>
  <c r="AO170" i="3"/>
  <c r="J167" i="3"/>
  <c r="AF48" i="3"/>
  <c r="T173" i="3"/>
  <c r="AR62" i="3"/>
  <c r="S163" i="3"/>
  <c r="N42" i="3"/>
  <c r="AF169" i="3"/>
  <c r="AE59" i="3"/>
  <c r="AH165" i="3"/>
  <c r="AK58" i="3"/>
  <c r="AK41" i="3"/>
  <c r="R169" i="3"/>
  <c r="G175" i="3"/>
  <c r="U60" i="3"/>
  <c r="AI67" i="3"/>
  <c r="P167" i="3"/>
  <c r="AL48" i="3"/>
  <c r="R173" i="3"/>
  <c r="P174" i="3"/>
  <c r="AB171" i="3"/>
  <c r="R27" i="3"/>
  <c r="Q168" i="3"/>
  <c r="T59" i="3"/>
  <c r="K167" i="3"/>
  <c r="AJ28" i="3"/>
  <c r="AA171" i="3"/>
  <c r="U46" i="3"/>
  <c r="AL63" i="3"/>
  <c r="Y60" i="3"/>
  <c r="AC67" i="3"/>
  <c r="AR167" i="3"/>
  <c r="AM166" i="3"/>
  <c r="AR173" i="3"/>
  <c r="AP165" i="3"/>
  <c r="AR64" i="3"/>
  <c r="AE171" i="3"/>
  <c r="Q46" i="3"/>
  <c r="AH63" i="3"/>
  <c r="Q164" i="3"/>
  <c r="L43" i="3"/>
  <c r="O27" i="3"/>
  <c r="N170" i="3"/>
  <c r="AJ51" i="3"/>
  <c r="X220" i="3"/>
  <c r="AD32" i="3"/>
  <c r="AI165" i="3"/>
  <c r="N59" i="3"/>
  <c r="K42" i="3"/>
  <c r="AN165" i="3"/>
  <c r="J41" i="3"/>
  <c r="Y168" i="3"/>
  <c r="Z31" i="3"/>
  <c r="AK166" i="3"/>
  <c r="AO173" i="3"/>
  <c r="AP172" i="3"/>
  <c r="AI27" i="3"/>
  <c r="AH170" i="3"/>
  <c r="T45" i="3"/>
  <c r="S64" i="3"/>
  <c r="W28" i="3"/>
  <c r="V171" i="3"/>
  <c r="AS45" i="3"/>
  <c r="Z56" i="3"/>
  <c r="T34" i="3"/>
  <c r="AI43" i="3"/>
  <c r="O62" i="3"/>
  <c r="AF68" i="3"/>
  <c r="AH168" i="3"/>
  <c r="AD41" i="3"/>
  <c r="K169" i="3"/>
  <c r="H175" i="3"/>
  <c r="Q49" i="3"/>
  <c r="AL174" i="3"/>
  <c r="G108" i="3"/>
  <c r="AL113" i="3"/>
  <c r="AN28" i="3"/>
  <c r="U28" i="3"/>
  <c r="Z49" i="3"/>
  <c r="G34" i="3"/>
  <c r="I167" i="3"/>
  <c r="AC163" i="3"/>
  <c r="AM169" i="3"/>
  <c r="Q170" i="3"/>
  <c r="M68" i="3"/>
  <c r="AH167" i="3"/>
  <c r="S49" i="3"/>
  <c r="AS166" i="3"/>
  <c r="G67" i="3"/>
  <c r="AG165" i="3"/>
  <c r="AJ58" i="3"/>
  <c r="AE28" i="3"/>
  <c r="AD171" i="3"/>
  <c r="H46" i="3"/>
  <c r="AG63" i="3"/>
  <c r="AB170" i="3"/>
  <c r="AQ43" i="3"/>
  <c r="W62" i="3"/>
  <c r="AP32" i="3"/>
  <c r="AB43" i="3"/>
  <c r="AS60" i="3"/>
  <c r="V68" i="3"/>
  <c r="Y49" i="3"/>
  <c r="AQ59" i="3"/>
  <c r="O67" i="3"/>
  <c r="M224" i="3"/>
  <c r="G37" i="3"/>
  <c r="N32" i="3"/>
  <c r="V166" i="3"/>
  <c r="AD27" i="3"/>
  <c r="AP31" i="3"/>
  <c r="AI62" i="3"/>
  <c r="L62" i="3"/>
  <c r="AC68" i="3"/>
  <c r="Z60" i="3"/>
  <c r="AE67" i="3"/>
  <c r="AC167" i="3"/>
  <c r="AQ48" i="3"/>
  <c r="X173" i="3"/>
  <c r="AO46" i="3"/>
  <c r="L174" i="3"/>
  <c r="I42" i="3"/>
  <c r="AA169" i="3"/>
  <c r="Z59" i="3"/>
  <c r="AC165" i="3"/>
  <c r="X58" i="3"/>
  <c r="AQ102" i="3"/>
  <c r="AM103" i="3"/>
  <c r="AL110" i="3"/>
  <c r="P127" i="3"/>
  <c r="AK212" i="3"/>
  <c r="P114" i="3"/>
  <c r="Q214" i="3"/>
  <c r="AP214" i="3"/>
  <c r="N104" i="3"/>
  <c r="M220" i="3"/>
  <c r="G104" i="3"/>
  <c r="AQ110" i="3"/>
  <c r="K128" i="3"/>
  <c r="AH102" i="3"/>
  <c r="AG217" i="3"/>
  <c r="AM118" i="3"/>
  <c r="Y129" i="3"/>
  <c r="J227" i="3"/>
  <c r="AA122" i="3"/>
  <c r="Y221" i="3"/>
  <c r="X225" i="3"/>
  <c r="AI225" i="3"/>
  <c r="AP211" i="3"/>
  <c r="Y152" i="3"/>
  <c r="AJ135" i="3"/>
  <c r="AF146" i="3"/>
  <c r="P158" i="3"/>
  <c r="R147" i="3"/>
  <c r="AO218" i="3"/>
  <c r="AJ211" i="3"/>
  <c r="T152" i="3"/>
  <c r="K222" i="3"/>
  <c r="AO222" i="3"/>
  <c r="AD155" i="3"/>
  <c r="AK222" i="3"/>
  <c r="AJ157" i="3"/>
  <c r="Q230" i="3"/>
  <c r="P69" i="3"/>
  <c r="F168" i="3"/>
  <c r="AG176" i="3"/>
  <c r="K176" i="3"/>
  <c r="AH233" i="3"/>
  <c r="S109" i="3"/>
  <c r="AB226" i="3"/>
  <c r="AS212" i="3"/>
  <c r="AA114" i="3"/>
  <c r="AH108" i="3"/>
  <c r="P116" i="3"/>
  <c r="W212" i="3"/>
  <c r="H114" i="3"/>
  <c r="M101" i="3"/>
  <c r="L216" i="3"/>
  <c r="AP106" i="3"/>
  <c r="U224" i="3"/>
  <c r="O210" i="3"/>
  <c r="W111" i="3"/>
  <c r="AR128" i="3"/>
  <c r="K223" i="3"/>
  <c r="AG129" i="3"/>
  <c r="AM114" i="3"/>
  <c r="Y125" i="3"/>
  <c r="AK131" i="3"/>
  <c r="Z226" i="3"/>
  <c r="S118" i="3"/>
  <c r="S135" i="3"/>
  <c r="N232" i="3"/>
  <c r="AA141" i="3"/>
  <c r="V154" i="3"/>
  <c r="M135" i="3"/>
  <c r="Z145" i="3"/>
  <c r="AR138" i="3"/>
  <c r="V221" i="3"/>
  <c r="T136" i="3"/>
  <c r="L222" i="3"/>
  <c r="V155" i="3"/>
  <c r="AN231" i="3"/>
  <c r="Q154" i="3"/>
  <c r="AH230" i="3"/>
  <c r="P210" i="3"/>
  <c r="AA109" i="3"/>
  <c r="AG103" i="3"/>
  <c r="X110" i="3"/>
  <c r="AN122" i="3"/>
  <c r="AD109" i="3"/>
  <c r="AJ226" i="3"/>
  <c r="AN212" i="3"/>
  <c r="AE114" i="3"/>
  <c r="M108" i="3"/>
  <c r="AF224" i="3"/>
  <c r="W210" i="3"/>
  <c r="L124" i="3"/>
  <c r="AQ221" i="3"/>
  <c r="I228" i="3"/>
  <c r="AS131" i="3"/>
  <c r="AK117" i="3"/>
  <c r="I226" i="3"/>
  <c r="X128" i="3"/>
  <c r="AE148" i="3"/>
  <c r="U122" i="3"/>
  <c r="AR130" i="3"/>
  <c r="R114" i="3"/>
  <c r="N122" i="3"/>
  <c r="AJ130" i="3"/>
  <c r="AF154" i="3"/>
  <c r="U135" i="3"/>
  <c r="AK145" i="3"/>
  <c r="I231" i="3"/>
  <c r="Y136" i="3"/>
  <c r="S222" i="3"/>
  <c r="AC138" i="3"/>
  <c r="AL227" i="3"/>
  <c r="M231" i="3"/>
  <c r="AB154" i="3"/>
  <c r="AD146" i="3"/>
  <c r="AM155" i="3"/>
  <c r="Z146" i="3"/>
  <c r="AR155" i="3"/>
  <c r="V119" i="3"/>
  <c r="Y38" i="3"/>
  <c r="F155" i="3"/>
  <c r="AG104" i="3"/>
  <c r="Z213" i="3"/>
  <c r="P103" i="3"/>
  <c r="O110" i="3"/>
  <c r="K124" i="3"/>
  <c r="AO214" i="3"/>
  <c r="K108" i="3"/>
  <c r="AC224" i="3"/>
  <c r="AB108" i="3"/>
  <c r="AQ114" i="3"/>
  <c r="U108" i="3"/>
  <c r="AR224" i="3"/>
  <c r="AE101" i="3"/>
  <c r="AD216" i="3"/>
  <c r="H228" i="3"/>
  <c r="T124" i="3"/>
  <c r="K218" i="3"/>
  <c r="M124" i="3"/>
  <c r="L218" i="3"/>
  <c r="AC146" i="3"/>
  <c r="M127" i="3"/>
  <c r="AI118" i="3"/>
  <c r="U129" i="3"/>
  <c r="AA155" i="3"/>
  <c r="K211" i="3"/>
  <c r="AD150" i="3"/>
  <c r="AM132" i="3"/>
  <c r="AR211" i="3"/>
  <c r="Q225" i="3"/>
  <c r="AQ133" i="3"/>
  <c r="AB145" i="3"/>
  <c r="J157" i="3"/>
  <c r="X158" i="3"/>
  <c r="AA142" i="3"/>
  <c r="K152" i="3"/>
  <c r="R211" i="3"/>
  <c r="AK150" i="3"/>
  <c r="K145" i="3"/>
  <c r="J152" i="3"/>
  <c r="U158" i="3"/>
  <c r="AQ150" i="3"/>
  <c r="Q158" i="3"/>
  <c r="F133" i="3"/>
  <c r="AI212" i="3"/>
  <c r="Q213" i="3"/>
  <c r="AH104" i="3"/>
  <c r="AH220" i="3"/>
  <c r="J221" i="3"/>
  <c r="X103" i="3"/>
  <c r="W110" i="3"/>
  <c r="AQ124" i="3"/>
  <c r="AK104" i="3"/>
  <c r="AK111" i="3"/>
  <c r="I215" i="3"/>
  <c r="M223" i="3"/>
  <c r="AK231" i="3"/>
  <c r="AC103" i="3"/>
  <c r="AB110" i="3"/>
  <c r="AH124" i="3"/>
  <c r="J127" i="3"/>
  <c r="AK143" i="3"/>
  <c r="Y118" i="3"/>
  <c r="AN128" i="3"/>
  <c r="X138" i="3"/>
  <c r="P229" i="3"/>
  <c r="T125" i="3"/>
  <c r="R150" i="3"/>
  <c r="S138" i="3"/>
  <c r="Y148" i="3"/>
  <c r="AS138" i="3"/>
  <c r="H135" i="3"/>
  <c r="AO145" i="3"/>
  <c r="AH231" i="3"/>
  <c r="AG142" i="3"/>
  <c r="X148" i="3"/>
  <c r="W158" i="3"/>
  <c r="AA160" i="3"/>
  <c r="AA38" i="3"/>
  <c r="AR160" i="3"/>
  <c r="AR38" i="3"/>
  <c r="N119" i="3"/>
  <c r="AM119" i="3"/>
  <c r="AB119" i="3"/>
  <c r="N103" i="3"/>
  <c r="AH109" i="3"/>
  <c r="AG101" i="3"/>
  <c r="X216" i="3"/>
  <c r="N228" i="3"/>
  <c r="V106" i="3"/>
  <c r="T113" i="3"/>
  <c r="AM106" i="3"/>
  <c r="G224" i="3"/>
  <c r="AS104" i="3"/>
  <c r="L113" i="3"/>
  <c r="Q215" i="3"/>
  <c r="X223" i="3"/>
  <c r="J106" i="3"/>
  <c r="N113" i="3"/>
  <c r="AF131" i="3"/>
  <c r="R127" i="3"/>
  <c r="AG145" i="3"/>
  <c r="AE229" i="3"/>
  <c r="Q128" i="3"/>
  <c r="O223" i="3"/>
  <c r="AK129" i="3"/>
  <c r="N136" i="3"/>
  <c r="V218" i="3"/>
  <c r="AF211" i="3"/>
  <c r="P225" i="3"/>
  <c r="AM225" i="3"/>
  <c r="H145" i="3"/>
  <c r="AF152" i="3"/>
  <c r="H157" i="3"/>
  <c r="AL232" i="3"/>
  <c r="W145" i="3"/>
  <c r="V225" i="3"/>
  <c r="P220" i="3"/>
  <c r="AN103" i="3"/>
  <c r="AM110" i="3"/>
  <c r="Q127" i="3"/>
  <c r="AB213" i="3"/>
  <c r="AD118" i="3"/>
  <c r="Z214" i="3"/>
  <c r="H102" i="3"/>
  <c r="G217" i="3"/>
  <c r="Z229" i="3"/>
  <c r="AS108" i="3"/>
  <c r="AM116" i="3"/>
  <c r="R212" i="3"/>
  <c r="Q122" i="3"/>
  <c r="AM130" i="3"/>
  <c r="X226" i="3"/>
  <c r="N117" i="3"/>
  <c r="AK136" i="3"/>
  <c r="W113" i="3"/>
  <c r="V136" i="3"/>
  <c r="AJ147" i="3"/>
  <c r="AD218" i="3"/>
  <c r="AQ211" i="3"/>
  <c r="AA225" i="3"/>
  <c r="Z148" i="3"/>
  <c r="AH136" i="3"/>
  <c r="AE222" i="3"/>
  <c r="AQ230" i="3"/>
  <c r="AQ225" i="3"/>
  <c r="L141" i="3"/>
  <c r="G150" i="3"/>
  <c r="AQ232" i="3"/>
  <c r="U147" i="3"/>
  <c r="T231" i="3"/>
  <c r="S69" i="3"/>
  <c r="F223" i="3"/>
  <c r="AJ69" i="3"/>
  <c r="F160" i="3"/>
  <c r="F38" i="3"/>
  <c r="F221" i="3"/>
  <c r="F154" i="3"/>
  <c r="AP119" i="3"/>
  <c r="R109" i="3"/>
  <c r="U106" i="3"/>
  <c r="R113" i="3"/>
  <c r="AL215" i="3"/>
  <c r="AJ104" i="3"/>
  <c r="AA220" i="3"/>
  <c r="P215" i="3"/>
  <c r="AG223" i="3"/>
  <c r="F147" i="3"/>
  <c r="F225" i="3"/>
  <c r="AC160" i="3"/>
  <c r="AC69" i="3"/>
  <c r="O119" i="3"/>
  <c r="AD176" i="3"/>
  <c r="F143" i="3"/>
  <c r="F132" i="3"/>
  <c r="L233" i="3"/>
  <c r="W69" i="3"/>
  <c r="F141" i="3"/>
  <c r="F146" i="3"/>
  <c r="F111" i="3"/>
  <c r="F117" i="3"/>
  <c r="F108" i="3"/>
  <c r="AN160" i="3"/>
  <c r="AN38" i="3"/>
  <c r="X176" i="3"/>
  <c r="AJ168" i="3"/>
  <c r="AC28" i="3"/>
  <c r="AN41" i="3"/>
  <c r="M28" i="3"/>
  <c r="K173" i="3"/>
  <c r="AG48" i="3"/>
  <c r="W165" i="3"/>
  <c r="AH58" i="3"/>
  <c r="AE168" i="3"/>
  <c r="AA41" i="3"/>
  <c r="H169" i="3"/>
  <c r="AP174" i="3"/>
  <c r="J165" i="3"/>
  <c r="X46" i="3"/>
  <c r="L172" i="3"/>
  <c r="AR34" i="3"/>
  <c r="V45" i="3"/>
  <c r="AC64" i="3"/>
  <c r="AE167" i="3"/>
  <c r="H49" i="3"/>
  <c r="AL173" i="3"/>
  <c r="AK165" i="3"/>
  <c r="AF58" i="3"/>
  <c r="S175" i="3"/>
  <c r="K117" i="3"/>
  <c r="AD173" i="3"/>
  <c r="Q45" i="3"/>
  <c r="AO32" i="3"/>
  <c r="AE165" i="3"/>
  <c r="AP58" i="3"/>
  <c r="AM32" i="3"/>
  <c r="Y43" i="3"/>
  <c r="AS167" i="3"/>
  <c r="J63" i="3"/>
  <c r="T165" i="3"/>
  <c r="AH46" i="3"/>
  <c r="N172" i="3"/>
  <c r="R28" i="3"/>
  <c r="Q171" i="3"/>
  <c r="J68" i="3"/>
  <c r="AN101" i="3"/>
  <c r="AB168" i="3"/>
  <c r="AA67" i="3"/>
  <c r="U169" i="3"/>
  <c r="AQ31" i="3"/>
  <c r="AL163" i="3"/>
  <c r="AL56" i="3"/>
  <c r="I170" i="3"/>
  <c r="V29" i="3"/>
  <c r="X165" i="3"/>
  <c r="AC32" i="3"/>
  <c r="N51" i="3"/>
  <c r="AF60" i="3"/>
  <c r="N68" i="3"/>
  <c r="AL28" i="3"/>
  <c r="AK171" i="3"/>
  <c r="O46" i="3"/>
  <c r="AF63" i="3"/>
  <c r="H32" i="3"/>
  <c r="AL62" i="3"/>
  <c r="O171" i="3"/>
  <c r="R63" i="3"/>
  <c r="AB165" i="3"/>
  <c r="AP46" i="3"/>
  <c r="Y174" i="3"/>
  <c r="H31" i="3"/>
  <c r="K59" i="3"/>
  <c r="N67" i="3"/>
  <c r="AJ106" i="3"/>
  <c r="AH117" i="3"/>
  <c r="W34" i="3"/>
  <c r="AL175" i="3"/>
  <c r="AA164" i="3"/>
  <c r="K58" i="3"/>
  <c r="W48" i="3"/>
  <c r="AO34" i="3"/>
  <c r="AQ165" i="3"/>
  <c r="N167" i="3"/>
  <c r="AF172" i="3"/>
  <c r="J31" i="3"/>
  <c r="U166" i="3"/>
  <c r="T66" i="3"/>
  <c r="S27" i="3"/>
  <c r="R170" i="3"/>
  <c r="AF51" i="3"/>
  <c r="AR175" i="3"/>
  <c r="AH29" i="3"/>
  <c r="AG37" i="3"/>
  <c r="K48" i="3"/>
  <c r="AG174" i="3"/>
  <c r="R51" i="3"/>
  <c r="AR60" i="3"/>
  <c r="G68" i="3"/>
  <c r="R168" i="3"/>
  <c r="N41" i="3"/>
  <c r="AF49" i="3"/>
  <c r="P31" i="3"/>
  <c r="S166" i="3"/>
  <c r="R66" i="3"/>
  <c r="V174" i="3"/>
  <c r="P67" i="3"/>
  <c r="O216" i="3"/>
  <c r="AB35" i="3"/>
  <c r="AK163" i="3"/>
  <c r="N46" i="3"/>
  <c r="Q32" i="3"/>
  <c r="S45" i="3"/>
  <c r="AI167" i="3"/>
  <c r="S173" i="3"/>
  <c r="AA35" i="3"/>
  <c r="AM56" i="3"/>
  <c r="AR31" i="3"/>
  <c r="V42" i="3"/>
  <c r="AN169" i="3"/>
  <c r="AM59" i="3"/>
  <c r="AR66" i="3"/>
  <c r="AP29" i="3"/>
  <c r="AO37" i="3"/>
  <c r="S48" i="3"/>
  <c r="AS58" i="3"/>
  <c r="AE35" i="3"/>
  <c r="AI56" i="3"/>
  <c r="Q28" i="3"/>
  <c r="H171" i="3"/>
  <c r="T56" i="3"/>
  <c r="AL172" i="3"/>
  <c r="N34" i="3"/>
  <c r="AK43" i="3"/>
  <c r="Q62" i="3"/>
  <c r="AO213" i="3"/>
  <c r="AH175" i="3"/>
  <c r="X111" i="3"/>
  <c r="W133" i="3"/>
  <c r="AR166" i="3"/>
  <c r="AE170" i="3"/>
  <c r="AI29" i="3"/>
  <c r="AN29" i="3"/>
  <c r="Y32" i="3"/>
  <c r="Q163" i="3"/>
  <c r="T42" i="3"/>
  <c r="AL169" i="3"/>
  <c r="AK59" i="3"/>
  <c r="AO66" i="3"/>
  <c r="AP64" i="3"/>
  <c r="AH34" i="3"/>
  <c r="AB58" i="3"/>
  <c r="V35" i="3"/>
  <c r="G173" i="3"/>
  <c r="P54" i="3"/>
  <c r="AH32" i="3"/>
  <c r="K51" i="3"/>
  <c r="AK60" i="3"/>
  <c r="H68" i="3"/>
  <c r="AF167" i="3"/>
  <c r="AI166" i="3"/>
  <c r="AM173" i="3"/>
  <c r="AL67" i="3"/>
  <c r="H142" i="3"/>
  <c r="AS164" i="3"/>
  <c r="AF56" i="3"/>
  <c r="I31" i="3"/>
  <c r="AC27" i="3"/>
  <c r="AM51" i="3"/>
  <c r="Q34" i="3"/>
  <c r="AH31" i="3"/>
  <c r="O175" i="3"/>
  <c r="AG29" i="3"/>
  <c r="X37" i="3"/>
  <c r="J48" i="3"/>
  <c r="T174" i="3"/>
  <c r="AD35" i="3"/>
  <c r="AH56" i="3"/>
  <c r="AB34" i="3"/>
  <c r="X54" i="3"/>
  <c r="AG164" i="3"/>
  <c r="I54" i="3"/>
  <c r="AN167" i="3"/>
  <c r="U173" i="3"/>
  <c r="M114" i="3"/>
  <c r="J62" i="3"/>
  <c r="I48" i="3"/>
  <c r="H164" i="3"/>
  <c r="K54" i="3"/>
  <c r="AD167" i="3"/>
  <c r="V59" i="3"/>
  <c r="S42" i="3"/>
  <c r="AG163" i="3"/>
  <c r="AJ42" i="3"/>
  <c r="W168" i="3"/>
  <c r="S41" i="3"/>
  <c r="AS49" i="3"/>
  <c r="AC31" i="3"/>
  <c r="X166" i="3"/>
  <c r="X66" i="3"/>
  <c r="R37" i="3"/>
  <c r="L60" i="3"/>
  <c r="L67" i="3"/>
  <c r="M170" i="3"/>
  <c r="AA51" i="3"/>
  <c r="AJ175" i="3"/>
  <c r="AC29" i="3"/>
  <c r="AB37" i="3"/>
  <c r="AQ46" i="3"/>
  <c r="Z174" i="3"/>
  <c r="AA173" i="3"/>
  <c r="AC173" i="3"/>
  <c r="K228" i="3"/>
  <c r="AK102" i="3"/>
  <c r="AJ217" i="3"/>
  <c r="Q103" i="3"/>
  <c r="H110" i="3"/>
  <c r="AP103" i="3"/>
  <c r="AO110" i="3"/>
  <c r="Y127" i="3"/>
  <c r="M111" i="3"/>
  <c r="J130" i="3"/>
  <c r="AG109" i="3"/>
  <c r="U226" i="3"/>
  <c r="AG122" i="3"/>
  <c r="W221" i="3"/>
  <c r="AD224" i="3"/>
  <c r="Y131" i="3"/>
  <c r="AR122" i="3"/>
  <c r="Z221" i="3"/>
  <c r="R226" i="3"/>
  <c r="AO128" i="3"/>
  <c r="X152" i="3"/>
  <c r="K226" i="3"/>
  <c r="AH128" i="3"/>
  <c r="AI152" i="3"/>
  <c r="AP142" i="3"/>
  <c r="Y225" i="3"/>
  <c r="S133" i="3"/>
  <c r="AE143" i="3"/>
  <c r="AP232" i="3"/>
  <c r="AD138" i="3"/>
  <c r="AE138" i="3"/>
  <c r="AO227" i="3"/>
  <c r="AP141" i="3"/>
  <c r="Z230" i="3"/>
  <c r="AK147" i="3"/>
  <c r="Q155" i="3"/>
  <c r="F32" i="3"/>
  <c r="AG38" i="3"/>
  <c r="K160" i="3"/>
  <c r="K38" i="3"/>
  <c r="AH119" i="3"/>
  <c r="Q176" i="3"/>
  <c r="AI224" i="3"/>
  <c r="AL125" i="3"/>
  <c r="J213" i="3"/>
  <c r="AB118" i="3"/>
  <c r="AS102" i="3"/>
  <c r="AR217" i="3"/>
  <c r="Y214" i="3"/>
  <c r="W102" i="3"/>
  <c r="V217" i="3"/>
  <c r="L108" i="3"/>
  <c r="T224" i="3"/>
  <c r="AG212" i="3"/>
  <c r="U114" i="3"/>
  <c r="O101" i="3"/>
  <c r="N216" i="3"/>
  <c r="AF129" i="3"/>
  <c r="K113" i="3"/>
  <c r="H138" i="3"/>
  <c r="AH125" i="3"/>
  <c r="Z118" i="3"/>
  <c r="L129" i="3"/>
  <c r="J224" i="3"/>
  <c r="Z130" i="3"/>
  <c r="AG227" i="3"/>
  <c r="AI230" i="3"/>
  <c r="V150" i="3"/>
  <c r="V131" i="3"/>
  <c r="AE225" i="3"/>
  <c r="K136" i="3"/>
  <c r="V222" i="3"/>
  <c r="L147" i="3"/>
  <c r="L227" i="3"/>
  <c r="AN157" i="3"/>
  <c r="AN230" i="3"/>
  <c r="R146" i="3"/>
  <c r="AH155" i="3"/>
  <c r="I213" i="3"/>
  <c r="P101" i="3"/>
  <c r="R213" i="3"/>
  <c r="V129" i="3"/>
  <c r="AI213" i="3"/>
  <c r="AI220" i="3"/>
  <c r="K221" i="3"/>
  <c r="U213" i="3"/>
  <c r="AJ118" i="3"/>
  <c r="AN102" i="3"/>
  <c r="AM217" i="3"/>
  <c r="AO212" i="3"/>
  <c r="AF114" i="3"/>
  <c r="W101" i="3"/>
  <c r="V216" i="3"/>
  <c r="AS224" i="3"/>
  <c r="AQ131" i="3"/>
  <c r="I116" i="3"/>
  <c r="X125" i="3"/>
  <c r="AP129" i="3"/>
  <c r="I118" i="3"/>
  <c r="Q138" i="3"/>
  <c r="AQ148" i="3"/>
  <c r="Y133" i="3"/>
  <c r="AM143" i="3"/>
  <c r="I157" i="3"/>
  <c r="AD221" i="3"/>
  <c r="AL148" i="3"/>
  <c r="AK133" i="3"/>
  <c r="T145" i="3"/>
  <c r="M157" i="3"/>
  <c r="U145" i="3"/>
  <c r="K158" i="3"/>
  <c r="G232" i="3"/>
  <c r="H69" i="3"/>
  <c r="AS176" i="3"/>
  <c r="AE233" i="3"/>
  <c r="AD214" i="3"/>
  <c r="Z104" i="3"/>
  <c r="Y220" i="3"/>
  <c r="AC130" i="3"/>
  <c r="AO103" i="3"/>
  <c r="AF110" i="3"/>
  <c r="R124" i="3"/>
  <c r="AM212" i="3"/>
  <c r="AC114" i="3"/>
  <c r="K214" i="3"/>
  <c r="L214" i="3"/>
  <c r="AR114" i="3"/>
  <c r="AD108" i="3"/>
  <c r="H116" i="3"/>
  <c r="K132" i="3"/>
  <c r="Q228" i="3"/>
  <c r="L132" i="3"/>
  <c r="AS229" i="3"/>
  <c r="W128" i="3"/>
  <c r="Q150" i="3"/>
  <c r="AC122" i="3"/>
  <c r="H221" i="3"/>
  <c r="Z224" i="3"/>
  <c r="AI135" i="3"/>
  <c r="AO146" i="3"/>
  <c r="K142" i="3"/>
  <c r="J136" i="3"/>
  <c r="AJ146" i="3"/>
  <c r="R142" i="3"/>
  <c r="G145" i="3"/>
  <c r="AI102" i="3"/>
  <c r="Q104" i="3"/>
  <c r="Y210" i="3"/>
  <c r="AH111" i="3"/>
  <c r="J131" i="3"/>
  <c r="AE215" i="3"/>
  <c r="AP223" i="3"/>
  <c r="AB210" i="3"/>
  <c r="I106" i="3"/>
  <c r="M113" i="3"/>
  <c r="AK157" i="3"/>
  <c r="AM213" i="3"/>
  <c r="AM220" i="3"/>
  <c r="R130" i="3"/>
  <c r="Z143" i="3"/>
  <c r="G226" i="3"/>
  <c r="AD128" i="3"/>
  <c r="V124" i="3"/>
  <c r="AS218" i="3"/>
  <c r="W229" i="3"/>
  <c r="I128" i="3"/>
  <c r="P117" i="3"/>
  <c r="AF138" i="3"/>
  <c r="AJ141" i="3"/>
  <c r="W136" i="3"/>
  <c r="AL222" i="3"/>
  <c r="AB221" i="3"/>
  <c r="Y227" i="3"/>
  <c r="X218" i="3"/>
  <c r="X211" i="3"/>
  <c r="H225" i="3"/>
  <c r="I218" i="3"/>
  <c r="X150" i="3"/>
  <c r="AH157" i="3"/>
  <c r="AP145" i="3"/>
  <c r="N157" i="3"/>
  <c r="S145" i="3"/>
  <c r="R225" i="3"/>
  <c r="AC232" i="3"/>
  <c r="AG211" i="3"/>
  <c r="AL176" i="3"/>
  <c r="X108" i="3"/>
  <c r="N116" i="3"/>
  <c r="M212" i="3"/>
  <c r="AD212" i="3"/>
  <c r="G114" i="3"/>
  <c r="AJ210" i="3"/>
  <c r="Q106" i="3"/>
  <c r="X113" i="3"/>
  <c r="AL210" i="3"/>
  <c r="S215" i="3"/>
  <c r="Z223" i="3"/>
  <c r="U218" i="3"/>
  <c r="V145" i="3"/>
  <c r="O226" i="3"/>
  <c r="AL128" i="3"/>
  <c r="AD124" i="3"/>
  <c r="H133" i="3"/>
  <c r="T122" i="3"/>
  <c r="AP130" i="3"/>
  <c r="AE117" i="3"/>
  <c r="O113" i="3"/>
  <c r="Z222" i="3"/>
  <c r="V132" i="3"/>
  <c r="AF142" i="3"/>
  <c r="P152" i="3"/>
  <c r="R133" i="3"/>
  <c r="S143" i="3"/>
  <c r="AM152" i="3"/>
  <c r="V135" i="3"/>
  <c r="M146" i="3"/>
  <c r="AE157" i="3"/>
  <c r="AR133" i="3"/>
  <c r="N230" i="3"/>
  <c r="M143" i="3"/>
  <c r="AF225" i="3"/>
  <c r="AM211" i="3"/>
  <c r="W152" i="3"/>
  <c r="AS142" i="3"/>
  <c r="AR227" i="3"/>
  <c r="AL158" i="3"/>
  <c r="V152" i="3"/>
  <c r="AG232" i="3"/>
  <c r="F138" i="3"/>
  <c r="I127" i="3"/>
  <c r="P111" i="3"/>
  <c r="M215" i="3"/>
  <c r="H223" i="3"/>
  <c r="AD133" i="3"/>
  <c r="AB104" i="3"/>
  <c r="S220" i="3"/>
  <c r="Z103" i="3"/>
  <c r="Y110" i="3"/>
  <c r="S124" i="3"/>
  <c r="G109" i="3"/>
  <c r="Z117" i="3"/>
  <c r="AJ214" i="3"/>
  <c r="R102" i="3"/>
  <c r="Q217" i="3"/>
  <c r="J229" i="3"/>
  <c r="AO228" i="3"/>
  <c r="AK124" i="3"/>
  <c r="G133" i="3"/>
  <c r="X118" i="3"/>
  <c r="J129" i="3"/>
  <c r="AK127" i="3"/>
  <c r="H124" i="3"/>
  <c r="AM221" i="3"/>
  <c r="I124" i="3"/>
  <c r="AC221" i="3"/>
  <c r="AJ222" i="3"/>
  <c r="AD132" i="3"/>
  <c r="AQ142" i="3"/>
  <c r="AA152" i="3"/>
  <c r="Z133" i="3"/>
  <c r="AD143" i="3"/>
  <c r="R232" i="3"/>
  <c r="T138" i="3"/>
  <c r="Z227" i="3"/>
  <c r="AI130" i="3"/>
  <c r="AE147" i="3"/>
  <c r="AQ155" i="3"/>
  <c r="W143" i="3"/>
  <c r="AQ152" i="3"/>
  <c r="AG152" i="3"/>
  <c r="H143" i="3"/>
  <c r="AQ158" i="3"/>
  <c r="V141" i="3"/>
  <c r="T157" i="3"/>
  <c r="AS230" i="3"/>
  <c r="AO176" i="3"/>
  <c r="F48" i="3"/>
  <c r="F113" i="3"/>
  <c r="F136" i="3"/>
  <c r="F131" i="3"/>
  <c r="T176" i="3"/>
  <c r="L212" i="3"/>
  <c r="AL106" i="3"/>
  <c r="AO223" i="3"/>
  <c r="S210" i="3"/>
  <c r="AA111" i="3"/>
  <c r="P106" i="3"/>
  <c r="AG113" i="3"/>
  <c r="P212" i="3"/>
  <c r="F152" i="3"/>
  <c r="AQ69" i="3"/>
  <c r="F171" i="3"/>
  <c r="M176" i="3"/>
  <c r="AD160" i="3"/>
  <c r="AD38" i="3"/>
  <c r="R233" i="3"/>
  <c r="F218" i="3"/>
  <c r="L119" i="3"/>
  <c r="AK69" i="3"/>
  <c r="F232" i="3"/>
  <c r="AF176" i="3"/>
  <c r="AI176" i="3"/>
  <c r="Z233" i="3"/>
  <c r="J69" i="3"/>
  <c r="I160" i="3"/>
  <c r="I69" i="3"/>
  <c r="F175" i="3"/>
  <c r="U119" i="3"/>
  <c r="G69" i="3"/>
  <c r="F49" i="3"/>
  <c r="X160" i="3"/>
  <c r="X38" i="3"/>
  <c r="F62" i="3"/>
  <c r="Q167" i="3"/>
  <c r="AN172" i="3"/>
  <c r="AO48" i="3"/>
  <c r="AM37" i="3"/>
  <c r="AJ32" i="3"/>
  <c r="K66" i="3"/>
  <c r="W29" i="3"/>
  <c r="V37" i="3"/>
  <c r="H48" i="3"/>
  <c r="AB174" i="3"/>
  <c r="AM63" i="3"/>
  <c r="AE32" i="3"/>
  <c r="H51" i="3"/>
  <c r="AH60" i="3"/>
  <c r="AP67" i="3"/>
  <c r="J29" i="3"/>
  <c r="I37" i="3"/>
  <c r="M58" i="3"/>
  <c r="L64" i="3"/>
  <c r="AD58" i="3"/>
  <c r="AE31" i="3"/>
  <c r="AH166" i="3"/>
  <c r="AL66" i="3"/>
  <c r="AK29" i="3"/>
  <c r="AJ37" i="3"/>
  <c r="N48" i="3"/>
  <c r="AJ174" i="3"/>
  <c r="Y175" i="3"/>
  <c r="S68" i="3"/>
  <c r="AD66" i="3"/>
  <c r="AN173" i="3"/>
  <c r="O48" i="3"/>
  <c r="AG170" i="3"/>
  <c r="AI164" i="3"/>
  <c r="S54" i="3"/>
  <c r="AJ166" i="3"/>
  <c r="AE29" i="3"/>
  <c r="AD37" i="3"/>
  <c r="P48" i="3"/>
  <c r="AM174" i="3"/>
  <c r="J172" i="3"/>
  <c r="AD164" i="3"/>
  <c r="X63" i="3"/>
  <c r="AS31" i="3"/>
  <c r="W42" i="3"/>
  <c r="AD62" i="3"/>
  <c r="AN42" i="3"/>
  <c r="T29" i="3"/>
  <c r="K37" i="3"/>
  <c r="O58" i="3"/>
  <c r="N64" i="3"/>
  <c r="Q35" i="3"/>
  <c r="AF45" i="3"/>
  <c r="U56" i="3"/>
  <c r="AM172" i="3"/>
  <c r="AQ173" i="3"/>
  <c r="S212" i="3"/>
  <c r="AB32" i="3"/>
  <c r="U51" i="3"/>
  <c r="AL27" i="3"/>
  <c r="T46" i="3"/>
  <c r="I34" i="3"/>
  <c r="X29" i="3"/>
  <c r="T164" i="3"/>
  <c r="O43" i="3"/>
  <c r="I174" i="3"/>
  <c r="AK35" i="3"/>
  <c r="AO56" i="3"/>
  <c r="AR163" i="3"/>
  <c r="AE42" i="3"/>
  <c r="O35" i="3"/>
  <c r="AL45" i="3"/>
  <c r="S56" i="3"/>
  <c r="AB29" i="3"/>
  <c r="S37" i="3"/>
  <c r="M60" i="3"/>
  <c r="Y67" i="3"/>
  <c r="AE41" i="3"/>
  <c r="T169" i="3"/>
  <c r="W175" i="3"/>
  <c r="H174" i="3"/>
  <c r="AL68" i="3"/>
  <c r="AI42" i="3"/>
  <c r="AA28" i="3"/>
  <c r="AQ29" i="3"/>
  <c r="N31" i="3"/>
  <c r="AF64" i="3"/>
  <c r="AO41" i="3"/>
  <c r="V169" i="3"/>
  <c r="U59" i="3"/>
  <c r="Z172" i="3"/>
  <c r="R34" i="3"/>
  <c r="AO43" i="3"/>
  <c r="U62" i="3"/>
  <c r="AR68" i="3"/>
  <c r="S60" i="3"/>
  <c r="AG67" i="3"/>
  <c r="S43" i="3"/>
  <c r="R32" i="3"/>
  <c r="AN62" i="3"/>
  <c r="G163" i="3"/>
  <c r="AM41" i="3"/>
  <c r="AB169" i="3"/>
  <c r="S59" i="3"/>
  <c r="V67" i="3"/>
  <c r="O108" i="3"/>
  <c r="I168" i="3"/>
  <c r="AK27" i="3"/>
  <c r="M63" i="3"/>
  <c r="AI31" i="3"/>
  <c r="S66" i="3"/>
  <c r="R167" i="3"/>
  <c r="AN48" i="3"/>
  <c r="AE173" i="3"/>
  <c r="G63" i="3"/>
  <c r="AA163" i="3"/>
  <c r="AN51" i="3"/>
  <c r="AQ174" i="3"/>
  <c r="AR48" i="3"/>
  <c r="P173" i="3"/>
  <c r="H35" i="3"/>
  <c r="AE45" i="3"/>
  <c r="AL64" i="3"/>
  <c r="AP164" i="3"/>
  <c r="R54" i="3"/>
  <c r="AO104" i="3"/>
  <c r="AH68" i="3"/>
  <c r="S164" i="3"/>
  <c r="AR59" i="3"/>
  <c r="AI45" i="3"/>
  <c r="AE34" i="3"/>
  <c r="X163" i="3"/>
  <c r="AE169" i="3"/>
  <c r="M163" i="3"/>
  <c r="G169" i="3"/>
  <c r="Q27" i="3"/>
  <c r="H170" i="3"/>
  <c r="AL51" i="3"/>
  <c r="Y29" i="3"/>
  <c r="AM46" i="3"/>
  <c r="J174" i="3"/>
  <c r="M167" i="3"/>
  <c r="AA48" i="3"/>
  <c r="H166" i="3"/>
  <c r="G66" i="3"/>
  <c r="AM171" i="3"/>
  <c r="Y46" i="3"/>
  <c r="AP63" i="3"/>
  <c r="Y164" i="3"/>
  <c r="T43" i="3"/>
  <c r="AF31" i="3"/>
  <c r="R42" i="3"/>
  <c r="AR169" i="3"/>
  <c r="AI59" i="3"/>
  <c r="AM66" i="3"/>
  <c r="AF174" i="3"/>
  <c r="H211" i="3"/>
  <c r="Y170" i="3"/>
  <c r="AS28" i="3"/>
  <c r="AH62" i="3"/>
  <c r="AQ42" i="3"/>
  <c r="Y163" i="3"/>
  <c r="AB42" i="3"/>
  <c r="AA62" i="3"/>
  <c r="AO60" i="3"/>
  <c r="O68" i="3"/>
  <c r="R60" i="3"/>
  <c r="T67" i="3"/>
  <c r="U167" i="3"/>
  <c r="AI48" i="3"/>
  <c r="O173" i="3"/>
  <c r="AG46" i="3"/>
  <c r="M172" i="3"/>
  <c r="AG28" i="3"/>
  <c r="X171" i="3"/>
  <c r="J46" i="3"/>
  <c r="AA63" i="3"/>
  <c r="AN31" i="3"/>
  <c r="Z42" i="3"/>
  <c r="AG62" i="3"/>
  <c r="U66" i="3"/>
  <c r="AA165" i="3"/>
  <c r="L46" i="3"/>
  <c r="AF41" i="3"/>
  <c r="H28" i="3"/>
  <c r="AD31" i="3"/>
  <c r="Z171" i="3"/>
  <c r="AG27" i="3"/>
  <c r="X170" i="3"/>
  <c r="AR54" i="3"/>
  <c r="Y172" i="3"/>
  <c r="AE63" i="3"/>
  <c r="W32" i="3"/>
  <c r="H63" i="3"/>
  <c r="T163" i="3"/>
  <c r="G42" i="3"/>
  <c r="AG169" i="3"/>
  <c r="X59" i="3"/>
  <c r="W49" i="3"/>
  <c r="M34" i="3"/>
  <c r="AJ43" i="3"/>
  <c r="H62" i="3"/>
  <c r="AJ68" i="3"/>
  <c r="N60" i="3"/>
  <c r="Z67" i="3"/>
  <c r="AA66" i="3"/>
  <c r="AC66" i="3"/>
  <c r="K116" i="3"/>
  <c r="AP221" i="3"/>
  <c r="AB130" i="3"/>
  <c r="AC215" i="3"/>
  <c r="AC223" i="3"/>
  <c r="S211" i="3"/>
  <c r="AJ109" i="3"/>
  <c r="AL130" i="3"/>
  <c r="AO215" i="3"/>
  <c r="AH215" i="3"/>
  <c r="K224" i="3"/>
  <c r="AN154" i="3"/>
  <c r="P213" i="3"/>
  <c r="U118" i="3"/>
  <c r="W131" i="3"/>
  <c r="AD114" i="3"/>
  <c r="Z122" i="3"/>
  <c r="X221" i="3"/>
  <c r="U229" i="3"/>
  <c r="Q125" i="3"/>
  <c r="Z131" i="3"/>
  <c r="R118" i="3"/>
  <c r="K118" i="3"/>
  <c r="R138" i="3"/>
  <c r="AS227" i="3"/>
  <c r="O132" i="3"/>
  <c r="L142" i="3"/>
  <c r="AF150" i="3"/>
  <c r="AP158" i="3"/>
  <c r="W135" i="3"/>
  <c r="AN145" i="3"/>
  <c r="AG231" i="3"/>
  <c r="N150" i="3"/>
  <c r="AO148" i="3"/>
  <c r="W150" i="3"/>
  <c r="Z155" i="3"/>
  <c r="AL141" i="3"/>
  <c r="T230" i="3"/>
  <c r="P176" i="3"/>
  <c r="Q38" i="3"/>
  <c r="AI114" i="3"/>
  <c r="J104" i="3"/>
  <c r="I220" i="3"/>
  <c r="AR109" i="3"/>
  <c r="G122" i="3"/>
  <c r="Y103" i="3"/>
  <c r="P110" i="3"/>
  <c r="H122" i="3"/>
  <c r="V109" i="3"/>
  <c r="M226" i="3"/>
  <c r="AF212" i="3"/>
  <c r="T114" i="3"/>
  <c r="AG102" i="3"/>
  <c r="X217" i="3"/>
  <c r="N108" i="3"/>
  <c r="AG224" i="3"/>
  <c r="AH122" i="3"/>
  <c r="AH221" i="3"/>
  <c r="AC229" i="3"/>
  <c r="G128" i="3"/>
  <c r="AI147" i="3"/>
  <c r="J114" i="3"/>
  <c r="I138" i="3"/>
  <c r="AG148" i="3"/>
  <c r="Q133" i="3"/>
  <c r="AC143" i="3"/>
  <c r="AJ232" i="3"/>
  <c r="AF136" i="3"/>
  <c r="AB222" i="3"/>
  <c r="AI155" i="3"/>
  <c r="AC141" i="3"/>
  <c r="K143" i="3"/>
  <c r="AE152" i="3"/>
  <c r="V147" i="3"/>
  <c r="AM138" i="3"/>
  <c r="M211" i="3"/>
  <c r="L148" i="3"/>
  <c r="AN155" i="3"/>
  <c r="AR231" i="3"/>
  <c r="F164" i="3"/>
  <c r="I104" i="3"/>
  <c r="R104" i="3"/>
  <c r="Q220" i="3"/>
  <c r="AI104" i="3"/>
  <c r="AI111" i="3"/>
  <c r="K131" i="3"/>
  <c r="O215" i="3"/>
  <c r="U223" i="3"/>
  <c r="U104" i="3"/>
  <c r="T220" i="3"/>
  <c r="AM109" i="3"/>
  <c r="P122" i="3"/>
  <c r="AO102" i="3"/>
  <c r="AF217" i="3"/>
  <c r="V108" i="3"/>
  <c r="AS114" i="3"/>
  <c r="AE125" i="3"/>
  <c r="U136" i="3"/>
  <c r="O130" i="3"/>
  <c r="G229" i="3"/>
  <c r="AN124" i="3"/>
  <c r="Y135" i="3"/>
  <c r="AS228" i="3"/>
  <c r="AO124" i="3"/>
  <c r="V133" i="3"/>
  <c r="AQ227" i="3"/>
  <c r="AF155" i="3"/>
  <c r="AN136" i="3"/>
  <c r="AM222" i="3"/>
  <c r="AG150" i="3"/>
  <c r="AD131" i="3"/>
  <c r="I141" i="3"/>
  <c r="T227" i="3"/>
  <c r="K232" i="3"/>
  <c r="H227" i="3"/>
  <c r="G158" i="3"/>
  <c r="AG230" i="3"/>
  <c r="V69" i="3"/>
  <c r="F128" i="3"/>
  <c r="Y160" i="3"/>
  <c r="Y69" i="3"/>
  <c r="AS160" i="3"/>
  <c r="AS38" i="3"/>
  <c r="AE119" i="3"/>
  <c r="AD103" i="3"/>
  <c r="Q210" i="3"/>
  <c r="Y111" i="3"/>
  <c r="AQ213" i="3"/>
  <c r="AS220" i="3"/>
  <c r="AP132" i="3"/>
  <c r="AM102" i="3"/>
  <c r="AL217" i="3"/>
  <c r="K103" i="3"/>
  <c r="J110" i="3"/>
  <c r="Z124" i="3"/>
  <c r="L103" i="3"/>
  <c r="AN217" i="3"/>
  <c r="U214" i="3"/>
  <c r="AM125" i="3"/>
  <c r="Q116" i="3"/>
  <c r="AF125" i="3"/>
  <c r="AS117" i="3"/>
  <c r="Q226" i="3"/>
  <c r="AF128" i="3"/>
  <c r="H131" i="3"/>
  <c r="Z114" i="3"/>
  <c r="V122" i="3"/>
  <c r="AS130" i="3"/>
  <c r="AG133" i="3"/>
  <c r="F215" i="3"/>
  <c r="AC233" i="3"/>
  <c r="O69" i="3"/>
  <c r="F37" i="3"/>
  <c r="F35" i="3"/>
  <c r="M38" i="3"/>
  <c r="F210" i="3"/>
  <c r="R119" i="3"/>
  <c r="W176" i="3"/>
  <c r="F150" i="3"/>
  <c r="F158" i="3"/>
  <c r="AF160" i="3"/>
  <c r="AF38" i="3"/>
  <c r="AI160" i="3"/>
  <c r="AI38" i="3"/>
  <c r="F228" i="3"/>
  <c r="Z119" i="3"/>
  <c r="F43" i="3"/>
  <c r="F68" i="3"/>
  <c r="U233" i="3"/>
  <c r="AN233" i="3"/>
  <c r="Q31" i="3"/>
  <c r="AN64" i="3"/>
  <c r="L171" i="3"/>
  <c r="Z163" i="3"/>
  <c r="AK169" i="3"/>
  <c r="O170" i="3"/>
  <c r="AA58" i="3"/>
  <c r="P60" i="3"/>
  <c r="AB67" i="3"/>
  <c r="V164" i="3"/>
  <c r="Q43" i="3"/>
  <c r="N49" i="3"/>
  <c r="Z37" i="3"/>
  <c r="L48" i="3"/>
  <c r="W174" i="3"/>
  <c r="Q42" i="3"/>
  <c r="AI169" i="3"/>
  <c r="AH59" i="3"/>
  <c r="V60" i="3"/>
  <c r="AJ67" i="3"/>
  <c r="Y68" i="3"/>
  <c r="AL167" i="3"/>
  <c r="AN66" i="3"/>
  <c r="AG34" i="3"/>
  <c r="P165" i="3"/>
  <c r="H56" i="3"/>
  <c r="M42" i="3"/>
  <c r="AI28" i="3"/>
  <c r="AJ59" i="3"/>
  <c r="X60" i="3"/>
  <c r="AM67" i="3"/>
  <c r="J64" i="3"/>
  <c r="AD28" i="3"/>
  <c r="AC171" i="3"/>
  <c r="G46" i="3"/>
  <c r="AG56" i="3"/>
  <c r="AJ163" i="3"/>
  <c r="AE54" i="3"/>
  <c r="G171" i="3"/>
  <c r="K56" i="3"/>
  <c r="AK172" i="3"/>
  <c r="P49" i="3"/>
  <c r="AS165" i="3"/>
  <c r="AM64" i="3"/>
  <c r="AQ66" i="3"/>
  <c r="S102" i="3"/>
  <c r="AA228" i="3"/>
  <c r="Z41" i="3"/>
  <c r="W37" i="3"/>
  <c r="T28" i="3"/>
  <c r="K171" i="3"/>
  <c r="V63" i="3"/>
  <c r="I60" i="3"/>
  <c r="I67" i="3"/>
  <c r="AB167" i="3"/>
  <c r="AP48" i="3"/>
  <c r="W173" i="3"/>
  <c r="AR27" i="3"/>
  <c r="AI34" i="3"/>
  <c r="AM54" i="3"/>
  <c r="AB172" i="3"/>
  <c r="AS172" i="3"/>
  <c r="X49" i="3"/>
  <c r="AI168" i="3"/>
  <c r="T51" i="3"/>
  <c r="AL60" i="3"/>
  <c r="W68" i="3"/>
  <c r="AO175" i="3"/>
  <c r="H67" i="3"/>
  <c r="AE122" i="3"/>
  <c r="AJ46" i="3"/>
  <c r="AO167" i="3"/>
  <c r="Q58" i="3"/>
  <c r="N43" i="3"/>
  <c r="AK168" i="3"/>
  <c r="V51" i="3"/>
  <c r="AB175" i="3"/>
  <c r="Z64" i="3"/>
  <c r="I165" i="3"/>
  <c r="V54" i="3"/>
  <c r="P168" i="3"/>
  <c r="T41" i="3"/>
  <c r="AL49" i="3"/>
  <c r="Z63" i="3"/>
  <c r="I164" i="3"/>
  <c r="AO42" i="3"/>
  <c r="G27" i="3"/>
  <c r="AQ168" i="3"/>
  <c r="AB51" i="3"/>
  <c r="AK175" i="3"/>
  <c r="AQ175" i="3"/>
  <c r="G48" i="3"/>
  <c r="I32" i="3"/>
  <c r="AQ58" i="3"/>
  <c r="AH41" i="3"/>
  <c r="S165" i="3"/>
  <c r="AS54" i="3"/>
  <c r="AJ49" i="3"/>
  <c r="R31" i="3"/>
  <c r="AC166" i="3"/>
  <c r="AE66" i="3"/>
  <c r="AA27" i="3"/>
  <c r="Z170" i="3"/>
  <c r="L45" i="3"/>
  <c r="AC62" i="3"/>
  <c r="X168" i="3"/>
  <c r="AB41" i="3"/>
  <c r="I169" i="3"/>
  <c r="AA60" i="3"/>
  <c r="AQ67" i="3"/>
  <c r="Y166" i="3"/>
  <c r="P66" i="3"/>
  <c r="AR165" i="3"/>
  <c r="AM58" i="3"/>
  <c r="AP28" i="3"/>
  <c r="AO171" i="3"/>
  <c r="S46" i="3"/>
  <c r="AR63" i="3"/>
  <c r="AB215" i="3"/>
  <c r="W216" i="3"/>
  <c r="S28" i="3"/>
  <c r="AS37" i="3"/>
  <c r="X27" i="3"/>
  <c r="AE51" i="3"/>
  <c r="U37" i="3"/>
  <c r="M27" i="3"/>
  <c r="G51" i="3"/>
  <c r="V43" i="3"/>
  <c r="H34" i="3"/>
  <c r="AM43" i="3"/>
  <c r="S62" i="3"/>
  <c r="AO174" i="3"/>
  <c r="Y165" i="3"/>
  <c r="P37" i="3"/>
  <c r="J60" i="3"/>
  <c r="J67" i="3"/>
  <c r="M31" i="3"/>
  <c r="H59" i="3"/>
  <c r="AM35" i="3"/>
  <c r="AQ56" i="3"/>
  <c r="Y28" i="3"/>
  <c r="P171" i="3"/>
  <c r="S63" i="3"/>
  <c r="W163" i="3"/>
  <c r="AR51" i="3"/>
  <c r="AF67" i="3"/>
  <c r="L49" i="3"/>
  <c r="Y34" i="3"/>
  <c r="V168" i="3"/>
  <c r="AS63" i="3"/>
  <c r="AA45" i="3"/>
  <c r="Y27" i="3"/>
  <c r="P170" i="3"/>
  <c r="AJ54" i="3"/>
  <c r="O168" i="3"/>
  <c r="K41" i="3"/>
  <c r="AK49" i="3"/>
  <c r="U31" i="3"/>
  <c r="P166" i="3"/>
  <c r="O66" i="3"/>
  <c r="J37" i="3"/>
  <c r="N58" i="3"/>
  <c r="M64" i="3"/>
  <c r="X35" i="3"/>
  <c r="AJ56" i="3"/>
  <c r="AE163" i="3"/>
  <c r="AH54" i="3"/>
  <c r="AP220" i="3"/>
  <c r="AA29" i="3"/>
  <c r="AQ164" i="3"/>
  <c r="AE60" i="3"/>
  <c r="H172" i="3"/>
  <c r="AS163" i="3"/>
  <c r="Z35" i="3"/>
  <c r="X34" i="3"/>
  <c r="R45" i="3"/>
  <c r="Y64" i="3"/>
  <c r="N164" i="3"/>
  <c r="I43" i="3"/>
  <c r="T27" i="3"/>
  <c r="K170" i="3"/>
  <c r="AG51" i="3"/>
  <c r="AS175" i="3"/>
  <c r="AE62" i="3"/>
  <c r="AO164" i="3"/>
  <c r="Q54" i="3"/>
  <c r="K168" i="3"/>
  <c r="G41" i="3"/>
  <c r="AG49" i="3"/>
  <c r="AP131" i="3"/>
  <c r="AC106" i="3"/>
  <c r="AC113" i="3"/>
  <c r="S142" i="3"/>
  <c r="S213" i="3"/>
  <c r="W129" i="3"/>
  <c r="AR213" i="3"/>
  <c r="AJ220" i="3"/>
  <c r="X215" i="3"/>
  <c r="AR223" i="3"/>
  <c r="AO106" i="3"/>
  <c r="I224" i="3"/>
  <c r="AH106" i="3"/>
  <c r="K114" i="3"/>
  <c r="P104" i="3"/>
  <c r="O220" i="3"/>
  <c r="O125" i="3"/>
  <c r="X131" i="3"/>
  <c r="U117" i="3"/>
  <c r="AC136" i="3"/>
  <c r="Z125" i="3"/>
  <c r="Y130" i="3"/>
  <c r="AM223" i="3"/>
  <c r="Q130" i="3"/>
  <c r="K135" i="3"/>
  <c r="I146" i="3"/>
  <c r="AL157" i="3"/>
  <c r="AS148" i="3"/>
  <c r="O218" i="3"/>
  <c r="L211" i="3"/>
  <c r="I136" i="3"/>
  <c r="AS146" i="3"/>
  <c r="AG157" i="3"/>
  <c r="AF141" i="3"/>
  <c r="AG141" i="3"/>
  <c r="X143" i="3"/>
  <c r="S150" i="3"/>
  <c r="T155" i="3"/>
  <c r="P160" i="3"/>
  <c r="P38" i="3"/>
  <c r="AG160" i="3"/>
  <c r="AG69" i="3"/>
  <c r="K233" i="3"/>
  <c r="AH69" i="3"/>
  <c r="I111" i="3"/>
  <c r="T128" i="3"/>
  <c r="AA213" i="3"/>
  <c r="M213" i="3"/>
  <c r="M118" i="3"/>
  <c r="AF102" i="3"/>
  <c r="AE217" i="3"/>
  <c r="X109" i="3"/>
  <c r="T226" i="3"/>
  <c r="AP212" i="3"/>
  <c r="AG114" i="3"/>
  <c r="AO122" i="3"/>
  <c r="AG131" i="3"/>
  <c r="AL224" i="3"/>
  <c r="AH131" i="3"/>
  <c r="AC117" i="3"/>
  <c r="AL229" i="3"/>
  <c r="P128" i="3"/>
  <c r="AI222" i="3"/>
  <c r="M122" i="3"/>
  <c r="AH130" i="3"/>
  <c r="AG124" i="3"/>
  <c r="AJ218" i="3"/>
  <c r="AJ158" i="3"/>
  <c r="AB147" i="3"/>
  <c r="X154" i="3"/>
  <c r="L133" i="3"/>
  <c r="AL138" i="3"/>
  <c r="P150" i="3"/>
  <c r="M142" i="3"/>
  <c r="AJ230" i="3"/>
  <c r="AS222" i="3"/>
  <c r="AR157" i="3"/>
  <c r="Y230" i="3"/>
  <c r="F28" i="3"/>
  <c r="I210" i="3"/>
  <c r="Q111" i="3"/>
  <c r="Z210" i="3"/>
  <c r="O106" i="3"/>
  <c r="U113" i="3"/>
  <c r="L210" i="3"/>
  <c r="T111" i="3"/>
  <c r="AE129" i="3"/>
  <c r="AD213" i="3"/>
  <c r="AF109" i="3"/>
  <c r="AL226" i="3"/>
  <c r="M214" i="3"/>
  <c r="AS141" i="3"/>
  <c r="AJ229" i="3"/>
  <c r="N128" i="3"/>
  <c r="AQ122" i="3"/>
  <c r="M218" i="3"/>
  <c r="G117" i="3"/>
  <c r="AS116" i="3"/>
  <c r="O141" i="3"/>
  <c r="G136" i="3"/>
  <c r="P222" i="3"/>
  <c r="AF230" i="3"/>
  <c r="AM147" i="3"/>
  <c r="H218" i="3"/>
  <c r="AN141" i="3"/>
  <c r="AO152" i="3"/>
  <c r="S136" i="3"/>
  <c r="AF147" i="3"/>
  <c r="AB136" i="3"/>
  <c r="W222" i="3"/>
  <c r="U211" i="3"/>
  <c r="T148" i="3"/>
  <c r="Q142" i="3"/>
  <c r="H148" i="3"/>
  <c r="AG155" i="3"/>
  <c r="H176" i="3"/>
  <c r="Q101" i="3"/>
  <c r="H216" i="3"/>
  <c r="AQ104" i="3"/>
  <c r="AS111" i="3"/>
  <c r="AP218" i="3"/>
  <c r="W215" i="3"/>
  <c r="AF223" i="3"/>
  <c r="AF232" i="3"/>
  <c r="AL109" i="3"/>
  <c r="AN109" i="3"/>
  <c r="U103" i="3"/>
  <c r="T110" i="3"/>
  <c r="X122" i="3"/>
  <c r="AD211" i="3"/>
  <c r="AN211" i="3"/>
  <c r="N130" i="3"/>
  <c r="Q118" i="3"/>
  <c r="O229" i="3"/>
  <c r="K125" i="3"/>
  <c r="Y138" i="3"/>
  <c r="H150" i="3"/>
  <c r="N145" i="3"/>
  <c r="S157" i="3"/>
  <c r="AD147" i="3"/>
  <c r="AK138" i="3"/>
  <c r="M150" i="3"/>
  <c r="W157" i="3"/>
  <c r="AF145" i="3"/>
  <c r="V158" i="3"/>
  <c r="AH146" i="3"/>
  <c r="U155" i="3"/>
  <c r="F148" i="3"/>
  <c r="S128" i="3"/>
  <c r="Y213" i="3"/>
  <c r="P108" i="3"/>
  <c r="AJ224" i="3"/>
  <c r="N106" i="3"/>
  <c r="I113" i="3"/>
  <c r="V212" i="3"/>
  <c r="S108" i="3"/>
  <c r="AO114" i="3"/>
  <c r="AK101" i="3"/>
  <c r="AJ216" i="3"/>
  <c r="V228" i="3"/>
  <c r="AD210" i="3"/>
  <c r="K106" i="3"/>
  <c r="P113" i="3"/>
  <c r="AO131" i="3"/>
  <c r="AI223" i="3"/>
  <c r="V130" i="3"/>
  <c r="Z116" i="3"/>
  <c r="L127" i="3"/>
  <c r="AJ129" i="3"/>
  <c r="G113" i="3"/>
  <c r="AQ226" i="3"/>
  <c r="P133" i="3"/>
  <c r="M145" i="3"/>
  <c r="AB225" i="3"/>
  <c r="Z154" i="3"/>
  <c r="G148" i="3"/>
  <c r="AR136" i="3"/>
  <c r="AR222" i="3"/>
  <c r="I222" i="3"/>
  <c r="O145" i="3"/>
  <c r="N152" i="3"/>
  <c r="Y158" i="3"/>
  <c r="AA119" i="3"/>
  <c r="AR119" i="3"/>
  <c r="F104" i="3"/>
  <c r="F51" i="3"/>
  <c r="Z132" i="3"/>
  <c r="L106" i="3"/>
  <c r="O103" i="3"/>
  <c r="N110" i="3"/>
  <c r="AP124" i="3"/>
  <c r="L109" i="3"/>
  <c r="R117" i="3"/>
  <c r="AC109" i="3"/>
  <c r="L226" i="3"/>
  <c r="AA108" i="3"/>
  <c r="S116" i="3"/>
  <c r="AS101" i="3"/>
  <c r="AR216" i="3"/>
  <c r="AL228" i="3"/>
  <c r="AK108" i="3"/>
  <c r="W116" i="3"/>
  <c r="J212" i="3"/>
  <c r="AQ223" i="3"/>
  <c r="AE130" i="3"/>
  <c r="AH116" i="3"/>
  <c r="T127" i="3"/>
  <c r="U227" i="3"/>
  <c r="AM124" i="3"/>
  <c r="R135" i="3"/>
  <c r="AP224" i="3"/>
  <c r="R131" i="3"/>
  <c r="L135" i="3"/>
  <c r="AJ145" i="3"/>
  <c r="R231" i="3"/>
  <c r="AS135" i="3"/>
  <c r="AG146" i="3"/>
  <c r="AO231" i="3"/>
  <c r="L138" i="3"/>
  <c r="O227" i="3"/>
  <c r="Z136" i="3"/>
  <c r="T147" i="3"/>
  <c r="P146" i="3"/>
  <c r="AS157" i="3"/>
  <c r="AI158" i="3"/>
  <c r="N141" i="3"/>
  <c r="M147" i="3"/>
  <c r="L231" i="3"/>
  <c r="F127" i="3"/>
  <c r="U110" i="3"/>
  <c r="AO210" i="3"/>
  <c r="AD106" i="3"/>
  <c r="AD113" i="3"/>
  <c r="K101" i="3"/>
  <c r="J216" i="3"/>
  <c r="H215" i="3"/>
  <c r="V223" i="3"/>
  <c r="Z231" i="3"/>
  <c r="AI103" i="3"/>
  <c r="AH110" i="3"/>
  <c r="AJ128" i="3"/>
  <c r="AS214" i="3"/>
  <c r="S127" i="3"/>
  <c r="S146" i="3"/>
  <c r="K122" i="3"/>
  <c r="AO130" i="3"/>
  <c r="AO118" i="3"/>
  <c r="S129" i="3"/>
  <c r="T116" i="3"/>
  <c r="AI125" i="3"/>
  <c r="M116" i="3"/>
  <c r="AJ125" i="3"/>
  <c r="T142" i="3"/>
  <c r="AN150" i="3"/>
  <c r="T135" i="3"/>
  <c r="K146" i="3"/>
  <c r="AC231" i="3"/>
  <c r="H136" i="3"/>
  <c r="AR146" i="3"/>
  <c r="AC225" i="3"/>
  <c r="Y218" i="3"/>
  <c r="O142" i="3"/>
  <c r="AS150" i="3"/>
  <c r="X135" i="3"/>
  <c r="AA146" i="3"/>
  <c r="I232" i="3"/>
  <c r="AI145" i="3"/>
  <c r="AH152" i="3"/>
  <c r="AS232" i="3"/>
  <c r="L143" i="3"/>
  <c r="AN148" i="3"/>
  <c r="AM232" i="3"/>
  <c r="S160" i="3"/>
  <c r="S38" i="3"/>
  <c r="AJ160" i="3"/>
  <c r="AJ38" i="3"/>
  <c r="F119" i="3"/>
  <c r="F125" i="3"/>
  <c r="F58" i="3"/>
  <c r="F59" i="3"/>
  <c r="AO127" i="3"/>
  <c r="AN108" i="3"/>
  <c r="Q117" i="3"/>
  <c r="AC102" i="3"/>
  <c r="AB217" i="3"/>
  <c r="R108" i="3"/>
  <c r="AB224" i="3"/>
  <c r="G102" i="3"/>
  <c r="AQ216" i="3"/>
  <c r="Y229" i="3"/>
  <c r="F106" i="3"/>
  <c r="F116" i="3"/>
  <c r="J176" i="3"/>
  <c r="W67" i="3"/>
  <c r="S168" i="3"/>
  <c r="AD165" i="3"/>
  <c r="AK164" i="3"/>
  <c r="U168" i="3"/>
  <c r="N173" i="3"/>
  <c r="AA170" i="3"/>
  <c r="AK64" i="3"/>
  <c r="AP166" i="3"/>
  <c r="AS29" i="3"/>
  <c r="AA116" i="3"/>
  <c r="AN56" i="3"/>
  <c r="AB64" i="3"/>
  <c r="I46" i="3"/>
  <c r="AS170" i="3"/>
  <c r="AH163" i="3"/>
  <c r="I45" i="3"/>
  <c r="AB54" i="3"/>
  <c r="AG60" i="3"/>
  <c r="AC49" i="3"/>
  <c r="AJ41" i="3"/>
  <c r="AM45" i="3"/>
  <c r="V170" i="3"/>
  <c r="AN163" i="3"/>
  <c r="Q172" i="3"/>
  <c r="AS62" i="3"/>
  <c r="Y169" i="3"/>
  <c r="O49" i="3"/>
  <c r="H45" i="3"/>
  <c r="X42" i="3"/>
  <c r="AF171" i="3"/>
  <c r="S104" i="3"/>
  <c r="X212" i="3"/>
  <c r="P141" i="3"/>
  <c r="AL114" i="3"/>
  <c r="AK228" i="3"/>
  <c r="AJ132" i="3"/>
  <c r="AS215" i="3"/>
  <c r="M103" i="3"/>
  <c r="U142" i="3"/>
  <c r="M232" i="3"/>
  <c r="AL214" i="3"/>
  <c r="AD142" i="3"/>
  <c r="K138" i="3"/>
  <c r="AL221" i="3"/>
  <c r="AK154" i="3"/>
  <c r="Y101" i="3"/>
  <c r="AO224" i="3"/>
  <c r="AM210" i="3"/>
  <c r="AK128" i="3"/>
  <c r="AE154" i="3"/>
  <c r="N135" i="3"/>
  <c r="AJ133" i="3"/>
  <c r="AS154" i="3"/>
  <c r="Y232" i="3"/>
  <c r="N176" i="3"/>
  <c r="F169" i="3"/>
  <c r="AL38" i="3"/>
  <c r="M102" i="3"/>
  <c r="AS210" i="3"/>
  <c r="AL116" i="3"/>
  <c r="U148" i="3"/>
  <c r="AR129" i="3"/>
  <c r="R221" i="3"/>
  <c r="J142" i="3"/>
  <c r="AM142" i="3"/>
  <c r="Y157" i="3"/>
  <c r="AR148" i="3"/>
  <c r="AK158" i="3"/>
  <c r="H113" i="3"/>
  <c r="U212" i="3"/>
  <c r="AL212" i="3"/>
  <c r="Q224" i="3"/>
  <c r="Y215" i="3"/>
  <c r="AA110" i="3"/>
  <c r="J218" i="3"/>
  <c r="Q109" i="3"/>
  <c r="W118" i="3"/>
  <c r="Y128" i="3"/>
  <c r="M141" i="3"/>
  <c r="AR131" i="3"/>
  <c r="AN218" i="3"/>
  <c r="Y132" i="3"/>
  <c r="K141" i="3"/>
  <c r="AE145" i="3"/>
  <c r="F142" i="3"/>
  <c r="AP233" i="3"/>
  <c r="AE214" i="3"/>
  <c r="AA128" i="3"/>
  <c r="Q102" i="3"/>
  <c r="H217" i="3"/>
  <c r="I229" i="3"/>
  <c r="Z212" i="3"/>
  <c r="L114" i="3"/>
  <c r="AE118" i="3"/>
  <c r="Q129" i="3"/>
  <c r="N147" i="3"/>
  <c r="S122" i="3"/>
  <c r="O221" i="3"/>
  <c r="AB150" i="3"/>
  <c r="AN229" i="3"/>
  <c r="Z128" i="3"/>
  <c r="AH148" i="3"/>
  <c r="AQ138" i="3"/>
  <c r="K133" i="3"/>
  <c r="U143" i="3"/>
  <c r="AN152" i="3"/>
  <c r="AG218" i="3"/>
  <c r="Z142" i="3"/>
  <c r="I152" i="3"/>
  <c r="J158" i="3"/>
  <c r="AG222" i="3"/>
  <c r="X231" i="3"/>
  <c r="AM145" i="3"/>
  <c r="AL152" i="3"/>
  <c r="M230" i="3"/>
  <c r="F45" i="3"/>
  <c r="P147" i="3"/>
  <c r="P223" i="3"/>
  <c r="AB131" i="3"/>
  <c r="T213" i="3"/>
  <c r="AO157" i="3"/>
  <c r="M222" i="3"/>
  <c r="AD110" i="3"/>
  <c r="AE226" i="3"/>
  <c r="AB116" i="3"/>
  <c r="O225" i="3"/>
  <c r="Z211" i="3"/>
  <c r="AB146" i="3"/>
  <c r="AC119" i="3"/>
  <c r="AD233" i="3"/>
  <c r="W160" i="3"/>
  <c r="F129" i="3"/>
  <c r="Z27" i="3"/>
  <c r="O34" i="3"/>
  <c r="AO49" i="3"/>
  <c r="L166" i="3"/>
  <c r="P29" i="3"/>
  <c r="AQ49" i="3"/>
  <c r="V48" i="3"/>
  <c r="AP45" i="3"/>
  <c r="AB48" i="3"/>
  <c r="AO31" i="3"/>
  <c r="L56" i="3"/>
  <c r="AC43" i="3"/>
  <c r="I62" i="3"/>
  <c r="Z34" i="3"/>
  <c r="AS41" i="3"/>
  <c r="AR29" i="3"/>
  <c r="AO35" i="3"/>
  <c r="V226" i="3"/>
  <c r="Y48" i="3"/>
  <c r="O172" i="3"/>
  <c r="AQ28" i="3"/>
  <c r="I58" i="3"/>
  <c r="AO62" i="3"/>
  <c r="AM113" i="3"/>
  <c r="Q160" i="3"/>
  <c r="AH135" i="3"/>
  <c r="T118" i="3"/>
  <c r="AO217" i="3"/>
  <c r="AH129" i="3"/>
  <c r="AJ225" i="3"/>
  <c r="AA133" i="3"/>
  <c r="Y155" i="3"/>
  <c r="AN215" i="3"/>
  <c r="H160" i="3"/>
  <c r="V128" i="3"/>
  <c r="O117" i="3"/>
  <c r="AS136" i="3"/>
  <c r="L125" i="3"/>
  <c r="AQ154" i="3"/>
  <c r="S231" i="3"/>
  <c r="AD145" i="3"/>
  <c r="AJ114" i="3"/>
  <c r="N215" i="3"/>
  <c r="J214" i="3"/>
  <c r="AJ108" i="3"/>
  <c r="AD101" i="3"/>
  <c r="AM111" i="3"/>
  <c r="G118" i="3"/>
  <c r="AE124" i="3"/>
  <c r="J133" i="3"/>
  <c r="H152" i="3"/>
  <c r="AM69" i="3"/>
  <c r="R229" i="3"/>
  <c r="AK216" i="3"/>
  <c r="I122" i="3"/>
  <c r="N155" i="3"/>
  <c r="R148" i="3"/>
  <c r="AF227" i="3"/>
  <c r="AK230" i="3"/>
  <c r="U102" i="3"/>
  <c r="AD223" i="3"/>
  <c r="Q114" i="3"/>
  <c r="J132" i="3"/>
  <c r="AE133" i="3"/>
  <c r="W226" i="3"/>
  <c r="AB122" i="3"/>
  <c r="T228" i="3"/>
  <c r="W223" i="3"/>
  <c r="AN132" i="3"/>
  <c r="AG225" i="3"/>
  <c r="AM158" i="3"/>
  <c r="AO119" i="3"/>
  <c r="AJ176" i="3"/>
  <c r="F69" i="3"/>
  <c r="F214" i="3"/>
  <c r="T38" i="3"/>
  <c r="AE103" i="3"/>
  <c r="R223" i="3"/>
  <c r="J111" i="3"/>
  <c r="R216" i="3"/>
  <c r="AD129" i="3"/>
  <c r="AQ108" i="3"/>
  <c r="P102" i="3"/>
  <c r="O217" i="3"/>
  <c r="N226" i="3"/>
  <c r="H109" i="3"/>
  <c r="I117" i="3"/>
  <c r="Z102" i="3"/>
  <c r="Y217" i="3"/>
  <c r="Y122" i="3"/>
  <c r="L221" i="3"/>
  <c r="V224" i="3"/>
  <c r="O131" i="3"/>
  <c r="AJ122" i="3"/>
  <c r="P221" i="3"/>
  <c r="J226" i="3"/>
  <c r="AG128" i="3"/>
  <c r="AN117" i="3"/>
  <c r="AN133" i="3"/>
  <c r="AS145" i="3"/>
  <c r="AA231" i="3"/>
  <c r="J138" i="3"/>
  <c r="AH227" i="3"/>
  <c r="G132" i="3"/>
  <c r="U150" i="3"/>
  <c r="V138" i="3"/>
  <c r="AM227" i="3"/>
  <c r="W138" i="3"/>
  <c r="AD227" i="3"/>
  <c r="AG147" i="3"/>
  <c r="X157" i="3"/>
  <c r="S230" i="3"/>
  <c r="M155" i="3"/>
  <c r="AH210" i="3"/>
  <c r="U217" i="3"/>
  <c r="N133" i="3"/>
  <c r="AA216" i="3"/>
  <c r="O148" i="3"/>
  <c r="AG158" i="3"/>
  <c r="AP227" i="3"/>
  <c r="I158" i="3"/>
  <c r="T69" i="3"/>
  <c r="L224" i="3"/>
  <c r="N222" i="3"/>
  <c r="AQ125" i="3"/>
  <c r="AB135" i="3"/>
  <c r="AN225" i="3"/>
  <c r="Z232" i="3"/>
  <c r="H155" i="3"/>
  <c r="F101" i="3"/>
  <c r="AR46" i="3"/>
  <c r="Q41" i="3"/>
  <c r="G35" i="3"/>
  <c r="AS173" i="3"/>
  <c r="AI170" i="3"/>
  <c r="AS64" i="3"/>
  <c r="AI32" i="3"/>
  <c r="W169" i="3"/>
  <c r="AK32" i="3"/>
  <c r="I29" i="3"/>
  <c r="P32" i="3"/>
  <c r="O129" i="3"/>
  <c r="AG168" i="3"/>
  <c r="S29" i="3"/>
  <c r="L42" i="3"/>
  <c r="AD54" i="3"/>
  <c r="Y59" i="3"/>
  <c r="U48" i="3"/>
  <c r="AS56" i="3"/>
  <c r="AB106" i="3"/>
  <c r="P34" i="3"/>
  <c r="AM170" i="3"/>
  <c r="H41" i="3"/>
  <c r="O165" i="3"/>
  <c r="N28" i="3"/>
  <c r="K34" i="3"/>
  <c r="Q175" i="3"/>
  <c r="AR127" i="3"/>
  <c r="K119" i="3"/>
  <c r="Z220" i="3"/>
  <c r="G215" i="3"/>
  <c r="S221" i="3"/>
  <c r="L111" i="3"/>
  <c r="AQ146" i="3"/>
  <c r="O146" i="3"/>
  <c r="AJ155" i="3"/>
  <c r="AS147" i="3"/>
  <c r="AD104" i="3"/>
  <c r="L145" i="3"/>
  <c r="O124" i="3"/>
  <c r="W127" i="3"/>
  <c r="T133" i="3"/>
  <c r="Y224" i="3"/>
  <c r="AL213" i="3"/>
  <c r="AD154" i="3"/>
  <c r="O136" i="3"/>
  <c r="AD222" i="3"/>
  <c r="S232" i="3"/>
  <c r="U230" i="3"/>
  <c r="G214" i="3"/>
  <c r="V102" i="3"/>
  <c r="AP113" i="3"/>
  <c r="U130" i="3"/>
  <c r="Z228" i="3"/>
  <c r="AS132" i="3"/>
  <c r="W117" i="3"/>
  <c r="N218" i="3"/>
  <c r="AL147" i="3"/>
  <c r="G227" i="3"/>
  <c r="AR147" i="3"/>
  <c r="L215" i="3"/>
  <c r="AF214" i="3"/>
  <c r="AC217" i="3"/>
  <c r="AJ101" i="3"/>
  <c r="J102" i="3"/>
  <c r="Z113" i="3"/>
  <c r="AA221" i="3"/>
  <c r="AL122" i="3"/>
  <c r="AE136" i="3"/>
  <c r="R157" i="3"/>
  <c r="AE231" i="3"/>
  <c r="G146" i="3"/>
  <c r="Z225" i="3"/>
  <c r="AK155" i="3"/>
  <c r="M106" i="3"/>
  <c r="AD228" i="3"/>
  <c r="H106" i="3"/>
  <c r="Z157" i="3"/>
  <c r="AJ103" i="3"/>
  <c r="Y223" i="3"/>
  <c r="AR110" i="3"/>
  <c r="G130" i="3"/>
  <c r="R128" i="3"/>
  <c r="Q231" i="3"/>
  <c r="J150" i="3"/>
  <c r="K231" i="3"/>
  <c r="Y222" i="3"/>
  <c r="AS158" i="3"/>
  <c r="U222" i="3"/>
  <c r="AP69" i="3"/>
  <c r="T160" i="3"/>
  <c r="AC110" i="3"/>
  <c r="AC212" i="3"/>
  <c r="S101" i="3"/>
  <c r="O109" i="3"/>
  <c r="N118" i="3"/>
  <c r="AR214" i="3"/>
  <c r="Y109" i="3"/>
  <c r="AG229" i="3"/>
  <c r="L131" i="3"/>
  <c r="V114" i="3"/>
  <c r="R122" i="3"/>
  <c r="M221" i="3"/>
  <c r="M229" i="3"/>
  <c r="I125" i="3"/>
  <c r="P131" i="3"/>
  <c r="J118" i="3"/>
  <c r="AE223" i="3"/>
  <c r="H130" i="3"/>
  <c r="AA157" i="3"/>
  <c r="G218" i="3"/>
  <c r="AM141" i="3"/>
  <c r="AL135" i="3"/>
  <c r="AI146" i="3"/>
  <c r="T232" i="3"/>
  <c r="O135" i="3"/>
  <c r="AC145" i="3"/>
  <c r="V231" i="3"/>
  <c r="AM148" i="3"/>
  <c r="AD148" i="3"/>
  <c r="AH141" i="3"/>
  <c r="S155" i="3"/>
  <c r="AC222" i="3"/>
  <c r="AB231" i="3"/>
  <c r="F172" i="3"/>
  <c r="AQ176" i="3"/>
  <c r="L69" i="3"/>
  <c r="G176" i="3"/>
  <c r="AF173" i="3"/>
  <c r="U171" i="3"/>
  <c r="AS110" i="3"/>
  <c r="AF166" i="3"/>
  <c r="AL31" i="3"/>
  <c r="AC35" i="3"/>
  <c r="S167" i="3"/>
  <c r="AB31" i="3"/>
  <c r="W66" i="3"/>
  <c r="AF62" i="3"/>
  <c r="P41" i="3"/>
  <c r="AB68" i="3"/>
  <c r="W46" i="3"/>
  <c r="AN63" i="3"/>
  <c r="W171" i="3"/>
  <c r="I163" i="3"/>
  <c r="AC59" i="3"/>
  <c r="AH172" i="3"/>
  <c r="AS174" i="3"/>
  <c r="P35" i="3"/>
  <c r="Y167" i="3"/>
  <c r="O32" i="3"/>
  <c r="AR41" i="3"/>
  <c r="O167" i="3"/>
  <c r="AK48" i="3"/>
  <c r="Q173" i="3"/>
  <c r="AD170" i="3"/>
  <c r="AN174" i="3"/>
  <c r="X172" i="3"/>
  <c r="AS68" i="3"/>
  <c r="AR104" i="3"/>
  <c r="AR113" i="3"/>
  <c r="Y212" i="3"/>
  <c r="O111" i="3"/>
  <c r="T229" i="3"/>
  <c r="AL231" i="3"/>
  <c r="N221" i="3"/>
  <c r="R230" i="3"/>
  <c r="V214" i="3"/>
  <c r="AE109" i="3"/>
  <c r="O213" i="3"/>
  <c r="AR141" i="3"/>
  <c r="Y216" i="3"/>
  <c r="AQ210" i="3"/>
  <c r="X155" i="3"/>
  <c r="AO225" i="3"/>
  <c r="AF222" i="3"/>
  <c r="W147" i="3"/>
  <c r="V176" i="3"/>
  <c r="W106" i="3"/>
  <c r="AF158" i="3"/>
  <c r="T221" i="3"/>
  <c r="AS133" i="3"/>
  <c r="AQ147" i="3"/>
  <c r="AL146" i="3"/>
  <c r="G228" i="3"/>
  <c r="K215" i="3"/>
  <c r="AO221" i="3"/>
  <c r="G223" i="3"/>
  <c r="AM127" i="3"/>
  <c r="AB152" i="3"/>
  <c r="U231" i="3"/>
  <c r="I147" i="3"/>
  <c r="AC158" i="3"/>
  <c r="AM176" i="3"/>
  <c r="AL160" i="3"/>
  <c r="S228" i="3"/>
  <c r="AQ113" i="3"/>
  <c r="Z147" i="3"/>
  <c r="P135" i="3"/>
  <c r="AS211" i="3"/>
  <c r="Z152" i="3"/>
  <c r="AD116" i="3"/>
  <c r="AO229" i="3"/>
  <c r="J108" i="3"/>
  <c r="Y113" i="3"/>
  <c r="AR124" i="3"/>
  <c r="H146" i="3"/>
  <c r="AP228" i="3"/>
  <c r="AM229" i="3"/>
  <c r="M228" i="3"/>
  <c r="W227" i="3"/>
  <c r="AD135" i="3"/>
  <c r="AC152" i="3"/>
  <c r="N143" i="3"/>
  <c r="AI231" i="3"/>
  <c r="AO158" i="3"/>
  <c r="AO38" i="3"/>
  <c r="F176" i="3"/>
  <c r="U215" i="3"/>
  <c r="Q229" i="3"/>
  <c r="AO113" i="3"/>
  <c r="AS217" i="3"/>
  <c r="AQ214" i="3"/>
  <c r="AR103" i="3"/>
  <c r="AI110" i="3"/>
  <c r="AG127" i="3"/>
  <c r="H213" i="3"/>
  <c r="AG117" i="3"/>
  <c r="G125" i="3"/>
  <c r="M131" i="3"/>
  <c r="M117" i="3"/>
  <c r="Q135" i="3"/>
  <c r="R125" i="3"/>
  <c r="P130" i="3"/>
  <c r="AE113" i="3"/>
  <c r="AD136" i="3"/>
  <c r="K148" i="3"/>
  <c r="AK225" i="3"/>
  <c r="W154" i="3"/>
  <c r="T158" i="3"/>
  <c r="V157" i="3"/>
  <c r="U141" i="3"/>
  <c r="W141" i="3"/>
  <c r="O150" i="3"/>
  <c r="O230" i="3"/>
  <c r="AC147" i="3"/>
  <c r="AB157" i="3"/>
  <c r="I230" i="3"/>
  <c r="F64" i="3"/>
  <c r="F167" i="3"/>
  <c r="X233" i="3"/>
  <c r="V28" i="3"/>
  <c r="AK167" i="3"/>
  <c r="AD45" i="3"/>
  <c r="U45" i="3"/>
  <c r="U43" i="3"/>
  <c r="N165" i="3"/>
  <c r="J45" i="3"/>
  <c r="N62" i="3"/>
  <c r="AJ111" i="3"/>
  <c r="H125" i="3"/>
  <c r="G154" i="3"/>
  <c r="Z101" i="3"/>
  <c r="AC213" i="3"/>
  <c r="V211" i="3"/>
  <c r="AH228" i="3"/>
  <c r="AA138" i="3"/>
  <c r="Y231" i="3"/>
  <c r="AL124" i="3"/>
  <c r="S227" i="3"/>
  <c r="F233" i="3"/>
  <c r="AS113" i="3"/>
  <c r="AF111" i="3"/>
  <c r="AA129" i="3"/>
  <c r="AL150" i="3"/>
  <c r="G147" i="3"/>
  <c r="AF135" i="3"/>
  <c r="F41" i="3"/>
  <c r="L35" i="3"/>
  <c r="T60" i="3"/>
  <c r="U170" i="3"/>
  <c r="AI51" i="3"/>
  <c r="O41" i="3"/>
  <c r="Y41" i="3"/>
  <c r="AJ27" i="3"/>
  <c r="AM167" i="3"/>
  <c r="M174" i="3"/>
  <c r="AR37" i="3"/>
  <c r="AS42" i="3"/>
  <c r="K35" i="3"/>
  <c r="AP37" i="3"/>
  <c r="I28" i="3"/>
  <c r="AQ32" i="3"/>
  <c r="AD56" i="3"/>
  <c r="AO67" i="3"/>
  <c r="W27" i="3"/>
  <c r="W63" i="3"/>
  <c r="L163" i="3"/>
  <c r="P59" i="3"/>
  <c r="AI172" i="3"/>
  <c r="AO28" i="3"/>
  <c r="K32" i="3"/>
  <c r="AB223" i="3"/>
  <c r="T212" i="3"/>
  <c r="R220" i="3"/>
  <c r="Q227" i="3"/>
  <c r="AG221" i="3"/>
  <c r="I101" i="3"/>
  <c r="AL118" i="3"/>
  <c r="L110" i="3"/>
  <c r="AJ117" i="3"/>
  <c r="Q211" i="3"/>
  <c r="AP230" i="3"/>
  <c r="Y233" i="3"/>
  <c r="AC128" i="3"/>
  <c r="AR229" i="3"/>
  <c r="L146" i="3"/>
  <c r="AP229" i="3"/>
  <c r="S216" i="3"/>
  <c r="AM104" i="3"/>
  <c r="X147" i="3"/>
  <c r="AO150" i="3"/>
  <c r="X142" i="3"/>
  <c r="AE141" i="3"/>
  <c r="N225" i="3"/>
  <c r="AA233" i="3"/>
  <c r="AB69" i="3"/>
  <c r="R214" i="3"/>
  <c r="AR108" i="3"/>
  <c r="AL101" i="3"/>
  <c r="AN228" i="3"/>
  <c r="AS122" i="3"/>
  <c r="AB125" i="3"/>
  <c r="AI148" i="3"/>
  <c r="AA130" i="3"/>
  <c r="T222" i="3"/>
  <c r="AS231" i="3"/>
  <c r="AO142" i="3"/>
  <c r="L157" i="3"/>
  <c r="AP217" i="3"/>
  <c r="AF216" i="3"/>
  <c r="AD215" i="3"/>
  <c r="AB128" i="3"/>
  <c r="AH223" i="3"/>
  <c r="R215" i="3"/>
  <c r="AM133" i="3"/>
  <c r="AM131" i="3"/>
  <c r="AS129" i="3"/>
  <c r="AI138" i="3"/>
  <c r="L154" i="3"/>
  <c r="AC227" i="3"/>
  <c r="AI157" i="3"/>
  <c r="J155" i="3"/>
  <c r="AN227" i="3"/>
  <c r="S233" i="3"/>
  <c r="F166" i="3"/>
  <c r="AP176" i="3"/>
  <c r="T233" i="3"/>
  <c r="AI124" i="3"/>
  <c r="K213" i="3"/>
  <c r="I214" i="3"/>
  <c r="G212" i="3"/>
  <c r="AQ103" i="3"/>
  <c r="AP110" i="3"/>
  <c r="AL129" i="3"/>
  <c r="H104" i="3"/>
  <c r="G220" i="3"/>
  <c r="I135" i="3"/>
  <c r="L229" i="3"/>
  <c r="AS124" i="3"/>
  <c r="AJ127" i="3"/>
  <c r="P138" i="3"/>
  <c r="Q124" i="3"/>
  <c r="AN221" i="3"/>
  <c r="K227" i="3"/>
  <c r="AL218" i="3"/>
  <c r="G143" i="3"/>
  <c r="AK152" i="3"/>
  <c r="AH133" i="3"/>
  <c r="AO143" i="3"/>
  <c r="AB138" i="3"/>
  <c r="AK227" i="3"/>
  <c r="AP136" i="3"/>
  <c r="AP222" i="3"/>
  <c r="P154" i="3"/>
  <c r="AR225" i="3"/>
  <c r="P143" i="3"/>
  <c r="O155" i="3"/>
  <c r="AD141" i="3"/>
  <c r="I155" i="3"/>
  <c r="AH173" i="3"/>
  <c r="AD169" i="3"/>
  <c r="AP111" i="3"/>
  <c r="L128" i="3"/>
  <c r="AH154" i="3"/>
  <c r="AA154" i="3"/>
  <c r="AK224" i="3"/>
  <c r="J154" i="3"/>
  <c r="V143" i="3"/>
  <c r="O232" i="3"/>
  <c r="AB101" i="3"/>
  <c r="AQ118" i="3"/>
  <c r="J141" i="3"/>
  <c r="I217" i="3"/>
  <c r="M227" i="3"/>
  <c r="AE216" i="3"/>
  <c r="H127" i="3"/>
  <c r="J143" i="3"/>
  <c r="P157" i="3"/>
  <c r="AB109" i="3"/>
  <c r="AG106" i="3"/>
  <c r="AI106" i="3"/>
  <c r="I225" i="3"/>
  <c r="AL225" i="3"/>
  <c r="W38" i="3"/>
  <c r="AN119" i="3"/>
  <c r="R62" i="3"/>
  <c r="AK51" i="3"/>
  <c r="X224" i="3"/>
  <c r="M45" i="3"/>
  <c r="AA56" i="3"/>
  <c r="AK68" i="3"/>
  <c r="X32" i="3"/>
  <c r="I51" i="3"/>
  <c r="AI37" i="3"/>
  <c r="AR164" i="3"/>
  <c r="Q169" i="3"/>
  <c r="T175" i="3"/>
  <c r="G49" i="3"/>
  <c r="Y173" i="3"/>
  <c r="AB56" i="3"/>
  <c r="AS43" i="3"/>
  <c r="Y62" i="3"/>
  <c r="J217" i="3"/>
  <c r="V32" i="3"/>
  <c r="R46" i="3"/>
  <c r="AI63" i="3"/>
  <c r="X210" i="3"/>
  <c r="G210" i="3"/>
  <c r="Q69" i="3"/>
  <c r="AK215" i="3"/>
  <c r="AP102" i="3"/>
  <c r="P125" i="3"/>
  <c r="AL117" i="3"/>
  <c r="AR135" i="3"/>
  <c r="L101" i="3"/>
  <c r="U128" i="3"/>
  <c r="J228" i="3"/>
  <c r="M132" i="3"/>
  <c r="H132" i="3"/>
  <c r="H38" i="3"/>
  <c r="AS233" i="3"/>
  <c r="AM129" i="3"/>
  <c r="AN142" i="3"/>
  <c r="X130" i="3"/>
  <c r="H229" i="3"/>
  <c r="AG136" i="3"/>
  <c r="AA136" i="3"/>
  <c r="AB227" i="3"/>
  <c r="V232" i="3"/>
  <c r="AG154" i="3"/>
  <c r="Y104" i="3"/>
  <c r="P216" i="3"/>
  <c r="I223" i="3"/>
  <c r="AE106" i="3"/>
  <c r="AK210" i="3"/>
  <c r="V116" i="3"/>
  <c r="AG130" i="3"/>
  <c r="AC129" i="3"/>
  <c r="G141" i="3"/>
  <c r="AI136" i="3"/>
  <c r="N231" i="3"/>
  <c r="AD232" i="3"/>
  <c r="AR233" i="3"/>
  <c r="F213" i="3"/>
  <c r="AL233" i="3"/>
  <c r="L217" i="3"/>
  <c r="AD102" i="3"/>
  <c r="W228" i="3"/>
  <c r="S106" i="3"/>
  <c r="AS128" i="3"/>
  <c r="AO138" i="3"/>
  <c r="AC150" i="3"/>
  <c r="W225" i="3"/>
  <c r="AA145" i="3"/>
  <c r="AF108" i="3"/>
  <c r="R106" i="3"/>
  <c r="AS103" i="3"/>
  <c r="J117" i="3"/>
  <c r="Z127" i="3"/>
  <c r="AF229" i="3"/>
  <c r="T211" i="3"/>
  <c r="AP157" i="3"/>
  <c r="O211" i="3"/>
  <c r="Q146" i="3"/>
  <c r="AH225" i="3"/>
  <c r="AS155" i="3"/>
  <c r="AO69" i="3"/>
  <c r="F174" i="3"/>
  <c r="AP38" i="3"/>
  <c r="T119" i="3"/>
  <c r="AN216" i="3"/>
  <c r="AS125" i="3"/>
  <c r="AC226" i="3"/>
  <c r="I103" i="3"/>
  <c r="Y117" i="3"/>
  <c r="Z215" i="3"/>
  <c r="AJ223" i="3"/>
  <c r="L136" i="3"/>
  <c r="G111" i="3"/>
  <c r="AN127" i="3"/>
  <c r="AH127" i="3"/>
  <c r="L117" i="3"/>
  <c r="AL133" i="3"/>
  <c r="AF226" i="3"/>
  <c r="V229" i="3"/>
  <c r="AS127" i="3"/>
  <c r="P124" i="3"/>
  <c r="S218" i="3"/>
  <c r="U228" i="3"/>
  <c r="AN131" i="3"/>
  <c r="AL132" i="3"/>
  <c r="AN232" i="3"/>
  <c r="AK148" i="3"/>
  <c r="AQ130" i="3"/>
  <c r="AP147" i="3"/>
  <c r="M133" i="3"/>
  <c r="AH143" i="3"/>
  <c r="Y143" i="3"/>
  <c r="AR152" i="3"/>
  <c r="AP225" i="3"/>
  <c r="K150" i="3"/>
  <c r="K230" i="3"/>
  <c r="P63" i="3"/>
  <c r="J171" i="3"/>
  <c r="AO68" i="3"/>
  <c r="AN60" i="3"/>
  <c r="AE27" i="3"/>
  <c r="AH43" i="3"/>
  <c r="AO135" i="3"/>
  <c r="M138" i="3"/>
  <c r="AB143" i="3"/>
  <c r="R218" i="3"/>
  <c r="AF113" i="3"/>
  <c r="L122" i="3"/>
  <c r="AD130" i="3"/>
  <c r="J211" i="3"/>
  <c r="AO101" i="3"/>
  <c r="AO160" i="3"/>
  <c r="AJ213" i="3"/>
  <c r="O143" i="3"/>
  <c r="AE142" i="3"/>
  <c r="AK146" i="3"/>
  <c r="I233" i="3"/>
  <c r="P164" i="3"/>
  <c r="M168" i="3"/>
  <c r="T172" i="3"/>
  <c r="AN58" i="3"/>
  <c r="AG45" i="3"/>
  <c r="W56" i="3"/>
  <c r="I59" i="3"/>
  <c r="J168" i="3"/>
  <c r="U163" i="3"/>
  <c r="AP171" i="3"/>
  <c r="AS171" i="3"/>
  <c r="AD172" i="3"/>
  <c r="AQ68" i="3"/>
  <c r="Z169" i="3"/>
  <c r="X174" i="3"/>
  <c r="W108" i="3"/>
  <c r="AP175" i="3"/>
  <c r="AJ171" i="3"/>
  <c r="I175" i="3"/>
  <c r="AC169" i="3"/>
  <c r="H64" i="3"/>
  <c r="AS27" i="3"/>
  <c r="Z58" i="3"/>
  <c r="V173" i="3"/>
  <c r="M171" i="3"/>
  <c r="I114" i="3"/>
  <c r="AN146" i="3"/>
  <c r="AA104" i="3"/>
  <c r="AK130" i="3"/>
  <c r="J223" i="3"/>
  <c r="M104" i="3"/>
  <c r="AP143" i="3"/>
  <c r="AQ231" i="3"/>
  <c r="Y150" i="3"/>
  <c r="AE150" i="3"/>
  <c r="I142" i="3"/>
  <c r="AC220" i="3"/>
  <c r="W213" i="3"/>
  <c r="AD127" i="3"/>
  <c r="AI154" i="3"/>
  <c r="AE69" i="3"/>
  <c r="H108" i="3"/>
  <c r="I130" i="3"/>
  <c r="AL220" i="3"/>
  <c r="AE213" i="3"/>
  <c r="Z135" i="3"/>
  <c r="AC135" i="3"/>
  <c r="N227" i="3"/>
  <c r="K130" i="3"/>
  <c r="W231" i="3"/>
  <c r="AM154" i="3"/>
  <c r="F227" i="3"/>
  <c r="AP210" i="3"/>
  <c r="AC216" i="3"/>
  <c r="AI113" i="3"/>
  <c r="X132" i="3"/>
  <c r="AL145" i="3"/>
  <c r="I132" i="3"/>
  <c r="AQ143" i="3"/>
  <c r="R152" i="3"/>
  <c r="N69" i="3"/>
  <c r="AB176" i="3"/>
  <c r="Z218" i="3"/>
  <c r="O214" i="3"/>
  <c r="L118" i="3"/>
  <c r="AB214" i="3"/>
  <c r="O118" i="3"/>
  <c r="AP114" i="3"/>
  <c r="AH150" i="3"/>
  <c r="AI232" i="3"/>
  <c r="T217" i="3"/>
  <c r="K210" i="3"/>
  <c r="S111" i="3"/>
  <c r="V113" i="3"/>
  <c r="AI214" i="3"/>
  <c r="AD125" i="3"/>
  <c r="AO116" i="3"/>
  <c r="I129" i="3"/>
  <c r="G221" i="3"/>
  <c r="AP148" i="3"/>
  <c r="AC131" i="3"/>
  <c r="AM136" i="3"/>
  <c r="AC157" i="3"/>
  <c r="AB141" i="3"/>
  <c r="R158" i="3"/>
  <c r="N138" i="3"/>
  <c r="Z141" i="3"/>
  <c r="AD225" i="3"/>
  <c r="AJ233" i="3"/>
  <c r="AP160" i="3"/>
  <c r="R217" i="3"/>
  <c r="L102" i="3"/>
  <c r="AC118" i="3"/>
  <c r="AB114" i="3"/>
  <c r="AH214" i="3"/>
  <c r="AG215" i="3"/>
  <c r="AS223" i="3"/>
  <c r="Z106" i="3"/>
  <c r="AJ113" i="3"/>
  <c r="AI215" i="3"/>
  <c r="AF220" i="3"/>
  <c r="AA127" i="3"/>
  <c r="AF118" i="3"/>
  <c r="R129" i="3"/>
  <c r="V117" i="3"/>
  <c r="AB228" i="3"/>
  <c r="S132" i="3"/>
  <c r="U116" i="3"/>
  <c r="AR125" i="3"/>
  <c r="AE211" i="3"/>
  <c r="O152" i="3"/>
  <c r="U146" i="3"/>
  <c r="AM157" i="3"/>
  <c r="P136" i="3"/>
  <c r="G222" i="3"/>
  <c r="AN158" i="3"/>
  <c r="H141" i="3"/>
  <c r="Z158" i="3"/>
  <c r="AQ145" i="3"/>
  <c r="AP152" i="3"/>
  <c r="H230" i="3"/>
  <c r="T143" i="3"/>
  <c r="K155" i="3"/>
  <c r="F110" i="3"/>
  <c r="AK176" i="3"/>
  <c r="AK42" i="3"/>
  <c r="AI49" i="3"/>
  <c r="AK174" i="3"/>
  <c r="W166" i="3"/>
  <c r="W43" i="3"/>
  <c r="I63" i="3"/>
  <c r="U42" i="3"/>
  <c r="Q56" i="3"/>
  <c r="K175" i="3"/>
  <c r="X106" i="3"/>
  <c r="M154" i="3"/>
  <c r="O231" i="3"/>
  <c r="I143" i="3"/>
  <c r="U132" i="3"/>
  <c r="AR210" i="3"/>
  <c r="AO226" i="3"/>
  <c r="S176" i="3"/>
  <c r="X141" i="3"/>
  <c r="Q212" i="3"/>
  <c r="P129" i="3"/>
  <c r="AM231" i="3"/>
  <c r="AG132" i="3"/>
  <c r="J232" i="3"/>
  <c r="J232" i="2" l="1"/>
  <c r="AG132" i="2"/>
  <c r="AM231" i="2"/>
  <c r="P129" i="2"/>
  <c r="Q212" i="2"/>
  <c r="X140" i="3"/>
  <c r="X141" i="2"/>
  <c r="S176" i="2"/>
  <c r="AO226" i="2"/>
  <c r="AR210" i="2"/>
  <c r="U132" i="2"/>
  <c r="I143" i="2"/>
  <c r="O231" i="2"/>
  <c r="M153" i="3"/>
  <c r="M153" i="2" s="1"/>
  <c r="M154" i="2"/>
  <c r="X105" i="3"/>
  <c r="X105" i="2" s="1"/>
  <c r="X106" i="2"/>
  <c r="K175" i="2"/>
  <c r="Q55" i="3"/>
  <c r="Q55" i="2" s="1"/>
  <c r="Q56" i="2"/>
  <c r="U42" i="2"/>
  <c r="I63" i="2"/>
  <c r="W43" i="2"/>
  <c r="W166" i="2"/>
  <c r="AK174" i="2"/>
  <c r="AI49" i="2"/>
  <c r="AK42" i="2"/>
  <c r="AK176" i="2"/>
  <c r="F110" i="2"/>
  <c r="K155" i="2"/>
  <c r="T143" i="2"/>
  <c r="H230" i="2"/>
  <c r="AP151" i="3"/>
  <c r="AP151" i="2" s="1"/>
  <c r="AP152" i="2"/>
  <c r="AQ144" i="3"/>
  <c r="AQ144" i="2" s="1"/>
  <c r="AQ145" i="2"/>
  <c r="Z158" i="2"/>
  <c r="H140" i="3"/>
  <c r="H141" i="2"/>
  <c r="AN158" i="2"/>
  <c r="G222" i="2"/>
  <c r="P136" i="2"/>
  <c r="AM156" i="3"/>
  <c r="AM156" i="2" s="1"/>
  <c r="AM157" i="2"/>
  <c r="U146" i="2"/>
  <c r="O151" i="3"/>
  <c r="O151" i="2" s="1"/>
  <c r="O152" i="2"/>
  <c r="AE211" i="2"/>
  <c r="AR125" i="2"/>
  <c r="U115" i="3"/>
  <c r="U115" i="2" s="1"/>
  <c r="U116" i="2"/>
  <c r="S132" i="2"/>
  <c r="AB228" i="2"/>
  <c r="V117" i="2"/>
  <c r="R129" i="2"/>
  <c r="AF118" i="2"/>
  <c r="AA126" i="3"/>
  <c r="AA126" i="2" s="1"/>
  <c r="AA127" i="2"/>
  <c r="AF219" i="3"/>
  <c r="AF220" i="2"/>
  <c r="AI215" i="2"/>
  <c r="AJ112" i="3"/>
  <c r="AJ112" i="2" s="1"/>
  <c r="AJ113" i="2"/>
  <c r="Z105" i="3"/>
  <c r="Z105" i="2" s="1"/>
  <c r="Z106" i="2"/>
  <c r="AS223" i="2"/>
  <c r="AG215" i="2"/>
  <c r="AH214" i="2"/>
  <c r="AB114" i="2"/>
  <c r="AC118" i="2"/>
  <c r="L102" i="2"/>
  <c r="R217" i="2"/>
  <c r="AP160" i="2"/>
  <c r="AJ233" i="2"/>
  <c r="AD225" i="2"/>
  <c r="Z140" i="3"/>
  <c r="Z141" i="2"/>
  <c r="N137" i="3"/>
  <c r="N137" i="2" s="1"/>
  <c r="N138" i="2"/>
  <c r="R158" i="2"/>
  <c r="AB140" i="3"/>
  <c r="AB141" i="2"/>
  <c r="AC156" i="3"/>
  <c r="AC156" i="2" s="1"/>
  <c r="AC157" i="2"/>
  <c r="AM136" i="2"/>
  <c r="AC131" i="2"/>
  <c r="AP148" i="2"/>
  <c r="G221" i="2"/>
  <c r="I129" i="2"/>
  <c r="AO115" i="3"/>
  <c r="AO115" i="2" s="1"/>
  <c r="AO116" i="2"/>
  <c r="AD125" i="2"/>
  <c r="AI214" i="2"/>
  <c r="V112" i="3"/>
  <c r="V112" i="2" s="1"/>
  <c r="V113" i="2"/>
  <c r="S111" i="2"/>
  <c r="K210" i="2"/>
  <c r="T217" i="2"/>
  <c r="AI232" i="2"/>
  <c r="AH149" i="3"/>
  <c r="AH149" i="2" s="1"/>
  <c r="AH150" i="2"/>
  <c r="AP114" i="2"/>
  <c r="O118" i="2"/>
  <c r="AB214" i="2"/>
  <c r="L118" i="2"/>
  <c r="O214" i="2"/>
  <c r="Z218" i="2"/>
  <c r="AB176" i="2"/>
  <c r="N69" i="2"/>
  <c r="R151" i="3"/>
  <c r="R151" i="2" s="1"/>
  <c r="R152" i="2"/>
  <c r="AQ143" i="2"/>
  <c r="I132" i="2"/>
  <c r="AL144" i="3"/>
  <c r="AL144" i="2" s="1"/>
  <c r="AL145" i="2"/>
  <c r="X132" i="2"/>
  <c r="AI112" i="3"/>
  <c r="AI112" i="2" s="1"/>
  <c r="AI113" i="2"/>
  <c r="AC216" i="2"/>
  <c r="AP210" i="2"/>
  <c r="F227" i="2"/>
  <c r="AM153" i="3"/>
  <c r="AM153" i="2" s="1"/>
  <c r="AM154" i="2"/>
  <c r="W231" i="2"/>
  <c r="K130" i="2"/>
  <c r="N227" i="2"/>
  <c r="AC134" i="3"/>
  <c r="AC134" i="2" s="1"/>
  <c r="AC135" i="2"/>
  <c r="Z134" i="3"/>
  <c r="Z134" i="2" s="1"/>
  <c r="Z135" i="2"/>
  <c r="AE213" i="2"/>
  <c r="AL219" i="3"/>
  <c r="AL220" i="2"/>
  <c r="I130" i="2"/>
  <c r="H107" i="3"/>
  <c r="H107" i="2" s="1"/>
  <c r="H108" i="2"/>
  <c r="AE69" i="2"/>
  <c r="AI153" i="3"/>
  <c r="AI153" i="2" s="1"/>
  <c r="AI154" i="2"/>
  <c r="AD126" i="3"/>
  <c r="AD126" i="2" s="1"/>
  <c r="AD127" i="2"/>
  <c r="W213" i="2"/>
  <c r="AC219" i="3"/>
  <c r="AC220" i="2"/>
  <c r="I142" i="2"/>
  <c r="AE149" i="3"/>
  <c r="AE149" i="2" s="1"/>
  <c r="AE150" i="2"/>
  <c r="Y149" i="3"/>
  <c r="Y149" i="2" s="1"/>
  <c r="Y150" i="2"/>
  <c r="AQ231" i="2"/>
  <c r="AP143" i="2"/>
  <c r="M104" i="2"/>
  <c r="J223" i="2"/>
  <c r="AK130" i="2"/>
  <c r="AA104" i="2"/>
  <c r="AN146" i="2"/>
  <c r="I114" i="2"/>
  <c r="M171" i="2"/>
  <c r="V173" i="2"/>
  <c r="Z57" i="3"/>
  <c r="Z57" i="2" s="1"/>
  <c r="Z58" i="2"/>
  <c r="AS26" i="3"/>
  <c r="AS27" i="2"/>
  <c r="H64" i="2"/>
  <c r="AC169" i="2"/>
  <c r="I175" i="2"/>
  <c r="AJ171" i="2"/>
  <c r="AP175" i="2"/>
  <c r="W107" i="3"/>
  <c r="W107" i="2" s="1"/>
  <c r="W108" i="2"/>
  <c r="X174" i="2"/>
  <c r="Z169" i="2"/>
  <c r="AQ68" i="2"/>
  <c r="AD172" i="2"/>
  <c r="AS171" i="2"/>
  <c r="AP171" i="2"/>
  <c r="U163" i="2"/>
  <c r="J168" i="2"/>
  <c r="I59" i="2"/>
  <c r="W55" i="3"/>
  <c r="W55" i="2" s="1"/>
  <c r="W56" i="2"/>
  <c r="AG44" i="3"/>
  <c r="AG44" i="2" s="1"/>
  <c r="AG45" i="2"/>
  <c r="AN57" i="3"/>
  <c r="AN57" i="2" s="1"/>
  <c r="AN58" i="2"/>
  <c r="T172" i="2"/>
  <c r="M168" i="2"/>
  <c r="P164" i="2"/>
  <c r="I233" i="2"/>
  <c r="AK146" i="2"/>
  <c r="AE142" i="2"/>
  <c r="O143" i="2"/>
  <c r="AJ213" i="2"/>
  <c r="AO160" i="2"/>
  <c r="AO100" i="3"/>
  <c r="AO101" i="2"/>
  <c r="J211" i="2"/>
  <c r="AD130" i="2"/>
  <c r="L121" i="3"/>
  <c r="L122" i="2"/>
  <c r="AF112" i="3"/>
  <c r="AF112" i="2" s="1"/>
  <c r="AF113" i="2"/>
  <c r="R218" i="2"/>
  <c r="AB143" i="2"/>
  <c r="M137" i="3"/>
  <c r="M137" i="2" s="1"/>
  <c r="M138" i="2"/>
  <c r="AO134" i="3"/>
  <c r="AO134" i="2" s="1"/>
  <c r="AO135" i="2"/>
  <c r="AH43" i="2"/>
  <c r="AE26" i="3"/>
  <c r="AE27" i="2"/>
  <c r="AN60" i="2"/>
  <c r="AO68" i="2"/>
  <c r="J171" i="2"/>
  <c r="P63" i="2"/>
  <c r="K230" i="2"/>
  <c r="K149" i="3"/>
  <c r="K149" i="2" s="1"/>
  <c r="K150" i="2"/>
  <c r="AP225" i="2"/>
  <c r="AR151" i="3"/>
  <c r="AR151" i="2" s="1"/>
  <c r="AR152" i="2"/>
  <c r="Y143" i="2"/>
  <c r="AH143" i="2"/>
  <c r="M133" i="2"/>
  <c r="AP147" i="2"/>
  <c r="AQ130" i="2"/>
  <c r="AK148" i="2"/>
  <c r="AN232" i="2"/>
  <c r="AL132" i="2"/>
  <c r="AN131" i="2"/>
  <c r="U228" i="2"/>
  <c r="S218" i="2"/>
  <c r="P123" i="3"/>
  <c r="P123" i="2" s="1"/>
  <c r="P124" i="2"/>
  <c r="AS126" i="3"/>
  <c r="AS126" i="2" s="1"/>
  <c r="AS127" i="2"/>
  <c r="V229" i="2"/>
  <c r="AF226" i="2"/>
  <c r="AL133" i="2"/>
  <c r="L117" i="2"/>
  <c r="AH126" i="3"/>
  <c r="AH126" i="2" s="1"/>
  <c r="AH127" i="2"/>
  <c r="AN126" i="3"/>
  <c r="AN126" i="2" s="1"/>
  <c r="AN127" i="2"/>
  <c r="G111" i="2"/>
  <c r="L136" i="2"/>
  <c r="AJ223" i="2"/>
  <c r="Z215" i="2"/>
  <c r="Y117" i="2"/>
  <c r="I103" i="2"/>
  <c r="AC226" i="2"/>
  <c r="AS125" i="2"/>
  <c r="AN216" i="2"/>
  <c r="T119" i="2"/>
  <c r="AP38" i="2"/>
  <c r="F174" i="2"/>
  <c r="AO69" i="2"/>
  <c r="AS155" i="2"/>
  <c r="AH225" i="2"/>
  <c r="Q146" i="2"/>
  <c r="O211" i="2"/>
  <c r="AP156" i="3"/>
  <c r="AP156" i="2" s="1"/>
  <c r="AP157" i="2"/>
  <c r="T211" i="2"/>
  <c r="AF229" i="2"/>
  <c r="Z126" i="3"/>
  <c r="Z126" i="2" s="1"/>
  <c r="Z127" i="2"/>
  <c r="J117" i="2"/>
  <c r="AS103" i="2"/>
  <c r="R105" i="3"/>
  <c r="R105" i="2" s="1"/>
  <c r="R106" i="2"/>
  <c r="AF107" i="3"/>
  <c r="AF107" i="2" s="1"/>
  <c r="AF108" i="2"/>
  <c r="AA144" i="3"/>
  <c r="AA144" i="2" s="1"/>
  <c r="AA145" i="2"/>
  <c r="W225" i="2"/>
  <c r="AC149" i="3"/>
  <c r="AC149" i="2" s="1"/>
  <c r="AC150" i="2"/>
  <c r="AO137" i="3"/>
  <c r="AO137" i="2" s="1"/>
  <c r="AO138" i="2"/>
  <c r="AS128" i="2"/>
  <c r="S105" i="3"/>
  <c r="S105" i="2" s="1"/>
  <c r="S106" i="2"/>
  <c r="W228" i="2"/>
  <c r="AD102" i="2"/>
  <c r="L217" i="2"/>
  <c r="AL233" i="2"/>
  <c r="F213" i="2"/>
  <c r="AR233" i="2"/>
  <c r="AD232" i="2"/>
  <c r="N231" i="2"/>
  <c r="AI136" i="2"/>
  <c r="G140" i="3"/>
  <c r="G141" i="2"/>
  <c r="AC129" i="2"/>
  <c r="AG130" i="2"/>
  <c r="V115" i="3"/>
  <c r="V115" i="2" s="1"/>
  <c r="V116" i="2"/>
  <c r="AK210" i="2"/>
  <c r="AE105" i="3"/>
  <c r="AE105" i="2" s="1"/>
  <c r="AE106" i="2"/>
  <c r="I223" i="2"/>
  <c r="P216" i="2"/>
  <c r="Y104" i="2"/>
  <c r="AG153" i="3"/>
  <c r="AG153" i="2" s="1"/>
  <c r="AG154" i="2"/>
  <c r="V232" i="2"/>
  <c r="AB227" i="2"/>
  <c r="AA136" i="2"/>
  <c r="AG136" i="2"/>
  <c r="H229" i="2"/>
  <c r="X130" i="2"/>
  <c r="AN142" i="2"/>
  <c r="AM129" i="2"/>
  <c r="AS233" i="2"/>
  <c r="H38" i="2"/>
  <c r="H132" i="2"/>
  <c r="M132" i="2"/>
  <c r="J228" i="2"/>
  <c r="U128" i="2"/>
  <c r="L100" i="3"/>
  <c r="L101" i="2"/>
  <c r="AR134" i="3"/>
  <c r="AR134" i="2" s="1"/>
  <c r="AR135" i="2"/>
  <c r="AL117" i="2"/>
  <c r="P125" i="2"/>
  <c r="AP102" i="2"/>
  <c r="AK215" i="2"/>
  <c r="Q69" i="2"/>
  <c r="G210" i="2"/>
  <c r="X210" i="2"/>
  <c r="AI63" i="2"/>
  <c r="R46" i="2"/>
  <c r="V32" i="2"/>
  <c r="J217" i="2"/>
  <c r="Y61" i="3"/>
  <c r="Y61" i="2" s="1"/>
  <c r="Y62" i="2"/>
  <c r="AS43" i="2"/>
  <c r="AB55" i="3"/>
  <c r="AB55" i="2" s="1"/>
  <c r="AB56" i="2"/>
  <c r="Y173" i="2"/>
  <c r="G49" i="2"/>
  <c r="T175" i="2"/>
  <c r="Q169" i="2"/>
  <c r="AR164" i="2"/>
  <c r="AI36" i="3"/>
  <c r="AI36" i="2" s="1"/>
  <c r="AI37" i="2"/>
  <c r="I50" i="3"/>
  <c r="I50" i="2" s="1"/>
  <c r="I51" i="2"/>
  <c r="X32" i="2"/>
  <c r="AK68" i="2"/>
  <c r="AA55" i="3"/>
  <c r="AA55" i="2" s="1"/>
  <c r="AA56" i="2"/>
  <c r="M44" i="3"/>
  <c r="M44" i="2" s="1"/>
  <c r="M45" i="2"/>
  <c r="X224" i="2"/>
  <c r="AK50" i="3"/>
  <c r="AK50" i="2" s="1"/>
  <c r="AK51" i="2"/>
  <c r="R61" i="3"/>
  <c r="R61" i="2" s="1"/>
  <c r="R62" i="2"/>
  <c r="AN119" i="2"/>
  <c r="W38" i="2"/>
  <c r="AL225" i="2"/>
  <c r="I225" i="2"/>
  <c r="AI105" i="3"/>
  <c r="AI105" i="2" s="1"/>
  <c r="AI106" i="2"/>
  <c r="AG105" i="3"/>
  <c r="AG105" i="2" s="1"/>
  <c r="AG106" i="2"/>
  <c r="AB109" i="2"/>
  <c r="P156" i="3"/>
  <c r="P156" i="2" s="1"/>
  <c r="P157" i="2"/>
  <c r="J143" i="2"/>
  <c r="H126" i="3"/>
  <c r="H126" i="2" s="1"/>
  <c r="H127" i="2"/>
  <c r="AE216" i="2"/>
  <c r="M227" i="2"/>
  <c r="I217" i="2"/>
  <c r="J140" i="3"/>
  <c r="J141" i="2"/>
  <c r="AQ118" i="2"/>
  <c r="AB100" i="3"/>
  <c r="AB101" i="2"/>
  <c r="O232" i="2"/>
  <c r="V143" i="2"/>
  <c r="J153" i="3"/>
  <c r="J153" i="2" s="1"/>
  <c r="J154" i="2"/>
  <c r="AK224" i="2"/>
  <c r="AA153" i="3"/>
  <c r="AA153" i="2" s="1"/>
  <c r="AA154" i="2"/>
  <c r="AH153" i="3"/>
  <c r="AH153" i="2" s="1"/>
  <c r="AH154" i="2"/>
  <c r="L128" i="2"/>
  <c r="AP111" i="2"/>
  <c r="AD169" i="2"/>
  <c r="AH173" i="2"/>
  <c r="I155" i="2"/>
  <c r="AD140" i="3"/>
  <c r="AD141" i="2"/>
  <c r="O155" i="2"/>
  <c r="P143" i="2"/>
  <c r="AR225" i="2"/>
  <c r="P153" i="3"/>
  <c r="P153" i="2" s="1"/>
  <c r="P154" i="2"/>
  <c r="AP222" i="2"/>
  <c r="AP136" i="2"/>
  <c r="AK227" i="2"/>
  <c r="AB137" i="3"/>
  <c r="AB137" i="2" s="1"/>
  <c r="AB138" i="2"/>
  <c r="AO143" i="2"/>
  <c r="AH133" i="2"/>
  <c r="AK151" i="3"/>
  <c r="AK151" i="2" s="1"/>
  <c r="AK152" i="2"/>
  <c r="G143" i="2"/>
  <c r="AL218" i="2"/>
  <c r="K227" i="2"/>
  <c r="AN221" i="2"/>
  <c r="Q123" i="3"/>
  <c r="Q123" i="2" s="1"/>
  <c r="Q124" i="2"/>
  <c r="P137" i="3"/>
  <c r="P137" i="2" s="1"/>
  <c r="P138" i="2"/>
  <c r="AJ126" i="3"/>
  <c r="AJ126" i="2" s="1"/>
  <c r="AJ127" i="2"/>
  <c r="AS123" i="3"/>
  <c r="AS123" i="2" s="1"/>
  <c r="AS124" i="2"/>
  <c r="L229" i="2"/>
  <c r="I134" i="3"/>
  <c r="I134" i="2" s="1"/>
  <c r="I135" i="2"/>
  <c r="G219" i="3"/>
  <c r="G220" i="2"/>
  <c r="H104" i="2"/>
  <c r="AL129" i="2"/>
  <c r="AP110" i="2"/>
  <c r="AQ103" i="2"/>
  <c r="G212" i="2"/>
  <c r="I214" i="2"/>
  <c r="K213" i="2"/>
  <c r="AI123" i="3"/>
  <c r="AI123" i="2" s="1"/>
  <c r="AI124" i="2"/>
  <c r="T233" i="2"/>
  <c r="AP176" i="2"/>
  <c r="F166" i="2"/>
  <c r="S233" i="2"/>
  <c r="AN227" i="2"/>
  <c r="J155" i="2"/>
  <c r="AI156" i="3"/>
  <c r="AI156" i="2" s="1"/>
  <c r="AI157" i="2"/>
  <c r="AC227" i="2"/>
  <c r="L153" i="3"/>
  <c r="L153" i="2" s="1"/>
  <c r="L154" i="2"/>
  <c r="AI137" i="3"/>
  <c r="AI137" i="2" s="1"/>
  <c r="AI138" i="2"/>
  <c r="AS129" i="2"/>
  <c r="AM131" i="2"/>
  <c r="AM133" i="2"/>
  <c r="R215" i="2"/>
  <c r="AH223" i="2"/>
  <c r="AB128" i="2"/>
  <c r="AD215" i="2"/>
  <c r="AF216" i="2"/>
  <c r="AP217" i="2"/>
  <c r="L156" i="3"/>
  <c r="L156" i="2" s="1"/>
  <c r="L157" i="2"/>
  <c r="AO142" i="2"/>
  <c r="AS231" i="2"/>
  <c r="T222" i="2"/>
  <c r="AA130" i="2"/>
  <c r="AI148" i="2"/>
  <c r="AB125" i="2"/>
  <c r="AS121" i="3"/>
  <c r="AS122" i="2"/>
  <c r="AN228" i="2"/>
  <c r="AL100" i="3"/>
  <c r="AL101" i="2"/>
  <c r="AR107" i="3"/>
  <c r="AR107" i="2" s="1"/>
  <c r="AR108" i="2"/>
  <c r="R214" i="2"/>
  <c r="AB69" i="2"/>
  <c r="AA233" i="2"/>
  <c r="N225" i="2"/>
  <c r="AE140" i="3"/>
  <c r="AE141" i="2"/>
  <c r="X142" i="2"/>
  <c r="AO149" i="3"/>
  <c r="AO149" i="2" s="1"/>
  <c r="AO150" i="2"/>
  <c r="X147" i="2"/>
  <c r="AM104" i="2"/>
  <c r="S216" i="2"/>
  <c r="AP229" i="2"/>
  <c r="L146" i="2"/>
  <c r="AR229" i="2"/>
  <c r="AC128" i="2"/>
  <c r="Y233" i="2"/>
  <c r="AP230" i="2"/>
  <c r="Q211" i="2"/>
  <c r="AJ117" i="2"/>
  <c r="L110" i="2"/>
  <c r="AL118" i="2"/>
  <c r="I100" i="3"/>
  <c r="I101" i="2"/>
  <c r="AG221" i="2"/>
  <c r="Q227" i="2"/>
  <c r="R219" i="3"/>
  <c r="R220" i="2"/>
  <c r="T212" i="2"/>
  <c r="AB223" i="2"/>
  <c r="K32" i="2"/>
  <c r="AO28" i="2"/>
  <c r="AI172" i="2"/>
  <c r="P59" i="2"/>
  <c r="L163" i="2"/>
  <c r="W63" i="2"/>
  <c r="W26" i="3"/>
  <c r="W27" i="2"/>
  <c r="AO67" i="2"/>
  <c r="AD55" i="3"/>
  <c r="AD55" i="2" s="1"/>
  <c r="AD56" i="2"/>
  <c r="AQ32" i="2"/>
  <c r="I28" i="2"/>
  <c r="AP36" i="3"/>
  <c r="AP36" i="2" s="1"/>
  <c r="AP37" i="2"/>
  <c r="K35" i="2"/>
  <c r="AS42" i="2"/>
  <c r="AR36" i="3"/>
  <c r="AR36" i="2" s="1"/>
  <c r="AR37" i="2"/>
  <c r="M174" i="2"/>
  <c r="AM167" i="2"/>
  <c r="AJ26" i="3"/>
  <c r="AJ27" i="2"/>
  <c r="Y40" i="3"/>
  <c r="Y41" i="2"/>
  <c r="O40" i="3"/>
  <c r="O41" i="2"/>
  <c r="AI50" i="3"/>
  <c r="AI50" i="2" s="1"/>
  <c r="AI51" i="2"/>
  <c r="U170" i="2"/>
  <c r="T60" i="2"/>
  <c r="L35" i="2"/>
  <c r="F40" i="3"/>
  <c r="F41" i="2"/>
  <c r="AF134" i="3"/>
  <c r="AF134" i="2" s="1"/>
  <c r="AF135" i="2"/>
  <c r="G147" i="2"/>
  <c r="AL149" i="3"/>
  <c r="AL149" i="2" s="1"/>
  <c r="AL150" i="2"/>
  <c r="AA129" i="2"/>
  <c r="AF111" i="2"/>
  <c r="AS112" i="3"/>
  <c r="AS112" i="2" s="1"/>
  <c r="AS113" i="2"/>
  <c r="F233" i="2"/>
  <c r="S227" i="2"/>
  <c r="AL123" i="3"/>
  <c r="AL123" i="2" s="1"/>
  <c r="AL124" i="2"/>
  <c r="Y231" i="2"/>
  <c r="AA137" i="3"/>
  <c r="AA137" i="2" s="1"/>
  <c r="AA138" i="2"/>
  <c r="AH228" i="2"/>
  <c r="V211" i="2"/>
  <c r="AC213" i="2"/>
  <c r="Z100" i="3"/>
  <c r="Z101" i="2"/>
  <c r="G153" i="3"/>
  <c r="G153" i="2" s="1"/>
  <c r="G154" i="2"/>
  <c r="H125" i="2"/>
  <c r="AJ111" i="2"/>
  <c r="N61" i="3"/>
  <c r="N61" i="2" s="1"/>
  <c r="N62" i="2"/>
  <c r="J44" i="3"/>
  <c r="J44" i="2" s="1"/>
  <c r="J45" i="2"/>
  <c r="N165" i="2"/>
  <c r="U43" i="2"/>
  <c r="U44" i="3"/>
  <c r="U44" i="2" s="1"/>
  <c r="U45" i="2"/>
  <c r="AD44" i="3"/>
  <c r="AD44" i="2" s="1"/>
  <c r="AD45" i="2"/>
  <c r="AK167" i="2"/>
  <c r="V28" i="2"/>
  <c r="X233" i="2"/>
  <c r="F167" i="2"/>
  <c r="F64" i="2"/>
  <c r="I230" i="2"/>
  <c r="AB156" i="3"/>
  <c r="AB156" i="2" s="1"/>
  <c r="AB157" i="2"/>
  <c r="AC147" i="2"/>
  <c r="O230" i="2"/>
  <c r="O149" i="3"/>
  <c r="O149" i="2" s="1"/>
  <c r="O150" i="2"/>
  <c r="W140" i="3"/>
  <c r="W141" i="2"/>
  <c r="U140" i="3"/>
  <c r="U141" i="2"/>
  <c r="V156" i="3"/>
  <c r="V156" i="2" s="1"/>
  <c r="V157" i="2"/>
  <c r="T158" i="2"/>
  <c r="W153" i="3"/>
  <c r="W153" i="2" s="1"/>
  <c r="W154" i="2"/>
  <c r="AK225" i="2"/>
  <c r="K148" i="2"/>
  <c r="AD136" i="2"/>
  <c r="AE112" i="3"/>
  <c r="AE112" i="2" s="1"/>
  <c r="AE113" i="2"/>
  <c r="P130" i="2"/>
  <c r="R125" i="2"/>
  <c r="Q134" i="3"/>
  <c r="Q134" i="2" s="1"/>
  <c r="Q135" i="2"/>
  <c r="M117" i="2"/>
  <c r="M131" i="2"/>
  <c r="G125" i="2"/>
  <c r="AG117" i="2"/>
  <c r="H213" i="2"/>
  <c r="AG126" i="3"/>
  <c r="AG126" i="2" s="1"/>
  <c r="AG127" i="2"/>
  <c r="AI110" i="2"/>
  <c r="AR103" i="2"/>
  <c r="AQ214" i="2"/>
  <c r="AS217" i="2"/>
  <c r="AO112" i="3"/>
  <c r="AO112" i="2" s="1"/>
  <c r="AO113" i="2"/>
  <c r="Q229" i="2"/>
  <c r="U215" i="2"/>
  <c r="F176" i="2"/>
  <c r="AO38" i="2"/>
  <c r="AO158" i="2"/>
  <c r="AI231" i="2"/>
  <c r="N143" i="2"/>
  <c r="AC151" i="3"/>
  <c r="AC151" i="2" s="1"/>
  <c r="AC152" i="2"/>
  <c r="AD134" i="3"/>
  <c r="AD134" i="2" s="1"/>
  <c r="AD135" i="2"/>
  <c r="W227" i="2"/>
  <c r="M228" i="2"/>
  <c r="AM229" i="2"/>
  <c r="AP228" i="2"/>
  <c r="H146" i="2"/>
  <c r="AR123" i="3"/>
  <c r="AR123" i="2" s="1"/>
  <c r="AR124" i="2"/>
  <c r="Y112" i="3"/>
  <c r="Y112" i="2" s="1"/>
  <c r="Y113" i="2"/>
  <c r="J107" i="3"/>
  <c r="J107" i="2" s="1"/>
  <c r="J108" i="2"/>
  <c r="AO229" i="2"/>
  <c r="AD115" i="3"/>
  <c r="AD115" i="2" s="1"/>
  <c r="AD116" i="2"/>
  <c r="Z151" i="3"/>
  <c r="Z151" i="2" s="1"/>
  <c r="Z152" i="2"/>
  <c r="AS211" i="2"/>
  <c r="P134" i="3"/>
  <c r="P134" i="2" s="1"/>
  <c r="P135" i="2"/>
  <c r="Z147" i="2"/>
  <c r="AQ112" i="3"/>
  <c r="AQ112" i="2" s="1"/>
  <c r="AQ113" i="2"/>
  <c r="S228" i="2"/>
  <c r="AL160" i="2"/>
  <c r="AM176" i="2"/>
  <c r="AC158" i="2"/>
  <c r="I147" i="2"/>
  <c r="U231" i="2"/>
  <c r="AB151" i="3"/>
  <c r="AB151" i="2" s="1"/>
  <c r="AB152" i="2"/>
  <c r="AM126" i="3"/>
  <c r="AM126" i="2" s="1"/>
  <c r="AM127" i="2"/>
  <c r="G223" i="2"/>
  <c r="AO221" i="2"/>
  <c r="K215" i="2"/>
  <c r="G228" i="2"/>
  <c r="AL146" i="2"/>
  <c r="AQ147" i="2"/>
  <c r="AS133" i="2"/>
  <c r="T221" i="2"/>
  <c r="AF158" i="2"/>
  <c r="W105" i="3"/>
  <c r="W105" i="2" s="1"/>
  <c r="W106" i="2"/>
  <c r="V176" i="2"/>
  <c r="W147" i="2"/>
  <c r="AF222" i="2"/>
  <c r="AO225" i="2"/>
  <c r="X155" i="2"/>
  <c r="AQ210" i="2"/>
  <c r="Y216" i="2"/>
  <c r="AR140" i="3"/>
  <c r="AR141" i="2"/>
  <c r="O213" i="2"/>
  <c r="AE109" i="2"/>
  <c r="V214" i="2"/>
  <c r="R230" i="2"/>
  <c r="N221" i="2"/>
  <c r="AL231" i="2"/>
  <c r="T229" i="2"/>
  <c r="O111" i="2"/>
  <c r="Y212" i="2"/>
  <c r="AR112" i="3"/>
  <c r="AR112" i="2" s="1"/>
  <c r="AR113" i="2"/>
  <c r="AR104" i="2"/>
  <c r="AS68" i="2"/>
  <c r="X172" i="2"/>
  <c r="AN174" i="2"/>
  <c r="AD170" i="2"/>
  <c r="Q173" i="2"/>
  <c r="AK47" i="3"/>
  <c r="AK47" i="2" s="1"/>
  <c r="AK48" i="2"/>
  <c r="O167" i="2"/>
  <c r="AR40" i="3"/>
  <c r="AR41" i="2"/>
  <c r="O32" i="2"/>
  <c r="Y167" i="2"/>
  <c r="P35" i="2"/>
  <c r="AS174" i="2"/>
  <c r="AH172" i="2"/>
  <c r="AC59" i="2"/>
  <c r="I163" i="2"/>
  <c r="W171" i="2"/>
  <c r="AN63" i="2"/>
  <c r="W46" i="2"/>
  <c r="AB68" i="2"/>
  <c r="P40" i="3"/>
  <c r="P41" i="2"/>
  <c r="AF61" i="3"/>
  <c r="AF61" i="2" s="1"/>
  <c r="AF62" i="2"/>
  <c r="W65" i="3"/>
  <c r="W65" i="2" s="1"/>
  <c r="W66" i="2"/>
  <c r="AB30" i="3"/>
  <c r="AB30" i="2" s="1"/>
  <c r="AB31" i="2"/>
  <c r="S167" i="2"/>
  <c r="AC35" i="2"/>
  <c r="AL30" i="3"/>
  <c r="AL30" i="2" s="1"/>
  <c r="AL31" i="2"/>
  <c r="AF166" i="2"/>
  <c r="AS110" i="2"/>
  <c r="U171" i="2"/>
  <c r="AF173" i="2"/>
  <c r="G176" i="2"/>
  <c r="L69" i="2"/>
  <c r="AQ176" i="2"/>
  <c r="F172" i="2"/>
  <c r="AB231" i="2"/>
  <c r="AC222" i="2"/>
  <c r="S155" i="2"/>
  <c r="AH140" i="3"/>
  <c r="AH141" i="2"/>
  <c r="AD148" i="2"/>
  <c r="AM148" i="2"/>
  <c r="V231" i="2"/>
  <c r="AC144" i="3"/>
  <c r="AC144" i="2" s="1"/>
  <c r="AC145" i="2"/>
  <c r="O134" i="3"/>
  <c r="O134" i="2" s="1"/>
  <c r="O135" i="2"/>
  <c r="T232" i="2"/>
  <c r="AI146" i="2"/>
  <c r="AL134" i="3"/>
  <c r="AL134" i="2" s="1"/>
  <c r="AL135" i="2"/>
  <c r="AM140" i="3"/>
  <c r="AM141" i="2"/>
  <c r="G218" i="2"/>
  <c r="AA156" i="3"/>
  <c r="AA156" i="2" s="1"/>
  <c r="AA157" i="2"/>
  <c r="H130" i="2"/>
  <c r="AE223" i="2"/>
  <c r="J118" i="2"/>
  <c r="P131" i="2"/>
  <c r="I125" i="2"/>
  <c r="M229" i="2"/>
  <c r="M221" i="2"/>
  <c r="R121" i="3"/>
  <c r="R122" i="2"/>
  <c r="V114" i="2"/>
  <c r="L131" i="2"/>
  <c r="AG229" i="2"/>
  <c r="Y109" i="2"/>
  <c r="AR214" i="2"/>
  <c r="N118" i="2"/>
  <c r="O109" i="2"/>
  <c r="S100" i="3"/>
  <c r="S101" i="2"/>
  <c r="AC212" i="2"/>
  <c r="AC110" i="2"/>
  <c r="T160" i="2"/>
  <c r="AP69" i="2"/>
  <c r="U222" i="2"/>
  <c r="AS158" i="2"/>
  <c r="Y222" i="2"/>
  <c r="K231" i="2"/>
  <c r="J149" i="3"/>
  <c r="J149" i="2" s="1"/>
  <c r="J150" i="2"/>
  <c r="Q231" i="2"/>
  <c r="R128" i="2"/>
  <c r="G130" i="2"/>
  <c r="AR110" i="2"/>
  <c r="Y223" i="2"/>
  <c r="AJ103" i="2"/>
  <c r="Z156" i="3"/>
  <c r="Z156" i="2" s="1"/>
  <c r="Z157" i="2"/>
  <c r="H105" i="3"/>
  <c r="H105" i="2" s="1"/>
  <c r="H106" i="2"/>
  <c r="AD228" i="2"/>
  <c r="M105" i="3"/>
  <c r="M105" i="2" s="1"/>
  <c r="M106" i="2"/>
  <c r="AK155" i="2"/>
  <c r="Z225" i="2"/>
  <c r="G146" i="2"/>
  <c r="AE231" i="2"/>
  <c r="R156" i="3"/>
  <c r="R156" i="2" s="1"/>
  <c r="R157" i="2"/>
  <c r="AE136" i="2"/>
  <c r="AL121" i="3"/>
  <c r="AL122" i="2"/>
  <c r="AA221" i="2"/>
  <c r="Z112" i="3"/>
  <c r="Z112" i="2" s="1"/>
  <c r="Z113" i="2"/>
  <c r="J102" i="2"/>
  <c r="AJ100" i="3"/>
  <c r="AJ101" i="2"/>
  <c r="AC217" i="2"/>
  <c r="AF214" i="2"/>
  <c r="L215" i="2"/>
  <c r="AR147" i="2"/>
  <c r="G227" i="2"/>
  <c r="AL147" i="2"/>
  <c r="N218" i="2"/>
  <c r="W117" i="2"/>
  <c r="AS132" i="2"/>
  <c r="Z228" i="2"/>
  <c r="U130" i="2"/>
  <c r="AP112" i="3"/>
  <c r="AP112" i="2" s="1"/>
  <c r="AP113" i="2"/>
  <c r="V102" i="2"/>
  <c r="G214" i="2"/>
  <c r="U230" i="2"/>
  <c r="S232" i="2"/>
  <c r="AD222" i="2"/>
  <c r="O136" i="2"/>
  <c r="AD153" i="3"/>
  <c r="AD153" i="2" s="1"/>
  <c r="AD154" i="2"/>
  <c r="AL213" i="2"/>
  <c r="Y224" i="2"/>
  <c r="T133" i="2"/>
  <c r="W126" i="3"/>
  <c r="W126" i="2" s="1"/>
  <c r="W127" i="2"/>
  <c r="O123" i="3"/>
  <c r="O123" i="2" s="1"/>
  <c r="O124" i="2"/>
  <c r="L144" i="3"/>
  <c r="L144" i="2" s="1"/>
  <c r="L145" i="2"/>
  <c r="AD104" i="2"/>
  <c r="AS147" i="2"/>
  <c r="AJ155" i="2"/>
  <c r="O146" i="2"/>
  <c r="AQ146" i="2"/>
  <c r="L111" i="2"/>
  <c r="S221" i="2"/>
  <c r="G215" i="2"/>
  <c r="Z219" i="3"/>
  <c r="Z220" i="2"/>
  <c r="K119" i="2"/>
  <c r="AR126" i="3"/>
  <c r="AR126" i="2" s="1"/>
  <c r="AR127" i="2"/>
  <c r="Q175" i="2"/>
  <c r="K33" i="3"/>
  <c r="K33" i="2" s="1"/>
  <c r="K34" i="2"/>
  <c r="N28" i="2"/>
  <c r="O165" i="2"/>
  <c r="H40" i="3"/>
  <c r="H41" i="2"/>
  <c r="AM170" i="2"/>
  <c r="P33" i="3"/>
  <c r="P33" i="2" s="1"/>
  <c r="P34" i="2"/>
  <c r="AB105" i="3"/>
  <c r="AB105" i="2" s="1"/>
  <c r="AB106" i="2"/>
  <c r="AS55" i="3"/>
  <c r="AS55" i="2" s="1"/>
  <c r="AS56" i="2"/>
  <c r="U47" i="3"/>
  <c r="U47" i="2" s="1"/>
  <c r="U48" i="2"/>
  <c r="Y59" i="2"/>
  <c r="AD53" i="3"/>
  <c r="AD54" i="2"/>
  <c r="L42" i="2"/>
  <c r="S29" i="2"/>
  <c r="AG168" i="2"/>
  <c r="O129" i="2"/>
  <c r="P32" i="2"/>
  <c r="I29" i="2"/>
  <c r="AK32" i="2"/>
  <c r="W169" i="2"/>
  <c r="AI32" i="2"/>
  <c r="AS64" i="2"/>
  <c r="AI170" i="2"/>
  <c r="AS173" i="2"/>
  <c r="G35" i="2"/>
  <c r="Q40" i="3"/>
  <c r="Q41" i="2"/>
  <c r="AR46" i="2"/>
  <c r="F100" i="3"/>
  <c r="F101" i="2"/>
  <c r="H155" i="2"/>
  <c r="Z232" i="2"/>
  <c r="AN225" i="2"/>
  <c r="AB134" i="3"/>
  <c r="AB134" i="2" s="1"/>
  <c r="AB135" i="2"/>
  <c r="AQ125" i="2"/>
  <c r="N222" i="2"/>
  <c r="L224" i="2"/>
  <c r="T69" i="2"/>
  <c r="I158" i="2"/>
  <c r="AP227" i="2"/>
  <c r="AG158" i="2"/>
  <c r="O148" i="2"/>
  <c r="AA216" i="2"/>
  <c r="N133" i="2"/>
  <c r="U217" i="2"/>
  <c r="AH210" i="2"/>
  <c r="M155" i="2"/>
  <c r="S230" i="2"/>
  <c r="X156" i="3"/>
  <c r="X156" i="2" s="1"/>
  <c r="X157" i="2"/>
  <c r="AG147" i="2"/>
  <c r="AD227" i="2"/>
  <c r="W137" i="3"/>
  <c r="W137" i="2" s="1"/>
  <c r="W138" i="2"/>
  <c r="AM227" i="2"/>
  <c r="V137" i="3"/>
  <c r="V137" i="2" s="1"/>
  <c r="V138" i="2"/>
  <c r="U149" i="3"/>
  <c r="U149" i="2" s="1"/>
  <c r="U150" i="2"/>
  <c r="G132" i="2"/>
  <c r="AH227" i="2"/>
  <c r="J137" i="3"/>
  <c r="J137" i="2" s="1"/>
  <c r="J138" i="2"/>
  <c r="AA231" i="2"/>
  <c r="AS144" i="3"/>
  <c r="AS144" i="2" s="1"/>
  <c r="AS145" i="2"/>
  <c r="AN133" i="2"/>
  <c r="AN117" i="2"/>
  <c r="AG128" i="2"/>
  <c r="J226" i="2"/>
  <c r="P221" i="2"/>
  <c r="AJ121" i="3"/>
  <c r="AJ122" i="2"/>
  <c r="O131" i="2"/>
  <c r="V224" i="2"/>
  <c r="L221" i="2"/>
  <c r="Y121" i="3"/>
  <c r="Y122" i="2"/>
  <c r="Y217" i="2"/>
  <c r="Z102" i="2"/>
  <c r="I117" i="2"/>
  <c r="H109" i="2"/>
  <c r="N226" i="2"/>
  <c r="O217" i="2"/>
  <c r="P102" i="2"/>
  <c r="AQ107" i="3"/>
  <c r="AQ107" i="2" s="1"/>
  <c r="AQ108" i="2"/>
  <c r="AD129" i="2"/>
  <c r="R216" i="2"/>
  <c r="J111" i="2"/>
  <c r="R223" i="2"/>
  <c r="AE103" i="2"/>
  <c r="T38" i="2"/>
  <c r="F214" i="2"/>
  <c r="F69" i="2"/>
  <c r="AJ176" i="2"/>
  <c r="AO119" i="2"/>
  <c r="AM158" i="2"/>
  <c r="AG225" i="2"/>
  <c r="AN132" i="2"/>
  <c r="W223" i="2"/>
  <c r="T228" i="2"/>
  <c r="AB121" i="3"/>
  <c r="AB122" i="2"/>
  <c r="W226" i="2"/>
  <c r="AE133" i="2"/>
  <c r="J132" i="2"/>
  <c r="Q114" i="2"/>
  <c r="AD223" i="2"/>
  <c r="U102" i="2"/>
  <c r="AK230" i="2"/>
  <c r="AF227" i="2"/>
  <c r="R148" i="2"/>
  <c r="N155" i="2"/>
  <c r="I121" i="3"/>
  <c r="I122" i="2"/>
  <c r="AK216" i="2"/>
  <c r="R229" i="2"/>
  <c r="AM69" i="2"/>
  <c r="H151" i="3"/>
  <c r="H151" i="2" s="1"/>
  <c r="H152" i="2"/>
  <c r="J133" i="2"/>
  <c r="AE123" i="3"/>
  <c r="AE123" i="2" s="1"/>
  <c r="AE124" i="2"/>
  <c r="G118" i="2"/>
  <c r="AM111" i="2"/>
  <c r="AD100" i="3"/>
  <c r="AD101" i="2"/>
  <c r="AJ107" i="3"/>
  <c r="AJ107" i="2" s="1"/>
  <c r="AJ108" i="2"/>
  <c r="J214" i="2"/>
  <c r="N215" i="2"/>
  <c r="AJ114" i="2"/>
  <c r="AD144" i="3"/>
  <c r="AD144" i="2" s="1"/>
  <c r="AD145" i="2"/>
  <c r="S231" i="2"/>
  <c r="AQ153" i="3"/>
  <c r="AQ153" i="2" s="1"/>
  <c r="AQ154" i="2"/>
  <c r="L125" i="2"/>
  <c r="AS136" i="2"/>
  <c r="O117" i="2"/>
  <c r="V128" i="2"/>
  <c r="H160" i="2"/>
  <c r="AN215" i="2"/>
  <c r="Y155" i="2"/>
  <c r="AA133" i="2"/>
  <c r="AJ225" i="2"/>
  <c r="AH129" i="2"/>
  <c r="AO217" i="2"/>
  <c r="T118" i="2"/>
  <c r="AH134" i="3"/>
  <c r="AH134" i="2" s="1"/>
  <c r="AH135" i="2"/>
  <c r="Q160" i="2"/>
  <c r="AM112" i="3"/>
  <c r="AM112" i="2" s="1"/>
  <c r="AM113" i="2"/>
  <c r="AO61" i="3"/>
  <c r="AO61" i="2" s="1"/>
  <c r="AO62" i="2"/>
  <c r="I57" i="3"/>
  <c r="I57" i="2" s="1"/>
  <c r="I58" i="2"/>
  <c r="AQ28" i="2"/>
  <c r="O172" i="2"/>
  <c r="Y47" i="3"/>
  <c r="Y47" i="2" s="1"/>
  <c r="Y48" i="2"/>
  <c r="V226" i="2"/>
  <c r="AO35" i="2"/>
  <c r="AR29" i="2"/>
  <c r="AS40" i="3"/>
  <c r="AS41" i="2"/>
  <c r="Z33" i="3"/>
  <c r="Z33" i="2" s="1"/>
  <c r="Z34" i="2"/>
  <c r="I61" i="3"/>
  <c r="I61" i="2" s="1"/>
  <c r="I62" i="2"/>
  <c r="AC43" i="2"/>
  <c r="L55" i="3"/>
  <c r="L55" i="2" s="1"/>
  <c r="L56" i="2"/>
  <c r="AO30" i="3"/>
  <c r="AO30" i="2" s="1"/>
  <c r="AO31" i="2"/>
  <c r="AB47" i="3"/>
  <c r="AB47" i="2" s="1"/>
  <c r="AB48" i="2"/>
  <c r="AP44" i="3"/>
  <c r="AP44" i="2" s="1"/>
  <c r="AP45" i="2"/>
  <c r="V47" i="3"/>
  <c r="V47" i="2" s="1"/>
  <c r="V48" i="2"/>
  <c r="AQ49" i="2"/>
  <c r="P29" i="2"/>
  <c r="L166" i="2"/>
  <c r="AO49" i="2"/>
  <c r="O33" i="3"/>
  <c r="O33" i="2" s="1"/>
  <c r="O34" i="2"/>
  <c r="Z26" i="3"/>
  <c r="Z27" i="2"/>
  <c r="F129" i="2"/>
  <c r="W160" i="2"/>
  <c r="AD233" i="2"/>
  <c r="AC119" i="2"/>
  <c r="AB146" i="2"/>
  <c r="Z211" i="2"/>
  <c r="O225" i="2"/>
  <c r="AB115" i="3"/>
  <c r="AB115" i="2" s="1"/>
  <c r="AB116" i="2"/>
  <c r="AE226" i="2"/>
  <c r="AD110" i="2"/>
  <c r="M222" i="2"/>
  <c r="AO156" i="3"/>
  <c r="AO156" i="2" s="1"/>
  <c r="AO157" i="2"/>
  <c r="T213" i="2"/>
  <c r="AB131" i="2"/>
  <c r="P223" i="2"/>
  <c r="P147" i="2"/>
  <c r="F44" i="3"/>
  <c r="F44" i="2" s="1"/>
  <c r="F45" i="2"/>
  <c r="M230" i="2"/>
  <c r="AL151" i="3"/>
  <c r="AL151" i="2" s="1"/>
  <c r="AL152" i="2"/>
  <c r="AM144" i="3"/>
  <c r="AM144" i="2" s="1"/>
  <c r="AM145" i="2"/>
  <c r="X231" i="2"/>
  <c r="AG222" i="2"/>
  <c r="J158" i="2"/>
  <c r="I151" i="3"/>
  <c r="I151" i="2" s="1"/>
  <c r="I152" i="2"/>
  <c r="Z142" i="2"/>
  <c r="AG218" i="2"/>
  <c r="AN151" i="3"/>
  <c r="AN151" i="2" s="1"/>
  <c r="AN152" i="2"/>
  <c r="U143" i="2"/>
  <c r="K133" i="2"/>
  <c r="AQ137" i="3"/>
  <c r="AQ137" i="2" s="1"/>
  <c r="AQ138" i="2"/>
  <c r="AH148" i="2"/>
  <c r="Z128" i="2"/>
  <c r="AN229" i="2"/>
  <c r="AB149" i="3"/>
  <c r="AB149" i="2" s="1"/>
  <c r="AB150" i="2"/>
  <c r="O221" i="2"/>
  <c r="S121" i="3"/>
  <c r="S122" i="2"/>
  <c r="N147" i="2"/>
  <c r="Q129" i="2"/>
  <c r="AE118" i="2"/>
  <c r="L114" i="2"/>
  <c r="Z212" i="2"/>
  <c r="I229" i="2"/>
  <c r="H217" i="2"/>
  <c r="Q102" i="2"/>
  <c r="AA128" i="2"/>
  <c r="AE214" i="2"/>
  <c r="AP233" i="2"/>
  <c r="F142" i="2"/>
  <c r="AE144" i="3"/>
  <c r="AE144" i="2" s="1"/>
  <c r="AE145" i="2"/>
  <c r="K140" i="3"/>
  <c r="K141" i="2"/>
  <c r="Y132" i="2"/>
  <c r="AN218" i="2"/>
  <c r="AR131" i="2"/>
  <c r="M140" i="3"/>
  <c r="M141" i="2"/>
  <c r="Y128" i="2"/>
  <c r="W118" i="2"/>
  <c r="Q109" i="2"/>
  <c r="J218" i="2"/>
  <c r="AA110" i="2"/>
  <c r="Y215" i="2"/>
  <c r="Q224" i="2"/>
  <c r="AL212" i="2"/>
  <c r="U212" i="2"/>
  <c r="H112" i="3"/>
  <c r="H112" i="2" s="1"/>
  <c r="H113" i="2"/>
  <c r="AK158" i="2"/>
  <c r="AR148" i="2"/>
  <c r="Y156" i="3"/>
  <c r="Y156" i="2" s="1"/>
  <c r="Y157" i="2"/>
  <c r="AM142" i="2"/>
  <c r="J142" i="2"/>
  <c r="R221" i="2"/>
  <c r="AR129" i="2"/>
  <c r="U148" i="2"/>
  <c r="AL115" i="3"/>
  <c r="AL115" i="2" s="1"/>
  <c r="AL116" i="2"/>
  <c r="AS210" i="2"/>
  <c r="M102" i="2"/>
  <c r="AL38" i="2"/>
  <c r="F169" i="2"/>
  <c r="N176" i="2"/>
  <c r="Y232" i="2"/>
  <c r="AS153" i="3"/>
  <c r="AS153" i="2" s="1"/>
  <c r="AS154" i="2"/>
  <c r="AJ133" i="2"/>
  <c r="N134" i="3"/>
  <c r="N134" i="2" s="1"/>
  <c r="N135" i="2"/>
  <c r="AE153" i="3"/>
  <c r="AE153" i="2" s="1"/>
  <c r="AE154" i="2"/>
  <c r="AK128" i="2"/>
  <c r="AM210" i="2"/>
  <c r="AO224" i="2"/>
  <c r="Y100" i="3"/>
  <c r="Y101" i="2"/>
  <c r="AK153" i="3"/>
  <c r="AK153" i="2" s="1"/>
  <c r="AK154" i="2"/>
  <c r="AL221" i="2"/>
  <c r="K137" i="3"/>
  <c r="K137" i="2" s="1"/>
  <c r="K138" i="2"/>
  <c r="AD142" i="2"/>
  <c r="AL214" i="2"/>
  <c r="M232" i="2"/>
  <c r="U142" i="2"/>
  <c r="M103" i="2"/>
  <c r="AS215" i="2"/>
  <c r="AJ132" i="2"/>
  <c r="AK228" i="2"/>
  <c r="AL114" i="2"/>
  <c r="P140" i="3"/>
  <c r="P141" i="2"/>
  <c r="X212" i="2"/>
  <c r="S104" i="2"/>
  <c r="AF171" i="2"/>
  <c r="X42" i="2"/>
  <c r="H44" i="3"/>
  <c r="H44" i="2" s="1"/>
  <c r="H45" i="2"/>
  <c r="O49" i="2"/>
  <c r="Y169" i="2"/>
  <c r="AS61" i="3"/>
  <c r="AS61" i="2" s="1"/>
  <c r="AS62" i="2"/>
  <c r="Q172" i="2"/>
  <c r="AN163" i="2"/>
  <c r="V170" i="2"/>
  <c r="AM44" i="3"/>
  <c r="AM44" i="2" s="1"/>
  <c r="AM45" i="2"/>
  <c r="AJ40" i="3"/>
  <c r="AJ41" i="2"/>
  <c r="AC49" i="2"/>
  <c r="AG60" i="2"/>
  <c r="AB53" i="3"/>
  <c r="AB54" i="2"/>
  <c r="I44" i="3"/>
  <c r="I44" i="2" s="1"/>
  <c r="I45" i="2"/>
  <c r="AH163" i="2"/>
  <c r="AS170" i="2"/>
  <c r="I46" i="2"/>
  <c r="AB64" i="2"/>
  <c r="AN55" i="3"/>
  <c r="AN55" i="2" s="1"/>
  <c r="AN56" i="2"/>
  <c r="AA115" i="3"/>
  <c r="AA115" i="2" s="1"/>
  <c r="AA116" i="2"/>
  <c r="AS29" i="2"/>
  <c r="AP166" i="2"/>
  <c r="AK64" i="2"/>
  <c r="AA170" i="2"/>
  <c r="N173" i="2"/>
  <c r="U168" i="2"/>
  <c r="AK164" i="2"/>
  <c r="AD165" i="2"/>
  <c r="S168" i="2"/>
  <c r="W67" i="2"/>
  <c r="J176" i="2"/>
  <c r="F115" i="3"/>
  <c r="F115" i="2" s="1"/>
  <c r="F116" i="2"/>
  <c r="F105" i="3"/>
  <c r="F105" i="2" s="1"/>
  <c r="F106" i="2"/>
  <c r="Y229" i="2"/>
  <c r="AQ216" i="2"/>
  <c r="G102" i="2"/>
  <c r="AB224" i="2"/>
  <c r="R107" i="3"/>
  <c r="R107" i="2" s="1"/>
  <c r="R108" i="2"/>
  <c r="AB217" i="2"/>
  <c r="AC102" i="2"/>
  <c r="Q117" i="2"/>
  <c r="AN107" i="3"/>
  <c r="AN107" i="2" s="1"/>
  <c r="AN108" i="2"/>
  <c r="AO126" i="3"/>
  <c r="AO126" i="2" s="1"/>
  <c r="AO127" i="2"/>
  <c r="F59" i="2"/>
  <c r="F57" i="3"/>
  <c r="F57" i="2" s="1"/>
  <c r="F58" i="2"/>
  <c r="F125" i="2"/>
  <c r="F119" i="2"/>
  <c r="AJ38" i="2"/>
  <c r="AJ160" i="2"/>
  <c r="S38" i="2"/>
  <c r="S160" i="2"/>
  <c r="AM232" i="2"/>
  <c r="AN148" i="2"/>
  <c r="L143" i="2"/>
  <c r="AS232" i="2"/>
  <c r="AH151" i="3"/>
  <c r="AH151" i="2" s="1"/>
  <c r="AH152" i="2"/>
  <c r="AI144" i="3"/>
  <c r="AI144" i="2" s="1"/>
  <c r="AI145" i="2"/>
  <c r="I232" i="2"/>
  <c r="AA146" i="2"/>
  <c r="X134" i="3"/>
  <c r="X134" i="2" s="1"/>
  <c r="X135" i="2"/>
  <c r="AS149" i="3"/>
  <c r="AS149" i="2" s="1"/>
  <c r="AS150" i="2"/>
  <c r="O142" i="2"/>
  <c r="Y218" i="2"/>
  <c r="AC225" i="2"/>
  <c r="AR146" i="2"/>
  <c r="H136" i="2"/>
  <c r="AC231" i="2"/>
  <c r="K146" i="2"/>
  <c r="T134" i="3"/>
  <c r="T134" i="2" s="1"/>
  <c r="T135" i="2"/>
  <c r="AN149" i="3"/>
  <c r="AN149" i="2" s="1"/>
  <c r="AN150" i="2"/>
  <c r="T142" i="2"/>
  <c r="AJ125" i="2"/>
  <c r="M115" i="3"/>
  <c r="M115" i="2" s="1"/>
  <c r="M116" i="2"/>
  <c r="AI125" i="2"/>
  <c r="T115" i="3"/>
  <c r="T115" i="2" s="1"/>
  <c r="T116" i="2"/>
  <c r="S129" i="2"/>
  <c r="AO118" i="2"/>
  <c r="AO130" i="2"/>
  <c r="K121" i="3"/>
  <c r="K122" i="2"/>
  <c r="S146" i="2"/>
  <c r="S126" i="3"/>
  <c r="S126" i="2" s="1"/>
  <c r="S127" i="2"/>
  <c r="AS214" i="2"/>
  <c r="AJ128" i="2"/>
  <c r="AH110" i="2"/>
  <c r="AI103" i="2"/>
  <c r="Z231" i="2"/>
  <c r="V223" i="2"/>
  <c r="H215" i="2"/>
  <c r="J216" i="2"/>
  <c r="K100" i="3"/>
  <c r="K101" i="2"/>
  <c r="AD112" i="3"/>
  <c r="AD112" i="2" s="1"/>
  <c r="AD113" i="2"/>
  <c r="AD105" i="3"/>
  <c r="AD105" i="2" s="1"/>
  <c r="AD106" i="2"/>
  <c r="AO210" i="2"/>
  <c r="U110" i="2"/>
  <c r="F126" i="3"/>
  <c r="F126" i="2" s="1"/>
  <c r="F127" i="2"/>
  <c r="L231" i="2"/>
  <c r="M147" i="2"/>
  <c r="N140" i="3"/>
  <c r="N141" i="2"/>
  <c r="AI158" i="2"/>
  <c r="AS156" i="3"/>
  <c r="AS156" i="2" s="1"/>
  <c r="AS157" i="2"/>
  <c r="P146" i="2"/>
  <c r="T147" i="2"/>
  <c r="Z136" i="2"/>
  <c r="O227" i="2"/>
  <c r="L137" i="3"/>
  <c r="L137" i="2" s="1"/>
  <c r="L138" i="2"/>
  <c r="AO231" i="2"/>
  <c r="AG146" i="2"/>
  <c r="AS134" i="3"/>
  <c r="AS134" i="2" s="1"/>
  <c r="AS135" i="2"/>
  <c r="R231" i="2"/>
  <c r="AJ144" i="3"/>
  <c r="AJ144" i="2" s="1"/>
  <c r="AJ145" i="2"/>
  <c r="L134" i="3"/>
  <c r="L134" i="2" s="1"/>
  <c r="L135" i="2"/>
  <c r="R131" i="2"/>
  <c r="AP224" i="2"/>
  <c r="R134" i="3"/>
  <c r="R134" i="2" s="1"/>
  <c r="R135" i="2"/>
  <c r="AM123" i="3"/>
  <c r="AM123" i="2" s="1"/>
  <c r="AM124" i="2"/>
  <c r="U227" i="2"/>
  <c r="T126" i="3"/>
  <c r="T126" i="2" s="1"/>
  <c r="T127" i="2"/>
  <c r="AH115" i="3"/>
  <c r="AH115" i="2" s="1"/>
  <c r="AH116" i="2"/>
  <c r="AE130" i="2"/>
  <c r="AQ223" i="2"/>
  <c r="J212" i="2"/>
  <c r="W115" i="3"/>
  <c r="W115" i="2" s="1"/>
  <c r="W116" i="2"/>
  <c r="AK107" i="3"/>
  <c r="AK107" i="2" s="1"/>
  <c r="AK108" i="2"/>
  <c r="AL228" i="2"/>
  <c r="AR216" i="2"/>
  <c r="AS100" i="3"/>
  <c r="AS101" i="2"/>
  <c r="S115" i="3"/>
  <c r="S115" i="2" s="1"/>
  <c r="S116" i="2"/>
  <c r="AA107" i="3"/>
  <c r="AA107" i="2" s="1"/>
  <c r="AA108" i="2"/>
  <c r="L226" i="2"/>
  <c r="AC109" i="2"/>
  <c r="R117" i="2"/>
  <c r="L109" i="2"/>
  <c r="AP123" i="3"/>
  <c r="AP123" i="2" s="1"/>
  <c r="AP124" i="2"/>
  <c r="N110" i="2"/>
  <c r="O103" i="2"/>
  <c r="L105" i="3"/>
  <c r="L105" i="2" s="1"/>
  <c r="L106" i="2"/>
  <c r="Z132" i="2"/>
  <c r="F50" i="3"/>
  <c r="F50" i="2" s="1"/>
  <c r="F51" i="2"/>
  <c r="F104" i="2"/>
  <c r="AR119" i="2"/>
  <c r="AA119" i="2"/>
  <c r="Y158" i="2"/>
  <c r="N151" i="3"/>
  <c r="N151" i="2" s="1"/>
  <c r="N152" i="2"/>
  <c r="O144" i="3"/>
  <c r="O144" i="2" s="1"/>
  <c r="O145" i="2"/>
  <c r="I222" i="2"/>
  <c r="AR222" i="2"/>
  <c r="AR136" i="2"/>
  <c r="G148" i="2"/>
  <c r="Z153" i="3"/>
  <c r="Z153" i="2" s="1"/>
  <c r="Z154" i="2"/>
  <c r="AB225" i="2"/>
  <c r="M144" i="3"/>
  <c r="M144" i="2" s="1"/>
  <c r="M145" i="2"/>
  <c r="P133" i="2"/>
  <c r="AQ226" i="2"/>
  <c r="G112" i="3"/>
  <c r="G112" i="2" s="1"/>
  <c r="G113" i="2"/>
  <c r="AJ129" i="2"/>
  <c r="L126" i="3"/>
  <c r="L126" i="2" s="1"/>
  <c r="L127" i="2"/>
  <c r="Z115" i="3"/>
  <c r="Z115" i="2" s="1"/>
  <c r="Z116" i="2"/>
  <c r="V130" i="2"/>
  <c r="AI223" i="2"/>
  <c r="AO131" i="2"/>
  <c r="P112" i="3"/>
  <c r="P112" i="2" s="1"/>
  <c r="P113" i="2"/>
  <c r="K105" i="3"/>
  <c r="K105" i="2" s="1"/>
  <c r="K106" i="2"/>
  <c r="AD210" i="2"/>
  <c r="V228" i="2"/>
  <c r="AJ216" i="2"/>
  <c r="AK100" i="3"/>
  <c r="AK101" i="2"/>
  <c r="AO114" i="2"/>
  <c r="S107" i="3"/>
  <c r="S107" i="2" s="1"/>
  <c r="S108" i="2"/>
  <c r="V212" i="2"/>
  <c r="I112" i="3"/>
  <c r="I112" i="2" s="1"/>
  <c r="I113" i="2"/>
  <c r="N105" i="3"/>
  <c r="N105" i="2" s="1"/>
  <c r="N106" i="2"/>
  <c r="AJ224" i="2"/>
  <c r="P107" i="3"/>
  <c r="P107" i="2" s="1"/>
  <c r="P108" i="2"/>
  <c r="Y213" i="2"/>
  <c r="S128" i="2"/>
  <c r="F148" i="2"/>
  <c r="U155" i="2"/>
  <c r="AH146" i="2"/>
  <c r="V158" i="2"/>
  <c r="AF144" i="3"/>
  <c r="AF144" i="2" s="1"/>
  <c r="AF145" i="2"/>
  <c r="W156" i="3"/>
  <c r="W156" i="2" s="1"/>
  <c r="W157" i="2"/>
  <c r="M149" i="3"/>
  <c r="M149" i="2" s="1"/>
  <c r="M150" i="2"/>
  <c r="AK137" i="3"/>
  <c r="AK137" i="2" s="1"/>
  <c r="AK138" i="2"/>
  <c r="AD147" i="2"/>
  <c r="S156" i="3"/>
  <c r="S156" i="2" s="1"/>
  <c r="S157" i="2"/>
  <c r="N144" i="3"/>
  <c r="N144" i="2" s="1"/>
  <c r="N145" i="2"/>
  <c r="H149" i="3"/>
  <c r="H149" i="2" s="1"/>
  <c r="H150" i="2"/>
  <c r="Y137" i="3"/>
  <c r="Y137" i="2" s="1"/>
  <c r="Y138" i="2"/>
  <c r="K125" i="2"/>
  <c r="O229" i="2"/>
  <c r="Q118" i="2"/>
  <c r="N130" i="2"/>
  <c r="AN211" i="2"/>
  <c r="AD211" i="2"/>
  <c r="X121" i="3"/>
  <c r="X122" i="2"/>
  <c r="T110" i="2"/>
  <c r="U103" i="2"/>
  <c r="AN109" i="2"/>
  <c r="AL109" i="2"/>
  <c r="AF232" i="2"/>
  <c r="AF223" i="2"/>
  <c r="W215" i="2"/>
  <c r="AP218" i="2"/>
  <c r="AS111" i="2"/>
  <c r="AQ104" i="2"/>
  <c r="H216" i="2"/>
  <c r="Q100" i="3"/>
  <c r="Q101" i="2"/>
  <c r="H176" i="2"/>
  <c r="AG155" i="2"/>
  <c r="H148" i="2"/>
  <c r="Q142" i="2"/>
  <c r="T148" i="2"/>
  <c r="U211" i="2"/>
  <c r="W222" i="2"/>
  <c r="AB136" i="2"/>
  <c r="AF147" i="2"/>
  <c r="S136" i="2"/>
  <c r="AO151" i="3"/>
  <c r="AO151" i="2" s="1"/>
  <c r="AO152" i="2"/>
  <c r="AN140" i="3"/>
  <c r="AN141" i="2"/>
  <c r="H218" i="2"/>
  <c r="AM147" i="2"/>
  <c r="AF230" i="2"/>
  <c r="P222" i="2"/>
  <c r="G136" i="2"/>
  <c r="O140" i="3"/>
  <c r="O141" i="2"/>
  <c r="AS115" i="3"/>
  <c r="AS115" i="2" s="1"/>
  <c r="AS116" i="2"/>
  <c r="G117" i="2"/>
  <c r="M218" i="2"/>
  <c r="AQ121" i="3"/>
  <c r="AQ122" i="2"/>
  <c r="N128" i="2"/>
  <c r="AJ229" i="2"/>
  <c r="AS140" i="3"/>
  <c r="AS141" i="2"/>
  <c r="M214" i="2"/>
  <c r="AL226" i="2"/>
  <c r="AF109" i="2"/>
  <c r="AD213" i="2"/>
  <c r="AE129" i="2"/>
  <c r="T111" i="2"/>
  <c r="L210" i="2"/>
  <c r="U112" i="3"/>
  <c r="U112" i="2" s="1"/>
  <c r="U113" i="2"/>
  <c r="O105" i="3"/>
  <c r="O105" i="2" s="1"/>
  <c r="O106" i="2"/>
  <c r="Z210" i="2"/>
  <c r="Q111" i="2"/>
  <c r="I210" i="2"/>
  <c r="F28" i="2"/>
  <c r="Y230" i="2"/>
  <c r="AR156" i="3"/>
  <c r="AR156" i="2" s="1"/>
  <c r="AR157" i="2"/>
  <c r="AS222" i="2"/>
  <c r="AJ230" i="2"/>
  <c r="M142" i="2"/>
  <c r="P149" i="3"/>
  <c r="P149" i="2" s="1"/>
  <c r="P150" i="2"/>
  <c r="AL137" i="3"/>
  <c r="AL137" i="2" s="1"/>
  <c r="AL138" i="2"/>
  <c r="L133" i="2"/>
  <c r="X153" i="3"/>
  <c r="X153" i="2" s="1"/>
  <c r="X154" i="2"/>
  <c r="AB147" i="2"/>
  <c r="AJ158" i="2"/>
  <c r="AJ218" i="2"/>
  <c r="AG123" i="3"/>
  <c r="AG123" i="2" s="1"/>
  <c r="AG124" i="2"/>
  <c r="AH130" i="2"/>
  <c r="M121" i="3"/>
  <c r="M122" i="2"/>
  <c r="AI222" i="2"/>
  <c r="P128" i="2"/>
  <c r="AL229" i="2"/>
  <c r="AC117" i="2"/>
  <c r="AH131" i="2"/>
  <c r="AL224" i="2"/>
  <c r="AG131" i="2"/>
  <c r="AO121" i="3"/>
  <c r="AO122" i="2"/>
  <c r="AG114" i="2"/>
  <c r="AP212" i="2"/>
  <c r="T226" i="2"/>
  <c r="X109" i="2"/>
  <c r="AE217" i="2"/>
  <c r="AF102" i="2"/>
  <c r="M118" i="2"/>
  <c r="M213" i="2"/>
  <c r="AA213" i="2"/>
  <c r="T128" i="2"/>
  <c r="I111" i="2"/>
  <c r="AH69" i="2"/>
  <c r="K233" i="2"/>
  <c r="AG69" i="2"/>
  <c r="AG160" i="2"/>
  <c r="P38" i="2"/>
  <c r="P160" i="2"/>
  <c r="T155" i="2"/>
  <c r="S149" i="3"/>
  <c r="S149" i="2" s="1"/>
  <c r="S150" i="2"/>
  <c r="X143" i="2"/>
  <c r="AG140" i="3"/>
  <c r="AG141" i="2"/>
  <c r="AF140" i="3"/>
  <c r="AF141" i="2"/>
  <c r="AG156" i="3"/>
  <c r="AG156" i="2" s="1"/>
  <c r="AG157" i="2"/>
  <c r="AS146" i="2"/>
  <c r="I136" i="2"/>
  <c r="L211" i="2"/>
  <c r="O218" i="2"/>
  <c r="AS148" i="2"/>
  <c r="AL156" i="3"/>
  <c r="AL156" i="2" s="1"/>
  <c r="AL157" i="2"/>
  <c r="I146" i="2"/>
  <c r="K134" i="3"/>
  <c r="K134" i="2" s="1"/>
  <c r="K135" i="2"/>
  <c r="Q130" i="2"/>
  <c r="AM223" i="2"/>
  <c r="Y130" i="2"/>
  <c r="Z125" i="2"/>
  <c r="AC136" i="2"/>
  <c r="U117" i="2"/>
  <c r="X131" i="2"/>
  <c r="O125" i="2"/>
  <c r="O219" i="3"/>
  <c r="O220" i="2"/>
  <c r="P104" i="2"/>
  <c r="K114" i="2"/>
  <c r="AH105" i="3"/>
  <c r="AH105" i="2" s="1"/>
  <c r="AH106" i="2"/>
  <c r="I224" i="2"/>
  <c r="AO105" i="3"/>
  <c r="AO105" i="2" s="1"/>
  <c r="AO106" i="2"/>
  <c r="AR223" i="2"/>
  <c r="X215" i="2"/>
  <c r="AJ219" i="3"/>
  <c r="AJ220" i="2"/>
  <c r="AR213" i="2"/>
  <c r="W129" i="2"/>
  <c r="S213" i="2"/>
  <c r="S142" i="2"/>
  <c r="AC112" i="3"/>
  <c r="AC112" i="2" s="1"/>
  <c r="AC113" i="2"/>
  <c r="AC105" i="3"/>
  <c r="AC105" i="2" s="1"/>
  <c r="AC106" i="2"/>
  <c r="AP131" i="2"/>
  <c r="AG49" i="2"/>
  <c r="G40" i="3"/>
  <c r="G41" i="2"/>
  <c r="K168" i="2"/>
  <c r="Q53" i="3"/>
  <c r="Q54" i="2"/>
  <c r="AO164" i="2"/>
  <c r="AE61" i="3"/>
  <c r="AE61" i="2" s="1"/>
  <c r="AE62" i="2"/>
  <c r="AS175" i="2"/>
  <c r="AG50" i="3"/>
  <c r="AG50" i="2" s="1"/>
  <c r="AG51" i="2"/>
  <c r="K170" i="2"/>
  <c r="T26" i="3"/>
  <c r="T27" i="2"/>
  <c r="I43" i="2"/>
  <c r="N164" i="2"/>
  <c r="Y64" i="2"/>
  <c r="R44" i="3"/>
  <c r="R44" i="2" s="1"/>
  <c r="R45" i="2"/>
  <c r="X33" i="3"/>
  <c r="X33" i="2" s="1"/>
  <c r="X34" i="2"/>
  <c r="Z35" i="2"/>
  <c r="AS163" i="2"/>
  <c r="H172" i="2"/>
  <c r="AE60" i="2"/>
  <c r="AQ164" i="2"/>
  <c r="AA29" i="2"/>
  <c r="AP219" i="3"/>
  <c r="AP220" i="2"/>
  <c r="AH53" i="3"/>
  <c r="AH54" i="2"/>
  <c r="AE163" i="2"/>
  <c r="AJ55" i="3"/>
  <c r="AJ55" i="2" s="1"/>
  <c r="AJ56" i="2"/>
  <c r="X35" i="2"/>
  <c r="M64" i="2"/>
  <c r="N57" i="3"/>
  <c r="N57" i="2" s="1"/>
  <c r="N58" i="2"/>
  <c r="J36" i="3"/>
  <c r="J36" i="2" s="1"/>
  <c r="J37" i="2"/>
  <c r="O65" i="3"/>
  <c r="O65" i="2" s="1"/>
  <c r="O66" i="2"/>
  <c r="P166" i="2"/>
  <c r="U30" i="3"/>
  <c r="U30" i="2" s="1"/>
  <c r="U31" i="2"/>
  <c r="AK49" i="2"/>
  <c r="K40" i="3"/>
  <c r="K41" i="2"/>
  <c r="O168" i="2"/>
  <c r="AJ53" i="3"/>
  <c r="AJ54" i="2"/>
  <c r="P170" i="2"/>
  <c r="Y26" i="3"/>
  <c r="Y27" i="2"/>
  <c r="AA44" i="3"/>
  <c r="AA44" i="2" s="1"/>
  <c r="AA45" i="2"/>
  <c r="AS63" i="2"/>
  <c r="V168" i="2"/>
  <c r="Y33" i="3"/>
  <c r="Y33" i="2" s="1"/>
  <c r="Y34" i="2"/>
  <c r="L49" i="2"/>
  <c r="AF67" i="2"/>
  <c r="AR50" i="3"/>
  <c r="AR50" i="2" s="1"/>
  <c r="AR51" i="2"/>
  <c r="W163" i="2"/>
  <c r="S63" i="2"/>
  <c r="P171" i="2"/>
  <c r="Y28" i="2"/>
  <c r="AQ55" i="3"/>
  <c r="AQ55" i="2" s="1"/>
  <c r="AQ56" i="2"/>
  <c r="AM35" i="2"/>
  <c r="H59" i="2"/>
  <c r="M30" i="3"/>
  <c r="M30" i="2" s="1"/>
  <c r="M31" i="2"/>
  <c r="J67" i="2"/>
  <c r="J60" i="2"/>
  <c r="P36" i="3"/>
  <c r="P36" i="2" s="1"/>
  <c r="P37" i="2"/>
  <c r="Y165" i="2"/>
  <c r="AO174" i="2"/>
  <c r="S61" i="3"/>
  <c r="S61" i="2" s="1"/>
  <c r="S62" i="2"/>
  <c r="AM43" i="2"/>
  <c r="H33" i="3"/>
  <c r="H33" i="2" s="1"/>
  <c r="H34" i="2"/>
  <c r="V43" i="2"/>
  <c r="G50" i="3"/>
  <c r="G50" i="2" s="1"/>
  <c r="G51" i="2"/>
  <c r="M26" i="3"/>
  <c r="M27" i="2"/>
  <c r="U36" i="3"/>
  <c r="U36" i="2" s="1"/>
  <c r="U37" i="2"/>
  <c r="AE50" i="3"/>
  <c r="AE50" i="2" s="1"/>
  <c r="AE51" i="2"/>
  <c r="X26" i="3"/>
  <c r="X27" i="2"/>
  <c r="AS36" i="3"/>
  <c r="AS36" i="2" s="1"/>
  <c r="AS37" i="2"/>
  <c r="S28" i="2"/>
  <c r="W216" i="2"/>
  <c r="AB215" i="2"/>
  <c r="AR63" i="2"/>
  <c r="S46" i="2"/>
  <c r="AO171" i="2"/>
  <c r="AP28" i="2"/>
  <c r="AM57" i="3"/>
  <c r="AM57" i="2" s="1"/>
  <c r="AM58" i="2"/>
  <c r="AR165" i="2"/>
  <c r="P65" i="3"/>
  <c r="P65" i="2" s="1"/>
  <c r="P66" i="2"/>
  <c r="Y166" i="2"/>
  <c r="AQ67" i="2"/>
  <c r="AA60" i="2"/>
  <c r="I169" i="2"/>
  <c r="AB40" i="3"/>
  <c r="AB41" i="2"/>
  <c r="X168" i="2"/>
  <c r="AC61" i="3"/>
  <c r="AC61" i="2" s="1"/>
  <c r="AC62" i="2"/>
  <c r="L44" i="3"/>
  <c r="L44" i="2" s="1"/>
  <c r="L45" i="2"/>
  <c r="Z170" i="2"/>
  <c r="AA26" i="3"/>
  <c r="AA27" i="2"/>
  <c r="AE65" i="3"/>
  <c r="AE65" i="2" s="1"/>
  <c r="AE66" i="2"/>
  <c r="AC166" i="2"/>
  <c r="R30" i="3"/>
  <c r="R30" i="2" s="1"/>
  <c r="R31" i="2"/>
  <c r="AJ49" i="2"/>
  <c r="AS53" i="3"/>
  <c r="AS54" i="2"/>
  <c r="S165" i="2"/>
  <c r="AH40" i="3"/>
  <c r="AH41" i="2"/>
  <c r="AQ57" i="3"/>
  <c r="AQ57" i="2" s="1"/>
  <c r="AQ58" i="2"/>
  <c r="I32" i="2"/>
  <c r="G47" i="3"/>
  <c r="G47" i="2" s="1"/>
  <c r="G48" i="2"/>
  <c r="AQ175" i="2"/>
  <c r="AK175" i="2"/>
  <c r="AB50" i="3"/>
  <c r="AB50" i="2" s="1"/>
  <c r="AB51" i="2"/>
  <c r="AQ168" i="2"/>
  <c r="G26" i="3"/>
  <c r="G27" i="2"/>
  <c r="AO42" i="2"/>
  <c r="I164" i="2"/>
  <c r="Z63" i="2"/>
  <c r="AL49" i="2"/>
  <c r="T40" i="3"/>
  <c r="T41" i="2"/>
  <c r="P168" i="2"/>
  <c r="V53" i="3"/>
  <c r="V54" i="2"/>
  <c r="I165" i="2"/>
  <c r="Z64" i="2"/>
  <c r="AB175" i="2"/>
  <c r="V50" i="3"/>
  <c r="V50" i="2" s="1"/>
  <c r="V51" i="2"/>
  <c r="AK168" i="2"/>
  <c r="N43" i="2"/>
  <c r="Q57" i="3"/>
  <c r="Q57" i="2" s="1"/>
  <c r="Q58" i="2"/>
  <c r="AO167" i="2"/>
  <c r="AJ46" i="2"/>
  <c r="AE121" i="3"/>
  <c r="AE122" i="2"/>
  <c r="H67" i="2"/>
  <c r="AO175" i="2"/>
  <c r="W68" i="2"/>
  <c r="AL60" i="2"/>
  <c r="T50" i="3"/>
  <c r="T50" i="2" s="1"/>
  <c r="T51" i="2"/>
  <c r="AI168" i="2"/>
  <c r="X49" i="2"/>
  <c r="AS172" i="2"/>
  <c r="AB172" i="2"/>
  <c r="AM53" i="3"/>
  <c r="AM54" i="2"/>
  <c r="AI33" i="3"/>
  <c r="AI33" i="2" s="1"/>
  <c r="AI34" i="2"/>
  <c r="AR26" i="3"/>
  <c r="AR27" i="2"/>
  <c r="W173" i="2"/>
  <c r="AP47" i="3"/>
  <c r="AP47" i="2" s="1"/>
  <c r="AP48" i="2"/>
  <c r="AB167" i="2"/>
  <c r="I67" i="2"/>
  <c r="I60" i="2"/>
  <c r="V63" i="2"/>
  <c r="K171" i="2"/>
  <c r="T28" i="2"/>
  <c r="W36" i="3"/>
  <c r="W36" i="2" s="1"/>
  <c r="W37" i="2"/>
  <c r="Z40" i="3"/>
  <c r="Z41" i="2"/>
  <c r="AA228" i="2"/>
  <c r="S102" i="2"/>
  <c r="AQ65" i="3"/>
  <c r="AQ65" i="2" s="1"/>
  <c r="AQ66" i="2"/>
  <c r="AM64" i="2"/>
  <c r="AS165" i="2"/>
  <c r="P49" i="2"/>
  <c r="AK172" i="2"/>
  <c r="K55" i="3"/>
  <c r="K55" i="2" s="1"/>
  <c r="K56" i="2"/>
  <c r="G171" i="2"/>
  <c r="AE53" i="3"/>
  <c r="AE54" i="2"/>
  <c r="AJ163" i="2"/>
  <c r="AG55" i="3"/>
  <c r="AG55" i="2" s="1"/>
  <c r="AG56" i="2"/>
  <c r="G46" i="2"/>
  <c r="AC171" i="2"/>
  <c r="AD28" i="2"/>
  <c r="J64" i="2"/>
  <c r="AM67" i="2"/>
  <c r="X60" i="2"/>
  <c r="AJ59" i="2"/>
  <c r="AI28" i="2"/>
  <c r="M42" i="2"/>
  <c r="H55" i="3"/>
  <c r="H55" i="2" s="1"/>
  <c r="H56" i="2"/>
  <c r="P165" i="2"/>
  <c r="AG33" i="3"/>
  <c r="AG33" i="2" s="1"/>
  <c r="AG34" i="2"/>
  <c r="AN65" i="3"/>
  <c r="AN65" i="2" s="1"/>
  <c r="AN66" i="2"/>
  <c r="AL167" i="2"/>
  <c r="Y68" i="2"/>
  <c r="AJ67" i="2"/>
  <c r="V60" i="2"/>
  <c r="AH59" i="2"/>
  <c r="AI169" i="2"/>
  <c r="Q42" i="2"/>
  <c r="W174" i="2"/>
  <c r="L47" i="3"/>
  <c r="L47" i="2" s="1"/>
  <c r="L48" i="2"/>
  <c r="Z36" i="3"/>
  <c r="Z36" i="2" s="1"/>
  <c r="Z37" i="2"/>
  <c r="N49" i="2"/>
  <c r="Q43" i="2"/>
  <c r="V164" i="2"/>
  <c r="AB67" i="2"/>
  <c r="P60" i="2"/>
  <c r="AA57" i="3"/>
  <c r="AA57" i="2" s="1"/>
  <c r="AA58" i="2"/>
  <c r="O170" i="2"/>
  <c r="AK169" i="2"/>
  <c r="Z163" i="2"/>
  <c r="L171" i="2"/>
  <c r="AN64" i="2"/>
  <c r="Q30" i="3"/>
  <c r="Q30" i="2" s="1"/>
  <c r="Q31" i="2"/>
  <c r="AN233" i="2"/>
  <c r="U233" i="2"/>
  <c r="F68" i="2"/>
  <c r="F43" i="2"/>
  <c r="Z119" i="2"/>
  <c r="F228" i="2"/>
  <c r="AI38" i="2"/>
  <c r="AI160" i="2"/>
  <c r="AF38" i="2"/>
  <c r="AF160" i="2"/>
  <c r="F158" i="2"/>
  <c r="F149" i="3"/>
  <c r="F149" i="2" s="1"/>
  <c r="F150" i="2"/>
  <c r="W176" i="2"/>
  <c r="R119" i="2"/>
  <c r="F210" i="2"/>
  <c r="M38" i="2"/>
  <c r="F35" i="2"/>
  <c r="F36" i="3"/>
  <c r="F36" i="2" s="1"/>
  <c r="F37" i="2"/>
  <c r="O69" i="2"/>
  <c r="AC233" i="2"/>
  <c r="F215" i="2"/>
  <c r="AG133" i="2"/>
  <c r="AS130" i="2"/>
  <c r="V121" i="3"/>
  <c r="V122" i="2"/>
  <c r="Z114" i="2"/>
  <c r="H131" i="2"/>
  <c r="AF128" i="2"/>
  <c r="Q226" i="2"/>
  <c r="AS117" i="2"/>
  <c r="AF125" i="2"/>
  <c r="Q115" i="3"/>
  <c r="Q115" i="2" s="1"/>
  <c r="Q116" i="2"/>
  <c r="AM125" i="2"/>
  <c r="U214" i="2"/>
  <c r="AN217" i="2"/>
  <c r="L103" i="2"/>
  <c r="Z123" i="3"/>
  <c r="Z123" i="2" s="1"/>
  <c r="Z124" i="2"/>
  <c r="J110" i="2"/>
  <c r="K103" i="2"/>
  <c r="AL217" i="2"/>
  <c r="AM102" i="2"/>
  <c r="AP132" i="2"/>
  <c r="AS219" i="3"/>
  <c r="AS220" i="2"/>
  <c r="AQ213" i="2"/>
  <c r="Y111" i="2"/>
  <c r="Q210" i="2"/>
  <c r="AD103" i="2"/>
  <c r="AE119" i="2"/>
  <c r="AS38" i="2"/>
  <c r="AS160" i="2"/>
  <c r="Y69" i="2"/>
  <c r="Y160" i="2"/>
  <c r="F128" i="2"/>
  <c r="V69" i="2"/>
  <c r="AG230" i="2"/>
  <c r="G158" i="2"/>
  <c r="H227" i="2"/>
  <c r="K232" i="2"/>
  <c r="T227" i="2"/>
  <c r="I140" i="3"/>
  <c r="I141" i="2"/>
  <c r="AD131" i="2"/>
  <c r="AG149" i="3"/>
  <c r="AG149" i="2" s="1"/>
  <c r="AG150" i="2"/>
  <c r="AM222" i="2"/>
  <c r="AN136" i="2"/>
  <c r="AF155" i="2"/>
  <c r="AQ227" i="2"/>
  <c r="V133" i="2"/>
  <c r="AO123" i="3"/>
  <c r="AO123" i="2" s="1"/>
  <c r="AO124" i="2"/>
  <c r="AS228" i="2"/>
  <c r="Y134" i="3"/>
  <c r="Y134" i="2" s="1"/>
  <c r="Y135" i="2"/>
  <c r="AN123" i="3"/>
  <c r="AN123" i="2" s="1"/>
  <c r="AN124" i="2"/>
  <c r="G229" i="2"/>
  <c r="O130" i="2"/>
  <c r="U136" i="2"/>
  <c r="AE125" i="2"/>
  <c r="AS114" i="2"/>
  <c r="V107" i="3"/>
  <c r="V107" i="2" s="1"/>
  <c r="V108" i="2"/>
  <c r="AF217" i="2"/>
  <c r="AO102" i="2"/>
  <c r="P121" i="3"/>
  <c r="P122" i="2"/>
  <c r="AM109" i="2"/>
  <c r="T219" i="3"/>
  <c r="T220" i="2"/>
  <c r="U104" i="2"/>
  <c r="U223" i="2"/>
  <c r="O215" i="2"/>
  <c r="K131" i="2"/>
  <c r="AI111" i="2"/>
  <c r="AI104" i="2"/>
  <c r="Q219" i="3"/>
  <c r="Q220" i="2"/>
  <c r="R104" i="2"/>
  <c r="I104" i="2"/>
  <c r="F164" i="2"/>
  <c r="AR231" i="2"/>
  <c r="AN155" i="2"/>
  <c r="L148" i="2"/>
  <c r="M211" i="2"/>
  <c r="AM137" i="3"/>
  <c r="AM137" i="2" s="1"/>
  <c r="AM138" i="2"/>
  <c r="V147" i="2"/>
  <c r="AE151" i="3"/>
  <c r="AE151" i="2" s="1"/>
  <c r="AE152" i="2"/>
  <c r="K143" i="2"/>
  <c r="AC140" i="3"/>
  <c r="AC141" i="2"/>
  <c r="AI155" i="2"/>
  <c r="AB222" i="2"/>
  <c r="AF136" i="2"/>
  <c r="AJ232" i="2"/>
  <c r="AC143" i="2"/>
  <c r="Q133" i="2"/>
  <c r="AG148" i="2"/>
  <c r="I137" i="3"/>
  <c r="I137" i="2" s="1"/>
  <c r="I138" i="2"/>
  <c r="J114" i="2"/>
  <c r="AI147" i="2"/>
  <c r="G128" i="2"/>
  <c r="AC229" i="2"/>
  <c r="AH221" i="2"/>
  <c r="AH121" i="3"/>
  <c r="AH122" i="2"/>
  <c r="AG224" i="2"/>
  <c r="N107" i="3"/>
  <c r="N107" i="2" s="1"/>
  <c r="N108" i="2"/>
  <c r="X217" i="2"/>
  <c r="AG102" i="2"/>
  <c r="T114" i="2"/>
  <c r="AF212" i="2"/>
  <c r="M226" i="2"/>
  <c r="V109" i="2"/>
  <c r="H121" i="3"/>
  <c r="H122" i="2"/>
  <c r="P110" i="2"/>
  <c r="Y103" i="2"/>
  <c r="G121" i="3"/>
  <c r="G122" i="2"/>
  <c r="AR109" i="2"/>
  <c r="I219" i="3"/>
  <c r="I220" i="2"/>
  <c r="J104" i="2"/>
  <c r="AI114" i="2"/>
  <c r="Q38" i="2"/>
  <c r="P176" i="2"/>
  <c r="T230" i="2"/>
  <c r="AL140" i="3"/>
  <c r="AL141" i="2"/>
  <c r="Z155" i="2"/>
  <c r="W149" i="3"/>
  <c r="W149" i="2" s="1"/>
  <c r="W150" i="2"/>
  <c r="AO148" i="2"/>
  <c r="N149" i="3"/>
  <c r="N149" i="2" s="1"/>
  <c r="N150" i="2"/>
  <c r="AG231" i="2"/>
  <c r="AN144" i="3"/>
  <c r="AN144" i="2" s="1"/>
  <c r="AN145" i="2"/>
  <c r="W134" i="3"/>
  <c r="W134" i="2" s="1"/>
  <c r="W135" i="2"/>
  <c r="AP158" i="2"/>
  <c r="AF149" i="3"/>
  <c r="AF149" i="2" s="1"/>
  <c r="AF150" i="2"/>
  <c r="L142" i="2"/>
  <c r="O132" i="2"/>
  <c r="AS227" i="2"/>
  <c r="R137" i="3"/>
  <c r="R137" i="2" s="1"/>
  <c r="R138" i="2"/>
  <c r="K118" i="2"/>
  <c r="R118" i="2"/>
  <c r="Z131" i="2"/>
  <c r="Q125" i="2"/>
  <c r="U229" i="2"/>
  <c r="X221" i="2"/>
  <c r="Z121" i="3"/>
  <c r="Z122" i="2"/>
  <c r="AD114" i="2"/>
  <c r="W131" i="2"/>
  <c r="U118" i="2"/>
  <c r="P213" i="2"/>
  <c r="AN153" i="3"/>
  <c r="AN153" i="2" s="1"/>
  <c r="AN154" i="2"/>
  <c r="K224" i="2"/>
  <c r="AH215" i="2"/>
  <c r="AO215" i="2"/>
  <c r="AL130" i="2"/>
  <c r="AJ109" i="2"/>
  <c r="S211" i="2"/>
  <c r="AC223" i="2"/>
  <c r="AC215" i="2"/>
  <c r="AB130" i="2"/>
  <c r="AP221" i="2"/>
  <c r="K115" i="3"/>
  <c r="K115" i="2" s="1"/>
  <c r="K116" i="2"/>
  <c r="AC65" i="3"/>
  <c r="AC65" i="2" s="1"/>
  <c r="AC66" i="2"/>
  <c r="AA65" i="3"/>
  <c r="AA65" i="2" s="1"/>
  <c r="AA66" i="2"/>
  <c r="Z67" i="2"/>
  <c r="N60" i="2"/>
  <c r="AJ68" i="2"/>
  <c r="H61" i="3"/>
  <c r="H61" i="2" s="1"/>
  <c r="H62" i="2"/>
  <c r="AJ43" i="2"/>
  <c r="M33" i="3"/>
  <c r="M33" i="2" s="1"/>
  <c r="M34" i="2"/>
  <c r="W49" i="2"/>
  <c r="X59" i="2"/>
  <c r="AG169" i="2"/>
  <c r="G42" i="2"/>
  <c r="T163" i="2"/>
  <c r="H63" i="2"/>
  <c r="W32" i="2"/>
  <c r="AE63" i="2"/>
  <c r="Y172" i="2"/>
  <c r="AR53" i="3"/>
  <c r="AR54" i="2"/>
  <c r="X170" i="2"/>
  <c r="AG26" i="3"/>
  <c r="AG27" i="2"/>
  <c r="Z171" i="2"/>
  <c r="AD30" i="3"/>
  <c r="AD30" i="2" s="1"/>
  <c r="AD31" i="2"/>
  <c r="H28" i="2"/>
  <c r="AF40" i="3"/>
  <c r="AF41" i="2"/>
  <c r="L46" i="2"/>
  <c r="AA165" i="2"/>
  <c r="U65" i="3"/>
  <c r="U65" i="2" s="1"/>
  <c r="U66" i="2"/>
  <c r="AG61" i="3"/>
  <c r="AG61" i="2" s="1"/>
  <c r="AG62" i="2"/>
  <c r="Z42" i="2"/>
  <c r="AN30" i="3"/>
  <c r="AN30" i="2" s="1"/>
  <c r="AN31" i="2"/>
  <c r="AA63" i="2"/>
  <c r="J46" i="2"/>
  <c r="X171" i="2"/>
  <c r="AG28" i="2"/>
  <c r="M172" i="2"/>
  <c r="AG46" i="2"/>
  <c r="O173" i="2"/>
  <c r="AI47" i="3"/>
  <c r="AI47" i="2" s="1"/>
  <c r="AI48" i="2"/>
  <c r="U167" i="2"/>
  <c r="T67" i="2"/>
  <c r="R60" i="2"/>
  <c r="O68" i="2"/>
  <c r="AO60" i="2"/>
  <c r="AA61" i="3"/>
  <c r="AA61" i="2" s="1"/>
  <c r="AA62" i="2"/>
  <c r="AB42" i="2"/>
  <c r="Y163" i="2"/>
  <c r="AQ42" i="2"/>
  <c r="AH61" i="3"/>
  <c r="AH61" i="2" s="1"/>
  <c r="AH62" i="2"/>
  <c r="AS28" i="2"/>
  <c r="Y170" i="2"/>
  <c r="H211" i="2"/>
  <c r="AF174" i="2"/>
  <c r="AM65" i="3"/>
  <c r="AM65" i="2" s="1"/>
  <c r="AM66" i="2"/>
  <c r="AI59" i="2"/>
  <c r="AR169" i="2"/>
  <c r="R42" i="2"/>
  <c r="AF30" i="3"/>
  <c r="AF30" i="2" s="1"/>
  <c r="AF31" i="2"/>
  <c r="T43" i="2"/>
  <c r="Y164" i="2"/>
  <c r="AP63" i="2"/>
  <c r="Y46" i="2"/>
  <c r="AM171" i="2"/>
  <c r="G65" i="3"/>
  <c r="G65" i="2" s="1"/>
  <c r="G66" i="2"/>
  <c r="H166" i="2"/>
  <c r="AA47" i="3"/>
  <c r="AA47" i="2" s="1"/>
  <c r="AA48" i="2"/>
  <c r="M167" i="2"/>
  <c r="J174" i="2"/>
  <c r="AM46" i="2"/>
  <c r="Y29" i="2"/>
  <c r="AL50" i="3"/>
  <c r="AL50" i="2" s="1"/>
  <c r="AL51" i="2"/>
  <c r="H170" i="2"/>
  <c r="Q26" i="3"/>
  <c r="Q27" i="2"/>
  <c r="G169" i="2"/>
  <c r="M163" i="2"/>
  <c r="AE169" i="2"/>
  <c r="X163" i="2"/>
  <c r="AE33" i="3"/>
  <c r="AE33" i="2" s="1"/>
  <c r="AE34" i="2"/>
  <c r="AI44" i="3"/>
  <c r="AI44" i="2" s="1"/>
  <c r="AI45" i="2"/>
  <c r="AR59" i="2"/>
  <c r="S164" i="2"/>
  <c r="AH68" i="2"/>
  <c r="AO104" i="2"/>
  <c r="R53" i="3"/>
  <c r="R54" i="2"/>
  <c r="AP164" i="2"/>
  <c r="AL64" i="2"/>
  <c r="AE44" i="3"/>
  <c r="AE44" i="2" s="1"/>
  <c r="AE45" i="2"/>
  <c r="H35" i="2"/>
  <c r="P173" i="2"/>
  <c r="AR47" i="3"/>
  <c r="AR47" i="2" s="1"/>
  <c r="AR48" i="2"/>
  <c r="AQ174" i="2"/>
  <c r="AN50" i="3"/>
  <c r="AN50" i="2" s="1"/>
  <c r="AN51" i="2"/>
  <c r="AA163" i="2"/>
  <c r="G63" i="2"/>
  <c r="AE173" i="2"/>
  <c r="AN47" i="3"/>
  <c r="AN47" i="2" s="1"/>
  <c r="AN48" i="2"/>
  <c r="R167" i="2"/>
  <c r="S65" i="3"/>
  <c r="S65" i="2" s="1"/>
  <c r="S66" i="2"/>
  <c r="AI30" i="3"/>
  <c r="AI30" i="2" s="1"/>
  <c r="AI31" i="2"/>
  <c r="M63" i="2"/>
  <c r="AK26" i="3"/>
  <c r="AK27" i="2"/>
  <c r="I168" i="2"/>
  <c r="O107" i="3"/>
  <c r="O107" i="2" s="1"/>
  <c r="O108" i="2"/>
  <c r="V67" i="2"/>
  <c r="S59" i="2"/>
  <c r="AB169" i="2"/>
  <c r="AM40" i="3"/>
  <c r="AM41" i="2"/>
  <c r="G163" i="2"/>
  <c r="AN61" i="3"/>
  <c r="AN61" i="2" s="1"/>
  <c r="AN62" i="2"/>
  <c r="R32" i="2"/>
  <c r="S43" i="2"/>
  <c r="AG67" i="2"/>
  <c r="S60" i="2"/>
  <c r="AR68" i="2"/>
  <c r="U61" i="3"/>
  <c r="U61" i="2" s="1"/>
  <c r="U62" i="2"/>
  <c r="AO43" i="2"/>
  <c r="R33" i="3"/>
  <c r="R33" i="2" s="1"/>
  <c r="R34" i="2"/>
  <c r="Z172" i="2"/>
  <c r="U59" i="2"/>
  <c r="V169" i="2"/>
  <c r="AO40" i="3"/>
  <c r="AO41" i="2"/>
  <c r="AF64" i="2"/>
  <c r="N30" i="3"/>
  <c r="N30" i="2" s="1"/>
  <c r="N31" i="2"/>
  <c r="AQ29" i="2"/>
  <c r="AA28" i="2"/>
  <c r="AI42" i="2"/>
  <c r="AL68" i="2"/>
  <c r="H174" i="2"/>
  <c r="W175" i="2"/>
  <c r="T169" i="2"/>
  <c r="AE40" i="3"/>
  <c r="AE41" i="2"/>
  <c r="Y67" i="2"/>
  <c r="M60" i="2"/>
  <c r="S36" i="3"/>
  <c r="S36" i="2" s="1"/>
  <c r="S37" i="2"/>
  <c r="AB29" i="2"/>
  <c r="S55" i="3"/>
  <c r="S55" i="2" s="1"/>
  <c r="S56" i="2"/>
  <c r="AL44" i="3"/>
  <c r="AL44" i="2" s="1"/>
  <c r="AL45" i="2"/>
  <c r="O35" i="2"/>
  <c r="AE42" i="2"/>
  <c r="AR163" i="2"/>
  <c r="AO55" i="3"/>
  <c r="AO55" i="2" s="1"/>
  <c r="AO56" i="2"/>
  <c r="AK35" i="2"/>
  <c r="I174" i="2"/>
  <c r="O43" i="2"/>
  <c r="T164" i="2"/>
  <c r="X29" i="2"/>
  <c r="I33" i="3"/>
  <c r="I33" i="2" s="1"/>
  <c r="I34" i="2"/>
  <c r="T46" i="2"/>
  <c r="AL26" i="3"/>
  <c r="AL27" i="2"/>
  <c r="U50" i="3"/>
  <c r="U50" i="2" s="1"/>
  <c r="U51" i="2"/>
  <c r="AB32" i="2"/>
  <c r="S212" i="2"/>
  <c r="AQ173" i="2"/>
  <c r="AM172" i="2"/>
  <c r="U55" i="3"/>
  <c r="U55" i="2" s="1"/>
  <c r="U56" i="2"/>
  <c r="AF44" i="3"/>
  <c r="AF44" i="2" s="1"/>
  <c r="AF45" i="2"/>
  <c r="Q35" i="2"/>
  <c r="N64" i="2"/>
  <c r="O57" i="3"/>
  <c r="O57" i="2" s="1"/>
  <c r="O58" i="2"/>
  <c r="K36" i="3"/>
  <c r="K36" i="2" s="1"/>
  <c r="K37" i="2"/>
  <c r="T29" i="2"/>
  <c r="AN42" i="2"/>
  <c r="AD61" i="3"/>
  <c r="AD61" i="2" s="1"/>
  <c r="AD62" i="2"/>
  <c r="W42" i="2"/>
  <c r="AS30" i="3"/>
  <c r="AS30" i="2" s="1"/>
  <c r="AS31" i="2"/>
  <c r="X63" i="2"/>
  <c r="AD164" i="2"/>
  <c r="J172" i="2"/>
  <c r="AM174" i="2"/>
  <c r="P47" i="3"/>
  <c r="P47" i="2" s="1"/>
  <c r="P48" i="2"/>
  <c r="AD36" i="3"/>
  <c r="AD36" i="2" s="1"/>
  <c r="AD37" i="2"/>
  <c r="AE29" i="2"/>
  <c r="AJ166" i="2"/>
  <c r="S53" i="3"/>
  <c r="S54" i="2"/>
  <c r="AI164" i="2"/>
  <c r="AG170" i="2"/>
  <c r="O47" i="3"/>
  <c r="O47" i="2" s="1"/>
  <c r="O48" i="2"/>
  <c r="AN173" i="2"/>
  <c r="AD65" i="3"/>
  <c r="AD65" i="2" s="1"/>
  <c r="AD66" i="2"/>
  <c r="S68" i="2"/>
  <c r="Y175" i="2"/>
  <c r="AJ174" i="2"/>
  <c r="N47" i="3"/>
  <c r="N47" i="2" s="1"/>
  <c r="N48" i="2"/>
  <c r="AJ36" i="3"/>
  <c r="AJ36" i="2" s="1"/>
  <c r="AJ37" i="2"/>
  <c r="AK29" i="2"/>
  <c r="AL65" i="3"/>
  <c r="AL65" i="2" s="1"/>
  <c r="AL66" i="2"/>
  <c r="AH166" i="2"/>
  <c r="AE30" i="3"/>
  <c r="AE30" i="2" s="1"/>
  <c r="AE31" i="2"/>
  <c r="AD57" i="3"/>
  <c r="AD57" i="2" s="1"/>
  <c r="AD58" i="2"/>
  <c r="L64" i="2"/>
  <c r="M57" i="3"/>
  <c r="M57" i="2" s="1"/>
  <c r="M58" i="2"/>
  <c r="I36" i="3"/>
  <c r="I36" i="2" s="1"/>
  <c r="I37" i="2"/>
  <c r="J29" i="2"/>
  <c r="AP67" i="2"/>
  <c r="AH60" i="2"/>
  <c r="H50" i="3"/>
  <c r="H50" i="2" s="1"/>
  <c r="H51" i="2"/>
  <c r="AE32" i="2"/>
  <c r="AM63" i="2"/>
  <c r="AB174" i="2"/>
  <c r="H47" i="3"/>
  <c r="H47" i="2" s="1"/>
  <c r="H48" i="2"/>
  <c r="V36" i="3"/>
  <c r="V36" i="2" s="1"/>
  <c r="V37" i="2"/>
  <c r="W29" i="2"/>
  <c r="K65" i="3"/>
  <c r="K65" i="2" s="1"/>
  <c r="K66" i="2"/>
  <c r="AJ32" i="2"/>
  <c r="AM36" i="3"/>
  <c r="AM36" i="2" s="1"/>
  <c r="AM37" i="2"/>
  <c r="AO47" i="3"/>
  <c r="AO47" i="2" s="1"/>
  <c r="AO48" i="2"/>
  <c r="AN172" i="2"/>
  <c r="Q167" i="2"/>
  <c r="F61" i="3"/>
  <c r="F61" i="2" s="1"/>
  <c r="F62" i="2"/>
  <c r="X38" i="2"/>
  <c r="X160" i="2"/>
  <c r="F49" i="2"/>
  <c r="G69" i="2"/>
  <c r="U119" i="2"/>
  <c r="F175" i="2"/>
  <c r="I69" i="2"/>
  <c r="I160" i="2"/>
  <c r="J69" i="2"/>
  <c r="Z233" i="2"/>
  <c r="AI176" i="2"/>
  <c r="AF176" i="2"/>
  <c r="F232" i="2"/>
  <c r="AK69" i="2"/>
  <c r="L119" i="2"/>
  <c r="F218" i="2"/>
  <c r="R233" i="2"/>
  <c r="AD38" i="2"/>
  <c r="AD160" i="2"/>
  <c r="M176" i="2"/>
  <c r="F171" i="2"/>
  <c r="AQ69" i="2"/>
  <c r="F151" i="3"/>
  <c r="F151" i="2" s="1"/>
  <c r="F152" i="2"/>
  <c r="P212" i="2"/>
  <c r="AG112" i="3"/>
  <c r="AG112" i="2" s="1"/>
  <c r="AG113" i="2"/>
  <c r="P105" i="3"/>
  <c r="P105" i="2" s="1"/>
  <c r="P106" i="2"/>
  <c r="AA111" i="2"/>
  <c r="S210" i="2"/>
  <c r="AO223" i="2"/>
  <c r="AL105" i="3"/>
  <c r="AL105" i="2" s="1"/>
  <c r="AL106" i="2"/>
  <c r="L212" i="2"/>
  <c r="T176" i="2"/>
  <c r="F131" i="2"/>
  <c r="F136" i="2"/>
  <c r="F112" i="3"/>
  <c r="F112" i="2" s="1"/>
  <c r="F113" i="2"/>
  <c r="F47" i="3"/>
  <c r="F47" i="2" s="1"/>
  <c r="F48" i="2"/>
  <c r="AO176" i="2"/>
  <c r="AS230" i="2"/>
  <c r="T156" i="3"/>
  <c r="T156" i="2" s="1"/>
  <c r="T157" i="2"/>
  <c r="V140" i="3"/>
  <c r="V141" i="2"/>
  <c r="AQ158" i="2"/>
  <c r="H143" i="2"/>
  <c r="AG151" i="3"/>
  <c r="AG151" i="2" s="1"/>
  <c r="AG152" i="2"/>
  <c r="AQ151" i="3"/>
  <c r="AQ151" i="2" s="1"/>
  <c r="AQ152" i="2"/>
  <c r="W143" i="2"/>
  <c r="AQ155" i="2"/>
  <c r="AE147" i="2"/>
  <c r="AI130" i="2"/>
  <c r="Z227" i="2"/>
  <c r="T137" i="3"/>
  <c r="T137" i="2" s="1"/>
  <c r="T138" i="2"/>
  <c r="R232" i="2"/>
  <c r="AD143" i="2"/>
  <c r="Z133" i="2"/>
  <c r="AA151" i="3"/>
  <c r="AA151" i="2" s="1"/>
  <c r="AA152" i="2"/>
  <c r="AQ142" i="2"/>
  <c r="AD132" i="2"/>
  <c r="AJ222" i="2"/>
  <c r="AC221" i="2"/>
  <c r="I123" i="3"/>
  <c r="I123" i="2" s="1"/>
  <c r="I124" i="2"/>
  <c r="AM221" i="2"/>
  <c r="H123" i="3"/>
  <c r="H123" i="2" s="1"/>
  <c r="H124" i="2"/>
  <c r="AK126" i="3"/>
  <c r="AK126" i="2" s="1"/>
  <c r="AK127" i="2"/>
  <c r="J129" i="2"/>
  <c r="X118" i="2"/>
  <c r="G133" i="2"/>
  <c r="AK123" i="3"/>
  <c r="AK123" i="2" s="1"/>
  <c r="AK124" i="2"/>
  <c r="AO228" i="2"/>
  <c r="J229" i="2"/>
  <c r="Q217" i="2"/>
  <c r="R102" i="2"/>
  <c r="AJ214" i="2"/>
  <c r="Z117" i="2"/>
  <c r="G109" i="2"/>
  <c r="S123" i="3"/>
  <c r="S123" i="2" s="1"/>
  <c r="S124" i="2"/>
  <c r="Y110" i="2"/>
  <c r="Z103" i="2"/>
  <c r="S219" i="3"/>
  <c r="S220" i="2"/>
  <c r="AB104" i="2"/>
  <c r="AD133" i="2"/>
  <c r="H223" i="2"/>
  <c r="M215" i="2"/>
  <c r="P111" i="2"/>
  <c r="I126" i="3"/>
  <c r="I126" i="2" s="1"/>
  <c r="I127" i="2"/>
  <c r="F137" i="3"/>
  <c r="F137" i="2" s="1"/>
  <c r="F138" i="2"/>
  <c r="AG232" i="2"/>
  <c r="V151" i="3"/>
  <c r="V151" i="2" s="1"/>
  <c r="V152" i="2"/>
  <c r="AL158" i="2"/>
  <c r="AR227" i="2"/>
  <c r="AS142" i="2"/>
  <c r="W151" i="3"/>
  <c r="W151" i="2" s="1"/>
  <c r="W152" i="2"/>
  <c r="AM211" i="2"/>
  <c r="AF225" i="2"/>
  <c r="M143" i="2"/>
  <c r="N230" i="2"/>
  <c r="AR133" i="2"/>
  <c r="AE156" i="3"/>
  <c r="AE156" i="2" s="1"/>
  <c r="AE157" i="2"/>
  <c r="M146" i="2"/>
  <c r="V134" i="3"/>
  <c r="V134" i="2" s="1"/>
  <c r="V135" i="2"/>
  <c r="AM151" i="3"/>
  <c r="AM151" i="2" s="1"/>
  <c r="AM152" i="2"/>
  <c r="S143" i="2"/>
  <c r="R133" i="2"/>
  <c r="P151" i="3"/>
  <c r="P151" i="2" s="1"/>
  <c r="P152" i="2"/>
  <c r="AF142" i="2"/>
  <c r="V132" i="2"/>
  <c r="Z222" i="2"/>
  <c r="O112" i="3"/>
  <c r="O112" i="2" s="1"/>
  <c r="O113" i="2"/>
  <c r="AE117" i="2"/>
  <c r="AP130" i="2"/>
  <c r="T121" i="3"/>
  <c r="T122" i="2"/>
  <c r="H133" i="2"/>
  <c r="AD123" i="3"/>
  <c r="AD123" i="2" s="1"/>
  <c r="AD124" i="2"/>
  <c r="AL128" i="2"/>
  <c r="O226" i="2"/>
  <c r="V144" i="3"/>
  <c r="V144" i="2" s="1"/>
  <c r="V145" i="2"/>
  <c r="U218" i="2"/>
  <c r="Z223" i="2"/>
  <c r="S215" i="2"/>
  <c r="AL210" i="2"/>
  <c r="X112" i="3"/>
  <c r="X112" i="2" s="1"/>
  <c r="X113" i="2"/>
  <c r="Q105" i="3"/>
  <c r="Q105" i="2" s="1"/>
  <c r="Q106" i="2"/>
  <c r="AJ210" i="2"/>
  <c r="G114" i="2"/>
  <c r="AD212" i="2"/>
  <c r="M212" i="2"/>
  <c r="N115" i="3"/>
  <c r="N115" i="2" s="1"/>
  <c r="N116" i="2"/>
  <c r="X107" i="3"/>
  <c r="X107" i="2" s="1"/>
  <c r="X108" i="2"/>
  <c r="AL176" i="2"/>
  <c r="AG211" i="2"/>
  <c r="AC232" i="2"/>
  <c r="R225" i="2"/>
  <c r="S144" i="3"/>
  <c r="S144" i="2" s="1"/>
  <c r="S145" i="2"/>
  <c r="N156" i="3"/>
  <c r="N156" i="2" s="1"/>
  <c r="N157" i="2"/>
  <c r="AP144" i="3"/>
  <c r="AP144" i="2" s="1"/>
  <c r="AP145" i="2"/>
  <c r="AH156" i="3"/>
  <c r="AH156" i="2" s="1"/>
  <c r="AH157" i="2"/>
  <c r="X149" i="3"/>
  <c r="X149" i="2" s="1"/>
  <c r="X150" i="2"/>
  <c r="I218" i="2"/>
  <c r="H225" i="2"/>
  <c r="X211" i="2"/>
  <c r="X218" i="2"/>
  <c r="Y227" i="2"/>
  <c r="AB221" i="2"/>
  <c r="AL222" i="2"/>
  <c r="W136" i="2"/>
  <c r="AJ140" i="3"/>
  <c r="AJ141" i="2"/>
  <c r="AF137" i="3"/>
  <c r="AF137" i="2" s="1"/>
  <c r="AF138" i="2"/>
  <c r="P117" i="2"/>
  <c r="I128" i="2"/>
  <c r="W229" i="2"/>
  <c r="AS218" i="2"/>
  <c r="V123" i="3"/>
  <c r="V123" i="2" s="1"/>
  <c r="V124" i="2"/>
  <c r="AD128" i="2"/>
  <c r="G226" i="2"/>
  <c r="Z143" i="2"/>
  <c r="R130" i="2"/>
  <c r="AM219" i="3"/>
  <c r="AM220" i="2"/>
  <c r="AM213" i="2"/>
  <c r="AK156" i="3"/>
  <c r="AK156" i="2" s="1"/>
  <c r="AK157" i="2"/>
  <c r="M112" i="3"/>
  <c r="M112" i="2" s="1"/>
  <c r="M113" i="2"/>
  <c r="I105" i="3"/>
  <c r="I105" i="2" s="1"/>
  <c r="I106" i="2"/>
  <c r="AB210" i="2"/>
  <c r="AP223" i="2"/>
  <c r="AE215" i="2"/>
  <c r="J131" i="2"/>
  <c r="AH111" i="2"/>
  <c r="Y210" i="2"/>
  <c r="Q104" i="2"/>
  <c r="AI102" i="2"/>
  <c r="G144" i="3"/>
  <c r="G144" i="2" s="1"/>
  <c r="G145" i="2"/>
  <c r="R142" i="2"/>
  <c r="AJ146" i="2"/>
  <c r="J136" i="2"/>
  <c r="K142" i="2"/>
  <c r="AO146" i="2"/>
  <c r="AI134" i="3"/>
  <c r="AI134" i="2" s="1"/>
  <c r="AI135" i="2"/>
  <c r="Z224" i="2"/>
  <c r="H221" i="2"/>
  <c r="AC121" i="3"/>
  <c r="AC122" i="2"/>
  <c r="Q149" i="3"/>
  <c r="Q149" i="2" s="1"/>
  <c r="Q150" i="2"/>
  <c r="W128" i="2"/>
  <c r="AS229" i="2"/>
  <c r="L132" i="2"/>
  <c r="Q228" i="2"/>
  <c r="K132" i="2"/>
  <c r="H115" i="3"/>
  <c r="H115" i="2" s="1"/>
  <c r="H116" i="2"/>
  <c r="AD107" i="3"/>
  <c r="AD107" i="2" s="1"/>
  <c r="AD108" i="2"/>
  <c r="AR114" i="2"/>
  <c r="L214" i="2"/>
  <c r="K214" i="2"/>
  <c r="AC114" i="2"/>
  <c r="AM212" i="2"/>
  <c r="R123" i="3"/>
  <c r="R123" i="2" s="1"/>
  <c r="R124" i="2"/>
  <c r="AF110" i="2"/>
  <c r="AO103" i="2"/>
  <c r="AC130" i="2"/>
  <c r="Y219" i="3"/>
  <c r="Y220" i="2"/>
  <c r="Z104" i="2"/>
  <c r="AD214" i="2"/>
  <c r="AE233" i="2"/>
  <c r="AS176" i="2"/>
  <c r="H69" i="2"/>
  <c r="G232" i="2"/>
  <c r="K158" i="2"/>
  <c r="U144" i="3"/>
  <c r="U144" i="2" s="1"/>
  <c r="U145" i="2"/>
  <c r="M156" i="3"/>
  <c r="M156" i="2" s="1"/>
  <c r="M157" i="2"/>
  <c r="T144" i="3"/>
  <c r="T144" i="2" s="1"/>
  <c r="T145" i="2"/>
  <c r="AK133" i="2"/>
  <c r="AL148" i="2"/>
  <c r="AD221" i="2"/>
  <c r="I156" i="3"/>
  <c r="I156" i="2" s="1"/>
  <c r="I157" i="2"/>
  <c r="AM143" i="2"/>
  <c r="Y133" i="2"/>
  <c r="AQ148" i="2"/>
  <c r="Q137" i="3"/>
  <c r="Q137" i="2" s="1"/>
  <c r="Q138" i="2"/>
  <c r="I118" i="2"/>
  <c r="AP129" i="2"/>
  <c r="X125" i="2"/>
  <c r="I115" i="3"/>
  <c r="I115" i="2" s="1"/>
  <c r="I116" i="2"/>
  <c r="AQ131" i="2"/>
  <c r="AS224" i="2"/>
  <c r="V216" i="2"/>
  <c r="W100" i="3"/>
  <c r="W101" i="2"/>
  <c r="AF114" i="2"/>
  <c r="AO212" i="2"/>
  <c r="AM217" i="2"/>
  <c r="AN102" i="2"/>
  <c r="AJ118" i="2"/>
  <c r="U213" i="2"/>
  <c r="K221" i="2"/>
  <c r="AI219" i="3"/>
  <c r="AI220" i="2"/>
  <c r="AI213" i="2"/>
  <c r="V129" i="2"/>
  <c r="R213" i="2"/>
  <c r="P100" i="3"/>
  <c r="P101" i="2"/>
  <c r="I213" i="2"/>
  <c r="AH155" i="2"/>
  <c r="R146" i="2"/>
  <c r="AN230" i="2"/>
  <c r="AN156" i="3"/>
  <c r="AN156" i="2" s="1"/>
  <c r="AN157" i="2"/>
  <c r="L227" i="2"/>
  <c r="L147" i="2"/>
  <c r="V222" i="2"/>
  <c r="K136" i="2"/>
  <c r="AE225" i="2"/>
  <c r="V131" i="2"/>
  <c r="V149" i="3"/>
  <c r="V149" i="2" s="1"/>
  <c r="V150" i="2"/>
  <c r="AI230" i="2"/>
  <c r="AG227" i="2"/>
  <c r="Z130" i="2"/>
  <c r="J224" i="2"/>
  <c r="L129" i="2"/>
  <c r="Z118" i="2"/>
  <c r="AH125" i="2"/>
  <c r="H137" i="3"/>
  <c r="H137" i="2" s="1"/>
  <c r="H138" i="2"/>
  <c r="K112" i="3"/>
  <c r="K112" i="2" s="1"/>
  <c r="K113" i="2"/>
  <c r="AF129" i="2"/>
  <c r="N216" i="2"/>
  <c r="O100" i="3"/>
  <c r="O101" i="2"/>
  <c r="U114" i="2"/>
  <c r="AG212" i="2"/>
  <c r="T224" i="2"/>
  <c r="L107" i="3"/>
  <c r="L107" i="2" s="1"/>
  <c r="L108" i="2"/>
  <c r="V217" i="2"/>
  <c r="W102" i="2"/>
  <c r="Y214" i="2"/>
  <c r="AR217" i="2"/>
  <c r="AS102" i="2"/>
  <c r="AB118" i="2"/>
  <c r="J213" i="2"/>
  <c r="AL125" i="2"/>
  <c r="AI224" i="2"/>
  <c r="Q176" i="2"/>
  <c r="AH119" i="2"/>
  <c r="K38" i="2"/>
  <c r="K160" i="2"/>
  <c r="AG38" i="2"/>
  <c r="F32" i="2"/>
  <c r="Q155" i="2"/>
  <c r="AK147" i="2"/>
  <c r="Z230" i="2"/>
  <c r="AP140" i="3"/>
  <c r="AP141" i="2"/>
  <c r="AO227" i="2"/>
  <c r="AE137" i="3"/>
  <c r="AE137" i="2" s="1"/>
  <c r="AE138" i="2"/>
  <c r="AD137" i="3"/>
  <c r="AD137" i="2" s="1"/>
  <c r="AD138" i="2"/>
  <c r="AP232" i="2"/>
  <c r="AE143" i="2"/>
  <c r="S133" i="2"/>
  <c r="Y225" i="2"/>
  <c r="AP142" i="2"/>
  <c r="AI151" i="3"/>
  <c r="AI151" i="2" s="1"/>
  <c r="AI152" i="2"/>
  <c r="AH128" i="2"/>
  <c r="K226" i="2"/>
  <c r="X151" i="3"/>
  <c r="X151" i="2" s="1"/>
  <c r="X152" i="2"/>
  <c r="AO128" i="2"/>
  <c r="R226" i="2"/>
  <c r="Z221" i="2"/>
  <c r="AR121" i="3"/>
  <c r="AR122" i="2"/>
  <c r="Y131" i="2"/>
  <c r="AD224" i="2"/>
  <c r="W221" i="2"/>
  <c r="AG121" i="3"/>
  <c r="AG122" i="2"/>
  <c r="U226" i="2"/>
  <c r="AG109" i="2"/>
  <c r="J130" i="2"/>
  <c r="M111" i="2"/>
  <c r="Y126" i="3"/>
  <c r="Y126" i="2" s="1"/>
  <c r="Y127" i="2"/>
  <c r="AO110" i="2"/>
  <c r="AP103" i="2"/>
  <c r="H110" i="2"/>
  <c r="Q103" i="2"/>
  <c r="AJ217" i="2"/>
  <c r="AK102" i="2"/>
  <c r="K228" i="2"/>
  <c r="AC173" i="2"/>
  <c r="AA173" i="2"/>
  <c r="Z174" i="2"/>
  <c r="AQ46" i="2"/>
  <c r="AB36" i="3"/>
  <c r="AB36" i="2" s="1"/>
  <c r="AB37" i="2"/>
  <c r="AC29" i="2"/>
  <c r="AJ175" i="2"/>
  <c r="AA50" i="3"/>
  <c r="AA50" i="2" s="1"/>
  <c r="AA51" i="2"/>
  <c r="M170" i="2"/>
  <c r="L67" i="2"/>
  <c r="L60" i="2"/>
  <c r="R36" i="3"/>
  <c r="R36" i="2" s="1"/>
  <c r="R37" i="2"/>
  <c r="X65" i="3"/>
  <c r="X65" i="2" s="1"/>
  <c r="X66" i="2"/>
  <c r="X166" i="2"/>
  <c r="AC30" i="3"/>
  <c r="AC30" i="2" s="1"/>
  <c r="AC31" i="2"/>
  <c r="AS49" i="2"/>
  <c r="S40" i="3"/>
  <c r="S41" i="2"/>
  <c r="W168" i="2"/>
  <c r="AJ42" i="2"/>
  <c r="AG163" i="2"/>
  <c r="S42" i="2"/>
  <c r="V59" i="2"/>
  <c r="AD167" i="2"/>
  <c r="K53" i="3"/>
  <c r="K54" i="2"/>
  <c r="H164" i="2"/>
  <c r="I47" i="3"/>
  <c r="I47" i="2" s="1"/>
  <c r="I48" i="2"/>
  <c r="J61" i="3"/>
  <c r="J61" i="2" s="1"/>
  <c r="J62" i="2"/>
  <c r="M114" i="2"/>
  <c r="U173" i="2"/>
  <c r="AN167" i="2"/>
  <c r="I53" i="3"/>
  <c r="I54" i="2"/>
  <c r="AG164" i="2"/>
  <c r="X53" i="3"/>
  <c r="X54" i="2"/>
  <c r="AB33" i="3"/>
  <c r="AB33" i="2" s="1"/>
  <c r="AB34" i="2"/>
  <c r="AH55" i="3"/>
  <c r="AH55" i="2" s="1"/>
  <c r="AH56" i="2"/>
  <c r="AD35" i="2"/>
  <c r="T174" i="2"/>
  <c r="J47" i="3"/>
  <c r="J47" i="2" s="1"/>
  <c r="J48" i="2"/>
  <c r="X36" i="3"/>
  <c r="X36" i="2" s="1"/>
  <c r="X37" i="2"/>
  <c r="AG29" i="2"/>
  <c r="O175" i="2"/>
  <c r="AH30" i="3"/>
  <c r="AH30" i="2" s="1"/>
  <c r="AH31" i="2"/>
  <c r="Q33" i="3"/>
  <c r="Q33" i="2" s="1"/>
  <c r="Q34" i="2"/>
  <c r="AM50" i="3"/>
  <c r="AM50" i="2" s="1"/>
  <c r="AM51" i="2"/>
  <c r="AC26" i="3"/>
  <c r="AC27" i="2"/>
  <c r="I30" i="3"/>
  <c r="I30" i="2" s="1"/>
  <c r="I31" i="2"/>
  <c r="AF55" i="3"/>
  <c r="AF55" i="2" s="1"/>
  <c r="AF56" i="2"/>
  <c r="AS164" i="2"/>
  <c r="H142" i="2"/>
  <c r="AL67" i="2"/>
  <c r="AM173" i="2"/>
  <c r="AI166" i="2"/>
  <c r="AF167" i="2"/>
  <c r="H68" i="2"/>
  <c r="AK60" i="2"/>
  <c r="K50" i="3"/>
  <c r="K50" i="2" s="1"/>
  <c r="K51" i="2"/>
  <c r="AH32" i="2"/>
  <c r="P53" i="3"/>
  <c r="P54" i="2"/>
  <c r="G173" i="2"/>
  <c r="V35" i="2"/>
  <c r="AB57" i="3"/>
  <c r="AB57" i="2" s="1"/>
  <c r="AB58" i="2"/>
  <c r="AH33" i="3"/>
  <c r="AH33" i="2" s="1"/>
  <c r="AH34" i="2"/>
  <c r="AP64" i="2"/>
  <c r="AO65" i="3"/>
  <c r="AO65" i="2" s="1"/>
  <c r="AO66" i="2"/>
  <c r="AK59" i="2"/>
  <c r="AL169" i="2"/>
  <c r="T42" i="2"/>
  <c r="Q163" i="2"/>
  <c r="Y32" i="2"/>
  <c r="AN29" i="2"/>
  <c r="AI29" i="2"/>
  <c r="AE170" i="2"/>
  <c r="AR166" i="2"/>
  <c r="W133" i="2"/>
  <c r="X111" i="2"/>
  <c r="AH175" i="2"/>
  <c r="AO213" i="2"/>
  <c r="Q61" i="3"/>
  <c r="Q61" i="2" s="1"/>
  <c r="Q62" i="2"/>
  <c r="AK43" i="2"/>
  <c r="N33" i="3"/>
  <c r="N33" i="2" s="1"/>
  <c r="N34" i="2"/>
  <c r="AL172" i="2"/>
  <c r="T55" i="3"/>
  <c r="T55" i="2" s="1"/>
  <c r="T56" i="2"/>
  <c r="H171" i="2"/>
  <c r="Q28" i="2"/>
  <c r="AI55" i="3"/>
  <c r="AI55" i="2" s="1"/>
  <c r="AI56" i="2"/>
  <c r="AE35" i="2"/>
  <c r="AS57" i="3"/>
  <c r="AS57" i="2" s="1"/>
  <c r="AS58" i="2"/>
  <c r="S47" i="3"/>
  <c r="S47" i="2" s="1"/>
  <c r="S48" i="2"/>
  <c r="AO36" i="3"/>
  <c r="AO36" i="2" s="1"/>
  <c r="AO37" i="2"/>
  <c r="AP29" i="2"/>
  <c r="AR65" i="3"/>
  <c r="AR65" i="2" s="1"/>
  <c r="AR66" i="2"/>
  <c r="AM59" i="2"/>
  <c r="AN169" i="2"/>
  <c r="V42" i="2"/>
  <c r="AR30" i="3"/>
  <c r="AR30" i="2" s="1"/>
  <c r="AR31" i="2"/>
  <c r="AM55" i="3"/>
  <c r="AM55" i="2" s="1"/>
  <c r="AM56" i="2"/>
  <c r="AA35" i="2"/>
  <c r="S173" i="2"/>
  <c r="AI167" i="2"/>
  <c r="S44" i="3"/>
  <c r="S44" i="2" s="1"/>
  <c r="S45" i="2"/>
  <c r="Q32" i="2"/>
  <c r="N46" i="2"/>
  <c r="AK163" i="2"/>
  <c r="AB35" i="2"/>
  <c r="O216" i="2"/>
  <c r="P67" i="2"/>
  <c r="V174" i="2"/>
  <c r="R65" i="3"/>
  <c r="R65" i="2" s="1"/>
  <c r="R66" i="2"/>
  <c r="S166" i="2"/>
  <c r="P30" i="3"/>
  <c r="P30" i="2" s="1"/>
  <c r="P31" i="2"/>
  <c r="AF49" i="2"/>
  <c r="N40" i="3"/>
  <c r="N41" i="2"/>
  <c r="R168" i="2"/>
  <c r="G68" i="2"/>
  <c r="AR60" i="2"/>
  <c r="R50" i="3"/>
  <c r="R50" i="2" s="1"/>
  <c r="R51" i="2"/>
  <c r="AG174" i="2"/>
  <c r="K47" i="3"/>
  <c r="K47" i="2" s="1"/>
  <c r="K48" i="2"/>
  <c r="AG36" i="3"/>
  <c r="AG36" i="2" s="1"/>
  <c r="AG37" i="2"/>
  <c r="AH29" i="2"/>
  <c r="AR175" i="2"/>
  <c r="AF50" i="3"/>
  <c r="AF50" i="2" s="1"/>
  <c r="AF51" i="2"/>
  <c r="R170" i="2"/>
  <c r="S26" i="3"/>
  <c r="S27" i="2"/>
  <c r="T65" i="3"/>
  <c r="T65" i="2" s="1"/>
  <c r="T66" i="2"/>
  <c r="U166" i="2"/>
  <c r="J30" i="3"/>
  <c r="J30" i="2" s="1"/>
  <c r="J31" i="2"/>
  <c r="AF172" i="2"/>
  <c r="N167" i="2"/>
  <c r="AQ165" i="2"/>
  <c r="AO33" i="3"/>
  <c r="AO33" i="2" s="1"/>
  <c r="AO34" i="2"/>
  <c r="W47" i="3"/>
  <c r="W47" i="2" s="1"/>
  <c r="W48" i="2"/>
  <c r="K57" i="3"/>
  <c r="K57" i="2" s="1"/>
  <c r="K58" i="2"/>
  <c r="AA164" i="2"/>
  <c r="AL175" i="2"/>
  <c r="W33" i="3"/>
  <c r="W33" i="2" s="1"/>
  <c r="W34" i="2"/>
  <c r="AH117" i="2"/>
  <c r="AJ105" i="3"/>
  <c r="AJ105" i="2" s="1"/>
  <c r="AJ106" i="2"/>
  <c r="N67" i="2"/>
  <c r="K59" i="2"/>
  <c r="H30" i="3"/>
  <c r="H30" i="2" s="1"/>
  <c r="H31" i="2"/>
  <c r="Y174" i="2"/>
  <c r="AP46" i="2"/>
  <c r="AB165" i="2"/>
  <c r="R63" i="2"/>
  <c r="O171" i="2"/>
  <c r="AL61" i="3"/>
  <c r="AL61" i="2" s="1"/>
  <c r="AL62" i="2"/>
  <c r="H32" i="2"/>
  <c r="AF63" i="2"/>
  <c r="O46" i="2"/>
  <c r="AK171" i="2"/>
  <c r="AL28" i="2"/>
  <c r="N68" i="2"/>
  <c r="AF60" i="2"/>
  <c r="N50" i="3"/>
  <c r="N50" i="2" s="1"/>
  <c r="N51" i="2"/>
  <c r="AC32" i="2"/>
  <c r="X165" i="2"/>
  <c r="V29" i="2"/>
  <c r="I170" i="2"/>
  <c r="AL55" i="3"/>
  <c r="AL55" i="2" s="1"/>
  <c r="AL56" i="2"/>
  <c r="AL163" i="2"/>
  <c r="AQ30" i="3"/>
  <c r="AQ30" i="2" s="1"/>
  <c r="AQ31" i="2"/>
  <c r="U169" i="2"/>
  <c r="AA67" i="2"/>
  <c r="AB168" i="2"/>
  <c r="AN100" i="3"/>
  <c r="AN101" i="2"/>
  <c r="J68" i="2"/>
  <c r="Q171" i="2"/>
  <c r="R28" i="2"/>
  <c r="N172" i="2"/>
  <c r="AH46" i="2"/>
  <c r="T165" i="2"/>
  <c r="J63" i="2"/>
  <c r="AS167" i="2"/>
  <c r="Y43" i="2"/>
  <c r="AM32" i="2"/>
  <c r="AP57" i="3"/>
  <c r="AP57" i="2" s="1"/>
  <c r="AP58" i="2"/>
  <c r="AE165" i="2"/>
  <c r="AO32" i="2"/>
  <c r="Q44" i="3"/>
  <c r="Q44" i="2" s="1"/>
  <c r="Q45" i="2"/>
  <c r="AD173" i="2"/>
  <c r="K117" i="2"/>
  <c r="S175" i="2"/>
  <c r="AF57" i="3"/>
  <c r="AF57" i="2" s="1"/>
  <c r="AF58" i="2"/>
  <c r="AK165" i="2"/>
  <c r="AL173" i="2"/>
  <c r="H49" i="2"/>
  <c r="AE167" i="2"/>
  <c r="AC64" i="2"/>
  <c r="V44" i="3"/>
  <c r="V44" i="2" s="1"/>
  <c r="V45" i="2"/>
  <c r="AR33" i="3"/>
  <c r="AR33" i="2" s="1"/>
  <c r="AR34" i="2"/>
  <c r="L172" i="2"/>
  <c r="X46" i="2"/>
  <c r="J165" i="2"/>
  <c r="AP174" i="2"/>
  <c r="H169" i="2"/>
  <c r="AA40" i="3"/>
  <c r="AA41" i="2"/>
  <c r="AE168" i="2"/>
  <c r="AH57" i="3"/>
  <c r="AH57" i="2" s="1"/>
  <c r="AH58" i="2"/>
  <c r="W165" i="2"/>
  <c r="AG47" i="3"/>
  <c r="AG47" i="2" s="1"/>
  <c r="AG48" i="2"/>
  <c r="K173" i="2"/>
  <c r="M28" i="2"/>
  <c r="AN40" i="3"/>
  <c r="AN41" i="2"/>
  <c r="AC28" i="2"/>
  <c r="AJ168" i="2"/>
  <c r="X176" i="2"/>
  <c r="AN38" i="2"/>
  <c r="AN160" i="2"/>
  <c r="F107" i="3"/>
  <c r="F107" i="2" s="1"/>
  <c r="F108" i="2"/>
  <c r="F117" i="2"/>
  <c r="F111" i="2"/>
  <c r="F146" i="2"/>
  <c r="F140" i="3"/>
  <c r="F141" i="2"/>
  <c r="W69" i="2"/>
  <c r="L233" i="2"/>
  <c r="F132" i="2"/>
  <c r="F143" i="2"/>
  <c r="AD176" i="2"/>
  <c r="O119" i="2"/>
  <c r="AC69" i="2"/>
  <c r="AC160" i="2"/>
  <c r="F225" i="2"/>
  <c r="F147" i="2"/>
  <c r="AG223" i="2"/>
  <c r="P215" i="2"/>
  <c r="AA219" i="3"/>
  <c r="AA220" i="2"/>
  <c r="AJ104" i="2"/>
  <c r="AL215" i="2"/>
  <c r="R112" i="3"/>
  <c r="R112" i="2" s="1"/>
  <c r="R113" i="2"/>
  <c r="U105" i="3"/>
  <c r="U105" i="2" s="1"/>
  <c r="U106" i="2"/>
  <c r="R109" i="2"/>
  <c r="AP119" i="2"/>
  <c r="F153" i="3"/>
  <c r="F153" i="2" s="1"/>
  <c r="F154" i="2"/>
  <c r="F221" i="2"/>
  <c r="F38" i="2"/>
  <c r="F160" i="2"/>
  <c r="AJ69" i="2"/>
  <c r="F223" i="2"/>
  <c r="S69" i="2"/>
  <c r="T231" i="2"/>
  <c r="U147" i="2"/>
  <c r="AQ232" i="2"/>
  <c r="G149" i="3"/>
  <c r="G149" i="2" s="1"/>
  <c r="G150" i="2"/>
  <c r="L140" i="3"/>
  <c r="L141" i="2"/>
  <c r="AQ225" i="2"/>
  <c r="AQ230" i="2"/>
  <c r="AE222" i="2"/>
  <c r="AH136" i="2"/>
  <c r="Z148" i="2"/>
  <c r="AA225" i="2"/>
  <c r="AQ211" i="2"/>
  <c r="AD218" i="2"/>
  <c r="AJ147" i="2"/>
  <c r="V136" i="2"/>
  <c r="W112" i="3"/>
  <c r="W112" i="2" s="1"/>
  <c r="W113" i="2"/>
  <c r="AK136" i="2"/>
  <c r="N117" i="2"/>
  <c r="X226" i="2"/>
  <c r="AM130" i="2"/>
  <c r="Q121" i="3"/>
  <c r="Q122" i="2"/>
  <c r="R212" i="2"/>
  <c r="AM115" i="3"/>
  <c r="AM115" i="2" s="1"/>
  <c r="AM116" i="2"/>
  <c r="AS107" i="3"/>
  <c r="AS107" i="2" s="1"/>
  <c r="AS108" i="2"/>
  <c r="Z229" i="2"/>
  <c r="G217" i="2"/>
  <c r="H102" i="2"/>
  <c r="Z214" i="2"/>
  <c r="AD118" i="2"/>
  <c r="AB213" i="2"/>
  <c r="Q126" i="3"/>
  <c r="Q126" i="2" s="1"/>
  <c r="Q127" i="2"/>
  <c r="AM110" i="2"/>
  <c r="AN103" i="2"/>
  <c r="P219" i="3"/>
  <c r="P220" i="2"/>
  <c r="V225" i="2"/>
  <c r="W144" i="3"/>
  <c r="W144" i="2" s="1"/>
  <c r="W145" i="2"/>
  <c r="AL232" i="2"/>
  <c r="H156" i="3"/>
  <c r="H156" i="2" s="1"/>
  <c r="H157" i="2"/>
  <c r="AF151" i="3"/>
  <c r="AF151" i="2" s="1"/>
  <c r="AF152" i="2"/>
  <c r="H144" i="3"/>
  <c r="H144" i="2" s="1"/>
  <c r="H145" i="2"/>
  <c r="AM225" i="2"/>
  <c r="P225" i="2"/>
  <c r="AF211" i="2"/>
  <c r="V218" i="2"/>
  <c r="N136" i="2"/>
  <c r="AK129" i="2"/>
  <c r="O223" i="2"/>
  <c r="Q128" i="2"/>
  <c r="AE229" i="2"/>
  <c r="AG144" i="3"/>
  <c r="AG144" i="2" s="1"/>
  <c r="AG145" i="2"/>
  <c r="R126" i="3"/>
  <c r="R126" i="2" s="1"/>
  <c r="R127" i="2"/>
  <c r="AF131" i="2"/>
  <c r="N112" i="3"/>
  <c r="N112" i="2" s="1"/>
  <c r="N113" i="2"/>
  <c r="J105" i="3"/>
  <c r="J105" i="2" s="1"/>
  <c r="J106" i="2"/>
  <c r="X223" i="2"/>
  <c r="Q215" i="2"/>
  <c r="L112" i="3"/>
  <c r="L112" i="2" s="1"/>
  <c r="L113" i="2"/>
  <c r="AS104" i="2"/>
  <c r="G224" i="2"/>
  <c r="AM105" i="3"/>
  <c r="AM105" i="2" s="1"/>
  <c r="AM106" i="2"/>
  <c r="T112" i="3"/>
  <c r="T112" i="2" s="1"/>
  <c r="T113" i="2"/>
  <c r="V105" i="3"/>
  <c r="V105" i="2" s="1"/>
  <c r="V106" i="2"/>
  <c r="N228" i="2"/>
  <c r="X216" i="2"/>
  <c r="AG100" i="3"/>
  <c r="AG101" i="2"/>
  <c r="AH109" i="2"/>
  <c r="N103" i="2"/>
  <c r="AB119" i="2"/>
  <c r="AM119" i="2"/>
  <c r="N119" i="2"/>
  <c r="AR38" i="2"/>
  <c r="AR160" i="2"/>
  <c r="AA38" i="2"/>
  <c r="AA160" i="2"/>
  <c r="W158" i="2"/>
  <c r="X148" i="2"/>
  <c r="AG142" i="2"/>
  <c r="AH231" i="2"/>
  <c r="AO144" i="3"/>
  <c r="AO144" i="2" s="1"/>
  <c r="AO145" i="2"/>
  <c r="H134" i="3"/>
  <c r="H134" i="2" s="1"/>
  <c r="H135" i="2"/>
  <c r="AS137" i="3"/>
  <c r="AS137" i="2" s="1"/>
  <c r="AS138" i="2"/>
  <c r="Y148" i="2"/>
  <c r="S137" i="3"/>
  <c r="S137" i="2" s="1"/>
  <c r="S138" i="2"/>
  <c r="R149" i="3"/>
  <c r="R149" i="2" s="1"/>
  <c r="R150" i="2"/>
  <c r="T125" i="2"/>
  <c r="P229" i="2"/>
  <c r="X137" i="3"/>
  <c r="X137" i="2" s="1"/>
  <c r="X138" i="2"/>
  <c r="AN128" i="2"/>
  <c r="Y118" i="2"/>
  <c r="AK143" i="2"/>
  <c r="J126" i="3"/>
  <c r="J126" i="2" s="1"/>
  <c r="J127" i="2"/>
  <c r="AH123" i="3"/>
  <c r="AH123" i="2" s="1"/>
  <c r="AH124" i="2"/>
  <c r="AB110" i="2"/>
  <c r="AC103" i="2"/>
  <c r="AK231" i="2"/>
  <c r="M223" i="2"/>
  <c r="I215" i="2"/>
  <c r="AK111" i="2"/>
  <c r="AK104" i="2"/>
  <c r="AQ123" i="3"/>
  <c r="AQ123" i="2" s="1"/>
  <c r="AQ124" i="2"/>
  <c r="W110" i="2"/>
  <c r="X103" i="2"/>
  <c r="J221" i="2"/>
  <c r="AH219" i="3"/>
  <c r="AH220" i="2"/>
  <c r="AH104" i="2"/>
  <c r="Q213" i="2"/>
  <c r="AI212" i="2"/>
  <c r="F133" i="2"/>
  <c r="Q158" i="2"/>
  <c r="AQ149" i="3"/>
  <c r="AQ149" i="2" s="1"/>
  <c r="AQ150" i="2"/>
  <c r="U158" i="2"/>
  <c r="J151" i="3"/>
  <c r="J151" i="2" s="1"/>
  <c r="J152" i="2"/>
  <c r="K144" i="3"/>
  <c r="K144" i="2" s="1"/>
  <c r="K145" i="2"/>
  <c r="AK149" i="3"/>
  <c r="AK149" i="2" s="1"/>
  <c r="AK150" i="2"/>
  <c r="R211" i="2"/>
  <c r="K151" i="3"/>
  <c r="K151" i="2" s="1"/>
  <c r="K152" i="2"/>
  <c r="AA142" i="2"/>
  <c r="X158" i="2"/>
  <c r="J156" i="3"/>
  <c r="J156" i="2" s="1"/>
  <c r="J157" i="2"/>
  <c r="AB144" i="3"/>
  <c r="AB144" i="2" s="1"/>
  <c r="AB145" i="2"/>
  <c r="AQ133" i="2"/>
  <c r="Q225" i="2"/>
  <c r="AR211" i="2"/>
  <c r="AM132" i="2"/>
  <c r="AD149" i="3"/>
  <c r="AD149" i="2" s="1"/>
  <c r="AD150" i="2"/>
  <c r="K211" i="2"/>
  <c r="AA155" i="2"/>
  <c r="U129" i="2"/>
  <c r="AI118" i="2"/>
  <c r="M126" i="3"/>
  <c r="M126" i="2" s="1"/>
  <c r="M127" i="2"/>
  <c r="AC146" i="2"/>
  <c r="L218" i="2"/>
  <c r="M123" i="3"/>
  <c r="M123" i="2" s="1"/>
  <c r="M124" i="2"/>
  <c r="K218" i="2"/>
  <c r="T123" i="3"/>
  <c r="T123" i="2" s="1"/>
  <c r="T124" i="2"/>
  <c r="H228" i="2"/>
  <c r="AD216" i="2"/>
  <c r="AE100" i="3"/>
  <c r="AE101" i="2"/>
  <c r="AR224" i="2"/>
  <c r="U107" i="3"/>
  <c r="U107" i="2" s="1"/>
  <c r="U108" i="2"/>
  <c r="AQ114" i="2"/>
  <c r="AB107" i="3"/>
  <c r="AB107" i="2" s="1"/>
  <c r="AB108" i="2"/>
  <c r="AC224" i="2"/>
  <c r="K107" i="3"/>
  <c r="K107" i="2" s="1"/>
  <c r="K108" i="2"/>
  <c r="AO214" i="2"/>
  <c r="K123" i="3"/>
  <c r="K123" i="2" s="1"/>
  <c r="K124" i="2"/>
  <c r="O110" i="2"/>
  <c r="P103" i="2"/>
  <c r="Z213" i="2"/>
  <c r="AG104" i="2"/>
  <c r="F155" i="2"/>
  <c r="Y38" i="2"/>
  <c r="V119" i="2"/>
  <c r="AR155" i="2"/>
  <c r="Z146" i="2"/>
  <c r="AM155" i="2"/>
  <c r="AD146" i="2"/>
  <c r="AB153" i="3"/>
  <c r="AB153" i="2" s="1"/>
  <c r="AB154" i="2"/>
  <c r="M231" i="2"/>
  <c r="AL227" i="2"/>
  <c r="AC137" i="3"/>
  <c r="AC137" i="2" s="1"/>
  <c r="AC138" i="2"/>
  <c r="S222" i="2"/>
  <c r="Y136" i="2"/>
  <c r="I231" i="2"/>
  <c r="AK144" i="3"/>
  <c r="AK144" i="2" s="1"/>
  <c r="AK145" i="2"/>
  <c r="U134" i="3"/>
  <c r="U134" i="2" s="1"/>
  <c r="U135" i="2"/>
  <c r="AF153" i="3"/>
  <c r="AF153" i="2" s="1"/>
  <c r="AF154" i="2"/>
  <c r="AJ130" i="2"/>
  <c r="N121" i="3"/>
  <c r="N122" i="2"/>
  <c r="R114" i="2"/>
  <c r="AR130" i="2"/>
  <c r="U121" i="3"/>
  <c r="U122" i="2"/>
  <c r="AE148" i="2"/>
  <c r="X128" i="2"/>
  <c r="I226" i="2"/>
  <c r="AK117" i="2"/>
  <c r="AS131" i="2"/>
  <c r="I228" i="2"/>
  <c r="AQ221" i="2"/>
  <c r="L123" i="3"/>
  <c r="L123" i="2" s="1"/>
  <c r="L124" i="2"/>
  <c r="W210" i="2"/>
  <c r="AF224" i="2"/>
  <c r="M107" i="3"/>
  <c r="M107" i="2" s="1"/>
  <c r="M108" i="2"/>
  <c r="AE114" i="2"/>
  <c r="AN212" i="2"/>
  <c r="AJ226" i="2"/>
  <c r="AD109" i="2"/>
  <c r="AN121" i="3"/>
  <c r="AN122" i="2"/>
  <c r="X110" i="2"/>
  <c r="AG103" i="2"/>
  <c r="AA109" i="2"/>
  <c r="P210" i="2"/>
  <c r="AH230" i="2"/>
  <c r="Q153" i="3"/>
  <c r="Q153" i="2" s="1"/>
  <c r="Q154" i="2"/>
  <c r="AN231" i="2"/>
  <c r="V155" i="2"/>
  <c r="L222" i="2"/>
  <c r="T136" i="2"/>
  <c r="V221" i="2"/>
  <c r="AR137" i="3"/>
  <c r="AR137" i="2" s="1"/>
  <c r="AR138" i="2"/>
  <c r="Z144" i="3"/>
  <c r="Z144" i="2" s="1"/>
  <c r="Z145" i="2"/>
  <c r="M134" i="3"/>
  <c r="M134" i="2" s="1"/>
  <c r="M135" i="2"/>
  <c r="V153" i="3"/>
  <c r="V153" i="2" s="1"/>
  <c r="V154" i="2"/>
  <c r="AA140" i="3"/>
  <c r="AA141" i="2"/>
  <c r="N232" i="2"/>
  <c r="S134" i="3"/>
  <c r="S134" i="2" s="1"/>
  <c r="S135" i="2"/>
  <c r="S118" i="2"/>
  <c r="Z226" i="2"/>
  <c r="AK131" i="2"/>
  <c r="Y125" i="2"/>
  <c r="AM114" i="2"/>
  <c r="AG129" i="2"/>
  <c r="K223" i="2"/>
  <c r="AR128" i="2"/>
  <c r="W111" i="2"/>
  <c r="O210" i="2"/>
  <c r="U224" i="2"/>
  <c r="AP105" i="3"/>
  <c r="AP105" i="2" s="1"/>
  <c r="AP106" i="2"/>
  <c r="L216" i="2"/>
  <c r="M100" i="3"/>
  <c r="M101" i="2"/>
  <c r="H114" i="2"/>
  <c r="W212" i="2"/>
  <c r="P115" i="3"/>
  <c r="P115" i="2" s="1"/>
  <c r="P116" i="2"/>
  <c r="AH107" i="3"/>
  <c r="AH107" i="2" s="1"/>
  <c r="AH108" i="2"/>
  <c r="AA114" i="2"/>
  <c r="AS212" i="2"/>
  <c r="AB226" i="2"/>
  <c r="S109" i="2"/>
  <c r="AH233" i="2"/>
  <c r="K176" i="2"/>
  <c r="AG176" i="2"/>
  <c r="F168" i="2"/>
  <c r="P69" i="2"/>
  <c r="Q230" i="2"/>
  <c r="AJ156" i="3"/>
  <c r="AJ156" i="2" s="1"/>
  <c r="AJ157" i="2"/>
  <c r="AK222" i="2"/>
  <c r="AD155" i="2"/>
  <c r="AO222" i="2"/>
  <c r="K222" i="2"/>
  <c r="T151" i="3"/>
  <c r="T151" i="2" s="1"/>
  <c r="T152" i="2"/>
  <c r="AJ211" i="2"/>
  <c r="AO218" i="2"/>
  <c r="R147" i="2"/>
  <c r="P158" i="2"/>
  <c r="AF146" i="2"/>
  <c r="AJ134" i="3"/>
  <c r="AJ134" i="2" s="1"/>
  <c r="AJ135" i="2"/>
  <c r="Y151" i="3"/>
  <c r="Y151" i="2" s="1"/>
  <c r="Y152" i="2"/>
  <c r="AP211" i="2"/>
  <c r="AI225" i="2"/>
  <c r="X225" i="2"/>
  <c r="Y221" i="2"/>
  <c r="AA121" i="3"/>
  <c r="AA122" i="2"/>
  <c r="J227" i="2"/>
  <c r="Y129" i="2"/>
  <c r="AM118" i="2"/>
  <c r="AG217" i="2"/>
  <c r="AH102" i="2"/>
  <c r="K128" i="2"/>
  <c r="AQ110" i="2"/>
  <c r="G104" i="2"/>
  <c r="M219" i="3"/>
  <c r="M220" i="2"/>
  <c r="N104" i="2"/>
  <c r="AP214" i="2"/>
  <c r="Q214" i="2"/>
  <c r="P114" i="2"/>
  <c r="AK212" i="2"/>
  <c r="P126" i="3"/>
  <c r="P126" i="2" s="1"/>
  <c r="P127" i="2"/>
  <c r="AL110" i="2"/>
  <c r="AM103" i="2"/>
  <c r="AQ102" i="2"/>
  <c r="X57" i="3"/>
  <c r="X57" i="2" s="1"/>
  <c r="X58" i="2"/>
  <c r="AC165" i="2"/>
  <c r="Z59" i="2"/>
  <c r="AA169" i="2"/>
  <c r="I42" i="2"/>
  <c r="L174" i="2"/>
  <c r="AO46" i="2"/>
  <c r="X173" i="2"/>
  <c r="AQ47" i="3"/>
  <c r="AQ47" i="2" s="1"/>
  <c r="AQ48" i="2"/>
  <c r="AC167" i="2"/>
  <c r="AE67" i="2"/>
  <c r="Z60" i="2"/>
  <c r="AC68" i="2"/>
  <c r="L61" i="3"/>
  <c r="L61" i="2" s="1"/>
  <c r="L62" i="2"/>
  <c r="AI61" i="3"/>
  <c r="AI61" i="2" s="1"/>
  <c r="AI62" i="2"/>
  <c r="AP30" i="3"/>
  <c r="AP30" i="2" s="1"/>
  <c r="AP31" i="2"/>
  <c r="AD26" i="3"/>
  <c r="AD27" i="2"/>
  <c r="V166" i="2"/>
  <c r="N32" i="2"/>
  <c r="G36" i="3"/>
  <c r="G36" i="2" s="1"/>
  <c r="G37" i="2"/>
  <c r="M224" i="2"/>
  <c r="O67" i="2"/>
  <c r="AQ59" i="2"/>
  <c r="Y49" i="2"/>
  <c r="V68" i="2"/>
  <c r="AS60" i="2"/>
  <c r="AB43" i="2"/>
  <c r="AP32" i="2"/>
  <c r="W61" i="3"/>
  <c r="W61" i="2" s="1"/>
  <c r="W62" i="2"/>
  <c r="AQ43" i="2"/>
  <c r="AB170" i="2"/>
  <c r="AG63" i="2"/>
  <c r="H46" i="2"/>
  <c r="AD171" i="2"/>
  <c r="AE28" i="2"/>
  <c r="AJ57" i="3"/>
  <c r="AJ57" i="2" s="1"/>
  <c r="AJ58" i="2"/>
  <c r="AG165" i="2"/>
  <c r="G67" i="2"/>
  <c r="AS166" i="2"/>
  <c r="S49" i="2"/>
  <c r="AH167" i="2"/>
  <c r="M68" i="2"/>
  <c r="Q170" i="2"/>
  <c r="AM169" i="2"/>
  <c r="AC163" i="2"/>
  <c r="I167" i="2"/>
  <c r="G33" i="3"/>
  <c r="G33" i="2" s="1"/>
  <c r="G34" i="2"/>
  <c r="Z49" i="2"/>
  <c r="U28" i="2"/>
  <c r="AN28" i="2"/>
  <c r="AL112" i="3"/>
  <c r="AL112" i="2" s="1"/>
  <c r="AL113" i="2"/>
  <c r="G107" i="3"/>
  <c r="G107" i="2" s="1"/>
  <c r="G108" i="2"/>
  <c r="AL174" i="2"/>
  <c r="Q49" i="2"/>
  <c r="H175" i="2"/>
  <c r="K169" i="2"/>
  <c r="AD40" i="3"/>
  <c r="AD41" i="2"/>
  <c r="AH168" i="2"/>
  <c r="AF68" i="2"/>
  <c r="O61" i="3"/>
  <c r="O61" i="2" s="1"/>
  <c r="O62" i="2"/>
  <c r="AI43" i="2"/>
  <c r="T33" i="3"/>
  <c r="T33" i="2" s="1"/>
  <c r="T34" i="2"/>
  <c r="Z55" i="3"/>
  <c r="Z55" i="2" s="1"/>
  <c r="Z56" i="2"/>
  <c r="AS44" i="3"/>
  <c r="AS44" i="2" s="1"/>
  <c r="AS45" i="2"/>
  <c r="V171" i="2"/>
  <c r="W28" i="2"/>
  <c r="S64" i="2"/>
  <c r="T44" i="3"/>
  <c r="T44" i="2" s="1"/>
  <c r="T45" i="2"/>
  <c r="AH170" i="2"/>
  <c r="AI26" i="3"/>
  <c r="AI27" i="2"/>
  <c r="AP172" i="2"/>
  <c r="AO173" i="2"/>
  <c r="AK166" i="2"/>
  <c r="Z30" i="3"/>
  <c r="Z30" i="2" s="1"/>
  <c r="Z31" i="2"/>
  <c r="Y168" i="2"/>
  <c r="J40" i="3"/>
  <c r="J41" i="2"/>
  <c r="AN165" i="2"/>
  <c r="K42" i="2"/>
  <c r="N59" i="2"/>
  <c r="AI165" i="2"/>
  <c r="AD32" i="2"/>
  <c r="X219" i="3"/>
  <c r="X220" i="2"/>
  <c r="AJ50" i="3"/>
  <c r="AJ50" i="2" s="1"/>
  <c r="AJ51" i="2"/>
  <c r="N170" i="2"/>
  <c r="O26" i="3"/>
  <c r="O27" i="2"/>
  <c r="L43" i="2"/>
  <c r="Q164" i="2"/>
  <c r="AH63" i="2"/>
  <c r="Q46" i="2"/>
  <c r="AE171" i="2"/>
  <c r="AR64" i="2"/>
  <c r="AP165" i="2"/>
  <c r="AR173" i="2"/>
  <c r="AM166" i="2"/>
  <c r="AR167" i="2"/>
  <c r="AC67" i="2"/>
  <c r="Y60" i="2"/>
  <c r="AL63" i="2"/>
  <c r="U46" i="2"/>
  <c r="AA171" i="2"/>
  <c r="AJ28" i="2"/>
  <c r="K167" i="2"/>
  <c r="T59" i="2"/>
  <c r="Q168" i="2"/>
  <c r="R26" i="3"/>
  <c r="R27" i="2"/>
  <c r="AB171" i="2"/>
  <c r="P174" i="2"/>
  <c r="R173" i="2"/>
  <c r="AL47" i="3"/>
  <c r="AL47" i="2" s="1"/>
  <c r="AL48" i="2"/>
  <c r="P167" i="2"/>
  <c r="AI67" i="2"/>
  <c r="U60" i="2"/>
  <c r="G175" i="2"/>
  <c r="R169" i="2"/>
  <c r="AK40" i="3"/>
  <c r="AK41" i="2"/>
  <c r="AK57" i="3"/>
  <c r="AK57" i="2" s="1"/>
  <c r="AK58" i="2"/>
  <c r="AH165" i="2"/>
  <c r="AE59" i="2"/>
  <c r="AF169" i="2"/>
  <c r="N42" i="2"/>
  <c r="S163" i="2"/>
  <c r="AR61" i="3"/>
  <c r="AR61" i="2" s="1"/>
  <c r="AR62" i="2"/>
  <c r="T173" i="2"/>
  <c r="AF47" i="3"/>
  <c r="AF47" i="2" s="1"/>
  <c r="AF48" i="2"/>
  <c r="J167" i="2"/>
  <c r="AO170" i="2"/>
  <c r="L32" i="2"/>
  <c r="X68" i="2"/>
  <c r="W170" i="2"/>
  <c r="AH229" i="2"/>
  <c r="AJ215" i="2"/>
  <c r="N174" i="2"/>
  <c r="J65" i="3"/>
  <c r="J65" i="2" s="1"/>
  <c r="J66" i="2"/>
  <c r="K166" i="2"/>
  <c r="AD47" i="3"/>
  <c r="AD47" i="2" s="1"/>
  <c r="AD48" i="2"/>
  <c r="H167" i="2"/>
  <c r="W57" i="3"/>
  <c r="W57" i="2" s="1"/>
  <c r="W58" i="2"/>
  <c r="AK33" i="3"/>
  <c r="AK33" i="2" s="1"/>
  <c r="AK34" i="2"/>
  <c r="K43" i="2"/>
  <c r="AD49" i="2"/>
  <c r="L40" i="3"/>
  <c r="L41" i="2"/>
  <c r="H168" i="2"/>
  <c r="N53" i="3"/>
  <c r="N54" i="2"/>
  <c r="AL164" i="2"/>
  <c r="R64" i="2"/>
  <c r="N175" i="2"/>
  <c r="N169" i="2"/>
  <c r="AG40" i="3"/>
  <c r="AG41" i="2"/>
  <c r="AC168" i="2"/>
  <c r="V165" i="2"/>
  <c r="O36" i="3"/>
  <c r="O36" i="2" s="1"/>
  <c r="O37" i="2"/>
  <c r="AQ167" i="2"/>
  <c r="AA174" i="2"/>
  <c r="AN210" i="2"/>
  <c r="AA68" i="2"/>
  <c r="J175" i="2"/>
  <c r="T63" i="2"/>
  <c r="M43" i="2"/>
  <c r="R164" i="2"/>
  <c r="AG53" i="3"/>
  <c r="AG54" i="2"/>
  <c r="AC33" i="3"/>
  <c r="AC33" i="2" s="1"/>
  <c r="AC34" i="2"/>
  <c r="AM49" i="2"/>
  <c r="U40" i="3"/>
  <c r="U41" i="2"/>
  <c r="K67" i="2"/>
  <c r="AN59" i="2"/>
  <c r="V49" i="2"/>
  <c r="P68" i="2"/>
  <c r="AP60" i="2"/>
  <c r="P50" i="3"/>
  <c r="P50" i="2" s="1"/>
  <c r="P51" i="2"/>
  <c r="AM168" i="2"/>
  <c r="AB61" i="3"/>
  <c r="AB61" i="2" s="1"/>
  <c r="AB62" i="2"/>
  <c r="AO64" i="2"/>
  <c r="AH44" i="3"/>
  <c r="AH44" i="2" s="1"/>
  <c r="AH45" i="2"/>
  <c r="AN33" i="3"/>
  <c r="AN33" i="2" s="1"/>
  <c r="AN34" i="2"/>
  <c r="J49" i="2"/>
  <c r="Y44" i="3"/>
  <c r="Y44" i="2" s="1"/>
  <c r="Y45" i="2"/>
  <c r="AO168" i="2"/>
  <c r="V26" i="3"/>
  <c r="V27" i="2"/>
  <c r="R49" i="2"/>
  <c r="K229" i="2"/>
  <c r="AI65" i="3"/>
  <c r="AI65" i="2" s="1"/>
  <c r="AI66" i="2"/>
  <c r="AE64" i="2"/>
  <c r="X44" i="3"/>
  <c r="X44" i="2" s="1"/>
  <c r="X45" i="2"/>
  <c r="I35" i="2"/>
  <c r="G57" i="3"/>
  <c r="G57" i="2" s="1"/>
  <c r="G58" i="2"/>
  <c r="AN35" i="2"/>
  <c r="AC172" i="2"/>
  <c r="AN53" i="3"/>
  <c r="AN54" i="2"/>
  <c r="AR170" i="2"/>
  <c r="W53" i="3"/>
  <c r="W54" i="2"/>
  <c r="S33" i="3"/>
  <c r="S33" i="2" s="1"/>
  <c r="S34" i="2"/>
  <c r="G59" i="2"/>
  <c r="AN68" i="2"/>
  <c r="T61" i="3"/>
  <c r="T61" i="2" s="1"/>
  <c r="T62" i="2"/>
  <c r="AG64" i="2"/>
  <c r="Z44" i="3"/>
  <c r="Z44" i="2" s="1"/>
  <c r="Z45" i="2"/>
  <c r="AF33" i="3"/>
  <c r="AF33" i="2" s="1"/>
  <c r="AF34" i="2"/>
  <c r="M164" i="2"/>
  <c r="AQ53" i="3"/>
  <c r="AQ54" i="2"/>
  <c r="AC164" i="2"/>
  <c r="AF29" i="2"/>
  <c r="AK36" i="3"/>
  <c r="AK36" i="2" s="1"/>
  <c r="AK37" i="2"/>
  <c r="O50" i="3"/>
  <c r="O50" i="2" s="1"/>
  <c r="O51" i="2"/>
  <c r="F109" i="2"/>
  <c r="F55" i="3"/>
  <c r="F55" i="2" s="1"/>
  <c r="F56" i="2"/>
  <c r="AN176" i="2"/>
  <c r="G119" i="2"/>
  <c r="U38" i="2"/>
  <c r="U160" i="2"/>
  <c r="I38" i="2"/>
  <c r="J119" i="2"/>
  <c r="F216" i="2"/>
  <c r="Z38" i="2"/>
  <c r="Z160" i="2"/>
  <c r="F229" i="2"/>
  <c r="AI69" i="2"/>
  <c r="F219" i="3"/>
  <c r="F220" i="2"/>
  <c r="AF69" i="2"/>
  <c r="AK119" i="2"/>
  <c r="R38" i="2"/>
  <c r="R160" i="2"/>
  <c r="M119" i="2"/>
  <c r="AQ119" i="2"/>
  <c r="O233" i="2"/>
  <c r="F222" i="2"/>
  <c r="J125" i="2"/>
  <c r="N229" i="2"/>
  <c r="AB126" i="3"/>
  <c r="AB126" i="2" s="1"/>
  <c r="AB127" i="2"/>
  <c r="AN130" i="2"/>
  <c r="J121" i="3"/>
  <c r="J122" i="2"/>
  <c r="N114" i="2"/>
  <c r="AK112" i="3"/>
  <c r="AK112" i="2" s="1"/>
  <c r="AK113" i="2"/>
  <c r="AA105" i="3"/>
  <c r="AA105" i="2" s="1"/>
  <c r="AA106" i="2"/>
  <c r="AM228" i="2"/>
  <c r="AS216" i="2"/>
  <c r="I102" i="2"/>
  <c r="H212" i="2"/>
  <c r="AI115" i="3"/>
  <c r="AI115" i="2" s="1"/>
  <c r="AI116" i="2"/>
  <c r="AI107" i="3"/>
  <c r="AI107" i="2" s="1"/>
  <c r="AI108" i="2"/>
  <c r="AD226" i="2"/>
  <c r="AK109" i="2"/>
  <c r="AN214" i="2"/>
  <c r="M125" i="2"/>
  <c r="V110" i="2"/>
  <c r="W103" i="2"/>
  <c r="F46" i="2"/>
  <c r="AE158" i="2"/>
  <c r="H231" i="2"/>
  <c r="Q147" i="2"/>
  <c r="R140" i="3"/>
  <c r="R141" i="2"/>
  <c r="I227" i="2"/>
  <c r="AJ153" i="3"/>
  <c r="AJ153" i="2" s="1"/>
  <c r="AJ154" i="2"/>
  <c r="Q132" i="2"/>
  <c r="S151" i="3"/>
  <c r="S151" i="2" s="1"/>
  <c r="S152" i="2"/>
  <c r="AI211" i="2"/>
  <c r="AF132" i="2"/>
  <c r="Q140" i="3"/>
  <c r="Q141" i="2"/>
  <c r="AJ131" i="2"/>
  <c r="X144" i="3"/>
  <c r="X144" i="2" s="1"/>
  <c r="X145" i="2"/>
  <c r="X117" i="2"/>
  <c r="K129" i="2"/>
  <c r="AG118" i="2"/>
  <c r="AF130" i="2"/>
  <c r="K126" i="3"/>
  <c r="K126" i="2" s="1"/>
  <c r="K127" i="2"/>
  <c r="AG115" i="3"/>
  <c r="AG115" i="2" s="1"/>
  <c r="AG116" i="2"/>
  <c r="AQ132" i="2"/>
  <c r="AK125" i="2"/>
  <c r="AJ110" i="2"/>
  <c r="AK103" i="2"/>
  <c r="AF221" i="2"/>
  <c r="N223" i="2"/>
  <c r="J215" i="2"/>
  <c r="AN137" i="3"/>
  <c r="AN137" i="2" s="1"/>
  <c r="AN138" i="2"/>
  <c r="L223" i="2"/>
  <c r="AS213" i="2"/>
  <c r="AM215" i="2"/>
  <c r="AI140" i="3"/>
  <c r="AI141" i="2"/>
  <c r="T223" i="2"/>
  <c r="V215" i="2"/>
  <c r="AG210" i="2"/>
  <c r="AH217" i="2"/>
  <c r="N214" i="2"/>
  <c r="AL69" i="2"/>
  <c r="AB233" i="2"/>
  <c r="AM233" i="2"/>
  <c r="N233" i="2"/>
  <c r="AR176" i="2"/>
  <c r="AA176" i="2"/>
  <c r="W232" i="2"/>
  <c r="X227" i="2"/>
  <c r="AA232" i="2"/>
  <c r="AJ148" i="2"/>
  <c r="AK211" i="2"/>
  <c r="L151" i="3"/>
  <c r="L151" i="2" s="1"/>
  <c r="L152" i="2"/>
  <c r="AB211" i="2"/>
  <c r="J222" i="2"/>
  <c r="S130" i="2"/>
  <c r="AN222" i="2"/>
  <c r="AD156" i="3"/>
  <c r="AD156" i="2" s="1"/>
  <c r="AD157" i="2"/>
  <c r="G156" i="3"/>
  <c r="G156" i="2" s="1"/>
  <c r="G157" i="2"/>
  <c r="Y144" i="3"/>
  <c r="Y144" i="2" s="1"/>
  <c r="Y145" i="2"/>
  <c r="AO133" i="2"/>
  <c r="AG137" i="3"/>
  <c r="AG137" i="2" s="1"/>
  <c r="AG138" i="2"/>
  <c r="I221" i="2"/>
  <c r="S125" i="2"/>
  <c r="M151" i="3"/>
  <c r="M151" i="2" s="1"/>
  <c r="M152" i="2"/>
  <c r="Y226" i="2"/>
  <c r="W130" i="2"/>
  <c r="AN125" i="2"/>
  <c r="Y115" i="3"/>
  <c r="Y115" i="2" s="1"/>
  <c r="Y116" i="2"/>
  <c r="AA132" i="2"/>
  <c r="AC214" i="2"/>
  <c r="W121" i="3"/>
  <c r="W122" i="2"/>
  <c r="K110" i="2"/>
  <c r="T103" i="2"/>
  <c r="U131" i="2"/>
  <c r="AK219" i="3"/>
  <c r="AK220" i="2"/>
  <c r="AK213" i="2"/>
  <c r="U125" i="2"/>
  <c r="AN110" i="2"/>
  <c r="L104" i="2"/>
  <c r="X214" i="2"/>
  <c r="AH213" i="2"/>
  <c r="T105" i="3"/>
  <c r="T105" i="2" s="1"/>
  <c r="T106" i="2"/>
  <c r="Q232" i="2"/>
  <c r="Y211" i="2"/>
  <c r="U232" i="2"/>
  <c r="J225" i="2"/>
  <c r="K225" i="2"/>
  <c r="AA211" i="2"/>
  <c r="X232" i="2"/>
  <c r="AG143" i="2"/>
  <c r="AB133" i="2"/>
  <c r="J231" i="2"/>
  <c r="Q151" i="3"/>
  <c r="Q151" i="2" s="1"/>
  <c r="Q152" i="2"/>
  <c r="AR142" i="2"/>
  <c r="AM218" i="2"/>
  <c r="AA230" i="2"/>
  <c r="AL143" i="2"/>
  <c r="L158" i="2"/>
  <c r="AI226" i="2"/>
  <c r="AR111" i="2"/>
  <c r="AB129" i="2"/>
  <c r="AP118" i="2"/>
  <c r="AH132" i="2"/>
  <c r="AO125" i="2"/>
  <c r="R115" i="3"/>
  <c r="R115" i="2" s="1"/>
  <c r="R116" i="2"/>
  <c r="AA112" i="3"/>
  <c r="AA112" i="2" s="1"/>
  <c r="AA113" i="2"/>
  <c r="AE210" i="2"/>
  <c r="U216" i="2"/>
  <c r="V100" i="3"/>
  <c r="V101" i="2"/>
  <c r="AQ224" i="2"/>
  <c r="AB216" i="2"/>
  <c r="AC100" i="3"/>
  <c r="AC101" i="2"/>
  <c r="K216" i="2"/>
  <c r="T100" i="3"/>
  <c r="T101" i="2"/>
  <c r="S117" i="2"/>
  <c r="M109" i="2"/>
  <c r="P214" i="2"/>
  <c r="AF121" i="3"/>
  <c r="AF122" i="2"/>
  <c r="AI109" i="2"/>
  <c r="AG213" i="2"/>
  <c r="AM107" i="3"/>
  <c r="AM107" i="2" s="1"/>
  <c r="AM108" i="2"/>
  <c r="AE38" i="2"/>
  <c r="AE160" i="2"/>
  <c r="AS69" i="2"/>
  <c r="F230" i="2"/>
  <c r="Y176" i="2"/>
  <c r="H119" i="2"/>
  <c r="V233" i="2"/>
  <c r="AR230" i="2"/>
  <c r="Y153" i="3"/>
  <c r="Y153" i="2" s="1"/>
  <c r="Y154" i="2"/>
  <c r="AM230" i="2"/>
  <c r="AC153" i="3"/>
  <c r="AC153" i="2" s="1"/>
  <c r="AC154" i="2"/>
  <c r="G211" i="2"/>
  <c r="P142" i="2"/>
  <c r="H158" i="2"/>
  <c r="AL155" i="2"/>
  <c r="S147" i="2"/>
  <c r="AK140" i="3"/>
  <c r="AK141" i="2"/>
  <c r="AH158" i="2"/>
  <c r="AE146" i="2"/>
  <c r="AA134" i="3"/>
  <c r="AA134" i="2" s="1"/>
  <c r="AA135" i="2"/>
  <c r="R224" i="2"/>
  <c r="AE227" i="2"/>
  <c r="O128" i="2"/>
  <c r="AK229" i="2"/>
  <c r="AS221" i="2"/>
  <c r="AP121" i="3"/>
  <c r="AP122" i="2"/>
  <c r="AE111" i="2"/>
  <c r="AF104" i="2"/>
  <c r="M216" i="2"/>
  <c r="N100" i="3"/>
  <c r="N101" i="2"/>
  <c r="AE224" i="2"/>
  <c r="T107" i="3"/>
  <c r="T107" i="2" s="1"/>
  <c r="T108" i="2"/>
  <c r="AD217" i="2"/>
  <c r="AE102" i="2"/>
  <c r="AG214" i="2"/>
  <c r="AM121" i="3"/>
  <c r="AM122" i="2"/>
  <c r="G110" i="2"/>
  <c r="H103" i="2"/>
  <c r="AA217" i="2"/>
  <c r="AJ102" i="2"/>
  <c r="AQ115" i="3"/>
  <c r="AQ115" i="2" s="1"/>
  <c r="AQ116" i="2"/>
  <c r="F29" i="2"/>
  <c r="AJ143" i="2"/>
  <c r="AB155" i="2"/>
  <c r="V146" i="2"/>
  <c r="V230" i="2"/>
  <c r="I144" i="3"/>
  <c r="I144" i="2" s="1"/>
  <c r="I145" i="2"/>
  <c r="AC133" i="2"/>
  <c r="AA227" i="2"/>
  <c r="U137" i="3"/>
  <c r="U137" i="2" s="1"/>
  <c r="U138" i="2"/>
  <c r="H147" i="2"/>
  <c r="AR153" i="3"/>
  <c r="AR153" i="2" s="1"/>
  <c r="AR154" i="2"/>
  <c r="N158" i="2"/>
  <c r="T146" i="2"/>
  <c r="AP128" i="2"/>
  <c r="S226" i="2"/>
  <c r="H153" i="3"/>
  <c r="H153" i="2" s="1"/>
  <c r="H154" i="2"/>
  <c r="V126" i="3"/>
  <c r="V126" i="2" s="1"/>
  <c r="V127" i="2"/>
  <c r="AK221" i="2"/>
  <c r="G123" i="3"/>
  <c r="G123" i="2" s="1"/>
  <c r="G124" i="2"/>
  <c r="AI131" i="2"/>
  <c r="AM224" i="2"/>
  <c r="AB117" i="2"/>
  <c r="M128" i="2"/>
  <c r="W219" i="3"/>
  <c r="W220" i="2"/>
  <c r="X104" i="2"/>
  <c r="AP215" i="2"/>
  <c r="U111" i="2"/>
  <c r="M210" i="2"/>
  <c r="H224" i="2"/>
  <c r="AF105" i="3"/>
  <c r="AF105" i="2" s="1"/>
  <c r="AF106" i="2"/>
  <c r="P228" i="2"/>
  <c r="AH216" i="2"/>
  <c r="AI100" i="3"/>
  <c r="AI101" i="2"/>
  <c r="AA224" i="2"/>
  <c r="Q107" i="3"/>
  <c r="Q107" i="2" s="1"/>
  <c r="Q108" i="2"/>
  <c r="S217" i="2"/>
  <c r="AB102" i="2"/>
  <c r="Q119" i="2"/>
  <c r="AJ231" i="2"/>
  <c r="AD230" i="2"/>
  <c r="AF156" i="3"/>
  <c r="AF156" i="2" s="1"/>
  <c r="AF157" i="2"/>
  <c r="AO147" i="2"/>
  <c r="AB158" i="2"/>
  <c r="AM146" i="2"/>
  <c r="P230" i="2"/>
  <c r="K147" i="2"/>
  <c r="AN134" i="3"/>
  <c r="AN134" i="2" s="1"/>
  <c r="AN135" i="2"/>
  <c r="T225" i="2"/>
  <c r="AJ142" i="2"/>
  <c r="AO132" i="2"/>
  <c r="N153" i="3"/>
  <c r="N153" i="2" s="1"/>
  <c r="N154" i="2"/>
  <c r="S140" i="3"/>
  <c r="S141" i="2"/>
  <c r="G155" i="2"/>
  <c r="R222" i="2"/>
  <c r="X136" i="2"/>
  <c r="P232" i="2"/>
  <c r="G126" i="3"/>
  <c r="G126" i="2" s="1"/>
  <c r="G127" i="2"/>
  <c r="AC115" i="3"/>
  <c r="AC115" i="2" s="1"/>
  <c r="AC116" i="2"/>
  <c r="N126" i="3"/>
  <c r="N126" i="2" s="1"/>
  <c r="N127" i="2"/>
  <c r="AJ115" i="3"/>
  <c r="AJ115" i="2" s="1"/>
  <c r="AJ116" i="2"/>
  <c r="AI129" i="2"/>
  <c r="J148" i="2"/>
  <c r="AM226" i="2"/>
  <c r="AN111" i="2"/>
  <c r="X129" i="2"/>
  <c r="AS151" i="3"/>
  <c r="AS151" i="2" s="1"/>
  <c r="AS152" i="2"/>
  <c r="W114" i="2"/>
  <c r="AH212" i="2"/>
  <c r="G213" i="2"/>
  <c r="AK118" i="2"/>
  <c r="N213" i="2"/>
  <c r="AQ229" i="2"/>
  <c r="N109" i="2"/>
  <c r="AN114" i="2"/>
  <c r="Z107" i="3"/>
  <c r="Z107" i="2" s="1"/>
  <c r="Z108" i="2"/>
  <c r="P224" i="2"/>
  <c r="I107" i="3"/>
  <c r="I107" i="2" s="1"/>
  <c r="I108" i="2"/>
  <c r="AM214" i="2"/>
  <c r="H111" i="2"/>
  <c r="AQ212" i="2"/>
  <c r="W64" i="2"/>
  <c r="P44" i="3"/>
  <c r="P44" i="2" s="1"/>
  <c r="P45" i="2"/>
  <c r="AL33" i="3"/>
  <c r="AL33" i="2" s="1"/>
  <c r="AL34" i="2"/>
  <c r="Z65" i="3"/>
  <c r="Z65" i="2" s="1"/>
  <c r="Z66" i="2"/>
  <c r="Z166" i="2"/>
  <c r="W30" i="3"/>
  <c r="W30" i="2" s="1"/>
  <c r="W31" i="2"/>
  <c r="V57" i="3"/>
  <c r="V57" i="2" s="1"/>
  <c r="V58" i="2"/>
  <c r="AJ33" i="3"/>
  <c r="AJ33" i="2" s="1"/>
  <c r="AJ34" i="2"/>
  <c r="AP55" i="3"/>
  <c r="AP55" i="2" s="1"/>
  <c r="AP56" i="2"/>
  <c r="AL35" i="2"/>
  <c r="AE174" i="2"/>
  <c r="R47" i="3"/>
  <c r="R47" i="2" s="1"/>
  <c r="R48" i="2"/>
  <c r="AF36" i="3"/>
  <c r="AF36" i="2" s="1"/>
  <c r="AF37" i="2"/>
  <c r="AO29" i="2"/>
  <c r="AC175" i="2"/>
  <c r="AA49" i="2"/>
  <c r="I40" i="3"/>
  <c r="I41" i="2"/>
  <c r="AP167" i="2"/>
  <c r="V55" i="3"/>
  <c r="V55" i="2" s="1"/>
  <c r="V56" i="2"/>
  <c r="AD163" i="2"/>
  <c r="AR32" i="2"/>
  <c r="J26" i="3"/>
  <c r="J27" i="2"/>
  <c r="H43" i="2"/>
  <c r="U63" i="2"/>
  <c r="N168" i="2"/>
  <c r="AH35" i="2"/>
  <c r="AR49" i="2"/>
  <c r="O174" i="2"/>
  <c r="AQ166" i="2"/>
  <c r="T36" i="3"/>
  <c r="T36" i="2" s="1"/>
  <c r="T37" i="2"/>
  <c r="U29" i="2"/>
  <c r="V175" i="2"/>
  <c r="S50" i="3"/>
  <c r="S50" i="2" s="1"/>
  <c r="S51" i="2"/>
  <c r="AP168" i="2"/>
  <c r="AP50" i="3"/>
  <c r="AP50" i="2" s="1"/>
  <c r="AP51" i="2"/>
  <c r="G53" i="3"/>
  <c r="G54" i="2"/>
  <c r="AE164" i="2"/>
  <c r="AA64" i="2"/>
  <c r="AB44" i="3"/>
  <c r="AB44" i="2" s="1"/>
  <c r="AB45" i="2"/>
  <c r="AP33" i="3"/>
  <c r="AP33" i="2" s="1"/>
  <c r="AP34" i="2"/>
  <c r="M65" i="3"/>
  <c r="M65" i="2" s="1"/>
  <c r="M66" i="2"/>
  <c r="G174" i="2"/>
  <c r="AS59" i="2"/>
  <c r="AQ35" i="2"/>
  <c r="M175" i="2"/>
  <c r="G170" i="2"/>
  <c r="AO44" i="3"/>
  <c r="AO44" i="2" s="1"/>
  <c r="AO45" i="2"/>
  <c r="AI57" i="3"/>
  <c r="AI57" i="2" s="1"/>
  <c r="AI58" i="2"/>
  <c r="U164" i="2"/>
  <c r="AN164" i="2"/>
  <c r="AL223" i="2"/>
  <c r="Q112" i="3"/>
  <c r="Q112" i="2" s="1"/>
  <c r="Q113" i="2"/>
  <c r="G216" i="2"/>
  <c r="G64" i="2"/>
  <c r="H57" i="3"/>
  <c r="H57" i="2" s="1"/>
  <c r="H58" i="2"/>
  <c r="L36" i="3"/>
  <c r="L36" i="2" s="1"/>
  <c r="L37" i="2"/>
  <c r="M29" i="2"/>
  <c r="J59" i="2"/>
  <c r="AF175" i="2"/>
  <c r="AH50" i="3"/>
  <c r="AH50" i="2" s="1"/>
  <c r="AH51" i="2"/>
  <c r="T170" i="2"/>
  <c r="Y63" i="2"/>
  <c r="W164" i="2"/>
  <c r="S172" i="2"/>
  <c r="AL53" i="3"/>
  <c r="AL54" i="2"/>
  <c r="AI163" i="2"/>
  <c r="K49" i="2"/>
  <c r="Z167" i="2"/>
  <c r="Q67" i="2"/>
  <c r="N55" i="3"/>
  <c r="N55" i="2" s="1"/>
  <c r="N56" i="2"/>
  <c r="N166" i="2"/>
  <c r="X28" i="2"/>
  <c r="AD168" i="2"/>
  <c r="AM47" i="3"/>
  <c r="AM47" i="2" s="1"/>
  <c r="AM48" i="2"/>
  <c r="AG111" i="2"/>
  <c r="AA59" i="2"/>
  <c r="AJ169" i="2"/>
  <c r="J42" i="2"/>
  <c r="O163" i="2"/>
  <c r="K63" i="2"/>
  <c r="Z32" i="2"/>
  <c r="H53" i="3"/>
  <c r="H54" i="2"/>
  <c r="AR172" i="2"/>
  <c r="R55" i="3"/>
  <c r="R55" i="2" s="1"/>
  <c r="R56" i="2"/>
  <c r="AK44" i="3"/>
  <c r="AK44" i="2" s="1"/>
  <c r="AK45" i="2"/>
  <c r="N35" i="2"/>
  <c r="U49" i="2"/>
  <c r="AC174" i="2"/>
  <c r="T53" i="3"/>
  <c r="T54" i="2"/>
  <c r="AJ164" i="2"/>
  <c r="AS50" i="3"/>
  <c r="AS50" i="2" s="1"/>
  <c r="AS51" i="2"/>
  <c r="K30" i="3"/>
  <c r="K30" i="2" s="1"/>
  <c r="K31" i="2"/>
  <c r="R35" i="2"/>
  <c r="T166" i="2"/>
  <c r="M36" i="3"/>
  <c r="M36" i="2" s="1"/>
  <c r="M37" i="2"/>
  <c r="AF43" i="2"/>
  <c r="AC53" i="3"/>
  <c r="AC54" i="2"/>
  <c r="R163" i="2"/>
  <c r="AR105" i="3"/>
  <c r="AR105" i="2" s="1"/>
  <c r="AR106" i="2"/>
  <c r="K102" i="2"/>
  <c r="AK55" i="3"/>
  <c r="AK55" i="2" s="1"/>
  <c r="AK56" i="2"/>
  <c r="AG35" i="2"/>
  <c r="AI174" i="2"/>
  <c r="M47" i="3"/>
  <c r="M47" i="2" s="1"/>
  <c r="M48" i="2"/>
  <c r="AA36" i="3"/>
  <c r="AA36" i="2" s="1"/>
  <c r="AA37" i="2"/>
  <c r="AJ29" i="2"/>
  <c r="Q59" i="2"/>
  <c r="AJ64" i="2"/>
  <c r="AC44" i="3"/>
  <c r="AC44" i="2" s="1"/>
  <c r="AC45" i="2"/>
  <c r="AQ33" i="3"/>
  <c r="AQ33" i="2" s="1"/>
  <c r="AQ34" i="2"/>
  <c r="AG65" i="3"/>
  <c r="AG65" i="2" s="1"/>
  <c r="AG66" i="2"/>
  <c r="AE166" i="2"/>
  <c r="AJ30" i="3"/>
  <c r="AJ30" i="2" s="1"/>
  <c r="AJ31" i="2"/>
  <c r="AE55" i="3"/>
  <c r="AE55" i="2" s="1"/>
  <c r="AE56" i="2"/>
  <c r="S35" i="2"/>
  <c r="M50" i="3"/>
  <c r="M50" i="2" s="1"/>
  <c r="M51" i="2"/>
  <c r="Y57" i="3"/>
  <c r="Y57" i="2" s="1"/>
  <c r="Y58" i="2"/>
  <c r="AQ44" i="3"/>
  <c r="AQ44" i="2" s="1"/>
  <c r="AQ45" i="2"/>
  <c r="Z61" i="3"/>
  <c r="Z61" i="2" s="1"/>
  <c r="Z62" i="2"/>
  <c r="L168" i="2"/>
  <c r="X175" i="2"/>
  <c r="R68" i="2"/>
  <c r="J173" i="2"/>
  <c r="Y35" i="2"/>
  <c r="V64" i="2"/>
  <c r="O44" i="3"/>
  <c r="O44" i="2" s="1"/>
  <c r="O45" i="2"/>
  <c r="AK170" i="2"/>
  <c r="AR67" i="2"/>
  <c r="AJ60" i="2"/>
  <c r="J50" i="3"/>
  <c r="J50" i="2" s="1"/>
  <c r="J51" i="2"/>
  <c r="U67" i="2"/>
  <c r="K60" i="2"/>
  <c r="AD68" i="2"/>
  <c r="M61" i="3"/>
  <c r="M61" i="2" s="1"/>
  <c r="M62" i="2"/>
  <c r="AG43" i="2"/>
  <c r="J33" i="3"/>
  <c r="J33" i="2" s="1"/>
  <c r="J34" i="2"/>
  <c r="R172" i="2"/>
  <c r="M59" i="2"/>
  <c r="O60" i="2"/>
  <c r="P55" i="3"/>
  <c r="P55" i="2" s="1"/>
  <c r="P56" i="2"/>
  <c r="K28" i="2"/>
  <c r="K44" i="3"/>
  <c r="K44" i="2" s="1"/>
  <c r="K45" i="2"/>
  <c r="AM60" i="2"/>
  <c r="X40" i="3"/>
  <c r="X41" i="2"/>
  <c r="AA175" i="2"/>
  <c r="L50" i="3"/>
  <c r="L50" i="2" s="1"/>
  <c r="L51" i="2"/>
  <c r="AA32" i="2"/>
  <c r="X61" i="3"/>
  <c r="X61" i="2" s="1"/>
  <c r="X62" i="2"/>
  <c r="G44" i="3"/>
  <c r="G44" i="2" s="1"/>
  <c r="G45" i="2"/>
  <c r="AC170" i="2"/>
  <c r="AH67" i="2"/>
  <c r="AB60" i="2"/>
  <c r="K174" i="2"/>
  <c r="AN166" i="2"/>
  <c r="Q36" i="3"/>
  <c r="Q36" i="2" s="1"/>
  <c r="Q37" i="2"/>
  <c r="R29" i="2"/>
  <c r="P175" i="2"/>
  <c r="P169" i="2"/>
  <c r="AI40" i="3"/>
  <c r="AI41" i="2"/>
  <c r="AO172" i="2"/>
  <c r="O55" i="3"/>
  <c r="O55" i="2" s="1"/>
  <c r="O56" i="2"/>
  <c r="AN170" i="2"/>
  <c r="L28" i="2"/>
  <c r="P64" i="2"/>
  <c r="AR35" i="2"/>
  <c r="AK53" i="3"/>
  <c r="AK54" i="2"/>
  <c r="V163" i="2"/>
  <c r="V30" i="3"/>
  <c r="V30" i="2" s="1"/>
  <c r="V31" i="2"/>
  <c r="AK65" i="3"/>
  <c r="AK65" i="2" s="1"/>
  <c r="AK66" i="2"/>
  <c r="AI173" i="2"/>
  <c r="AE172" i="2"/>
  <c r="M55" i="3"/>
  <c r="M55" i="2" s="1"/>
  <c r="M56" i="2"/>
  <c r="I171" i="2"/>
  <c r="J28" i="2"/>
  <c r="AQ63" i="2"/>
  <c r="Z46" i="2"/>
  <c r="AN171" i="2"/>
  <c r="L29" i="2"/>
  <c r="AF42" i="2"/>
  <c r="V61" i="3"/>
  <c r="V61" i="2" s="1"/>
  <c r="V62" i="2"/>
  <c r="AP43" i="2"/>
  <c r="S170" i="2"/>
  <c r="AB26" i="3"/>
  <c r="AB27" i="2"/>
  <c r="AQ64" i="2"/>
  <c r="G166" i="2"/>
  <c r="Z47" i="3"/>
  <c r="Z47" i="2" s="1"/>
  <c r="Z48" i="2"/>
  <c r="AN36" i="3"/>
  <c r="AN36" i="2" s="1"/>
  <c r="AN37" i="2"/>
  <c r="L30" i="3"/>
  <c r="L30" i="2" s="1"/>
  <c r="L31" i="2"/>
  <c r="AN175" i="2"/>
  <c r="AG172" i="2"/>
  <c r="G55" i="3"/>
  <c r="G55" i="2" s="1"/>
  <c r="G56" i="2"/>
  <c r="AF170" i="2"/>
  <c r="AO26" i="3"/>
  <c r="AO27" i="2"/>
  <c r="AC36" i="3"/>
  <c r="AC36" i="2" s="1"/>
  <c r="AC37" i="2"/>
  <c r="T32" i="2"/>
  <c r="AF165" i="2"/>
  <c r="O169" i="2"/>
  <c r="F217" i="2"/>
  <c r="X69" i="2"/>
  <c r="F102" i="2"/>
  <c r="G233" i="2"/>
  <c r="U176" i="2"/>
  <c r="F123" i="3"/>
  <c r="F123" i="2" s="1"/>
  <c r="F124" i="2"/>
  <c r="I176" i="2"/>
  <c r="J233" i="2"/>
  <c r="Z176" i="2"/>
  <c r="F130" i="2"/>
  <c r="AK233" i="2"/>
  <c r="W119" i="2"/>
  <c r="L38" i="2"/>
  <c r="L160" i="2"/>
  <c r="F231" i="2"/>
  <c r="R176" i="2"/>
  <c r="F121" i="3"/>
  <c r="F122" i="2"/>
  <c r="AD69" i="2"/>
  <c r="M233" i="2"/>
  <c r="AQ233" i="2"/>
  <c r="AC38" i="2"/>
  <c r="F33" i="3"/>
  <c r="F33" i="2" s="1"/>
  <c r="F34" i="2"/>
  <c r="V125" i="2"/>
  <c r="AG110" i="2"/>
  <c r="AH103" i="2"/>
  <c r="AS109" i="2"/>
  <c r="J219" i="3"/>
  <c r="J220" i="2"/>
  <c r="K104" i="2"/>
  <c r="F103" i="2"/>
  <c r="F67" i="2"/>
  <c r="F211" i="2"/>
  <c r="AJ119" i="2"/>
  <c r="S119" i="2"/>
  <c r="AO233" i="2"/>
  <c r="AO232" i="2"/>
  <c r="AD151" i="3"/>
  <c r="AD151" i="2" s="1"/>
  <c r="AD152" i="2"/>
  <c r="J230" i="2"/>
  <c r="P231" i="2"/>
  <c r="Y147" i="2"/>
  <c r="S148" i="2"/>
  <c r="O137" i="3"/>
  <c r="O137" i="2" s="1"/>
  <c r="O138" i="2"/>
  <c r="AC148" i="2"/>
  <c r="K156" i="3"/>
  <c r="K156" i="2" s="1"/>
  <c r="K157" i="2"/>
  <c r="R144" i="3"/>
  <c r="R144" i="2" s="1"/>
  <c r="R145" i="2"/>
  <c r="G134" i="3"/>
  <c r="G134" i="2" s="1"/>
  <c r="G135" i="2"/>
  <c r="AP231" i="2"/>
  <c r="X146" i="2"/>
  <c r="AR221" i="2"/>
  <c r="W148" i="2"/>
  <c r="Q156" i="3"/>
  <c r="Q156" i="2" s="1"/>
  <c r="Q157" i="2"/>
  <c r="AH144" i="3"/>
  <c r="AH144" i="2" s="1"/>
  <c r="AH145" i="2"/>
  <c r="AF133" i="2"/>
  <c r="AF117" i="2"/>
  <c r="AM117" i="2"/>
  <c r="G131" i="2"/>
  <c r="AP115" i="3"/>
  <c r="AP115" i="2" s="1"/>
  <c r="AP116" i="2"/>
  <c r="N224" i="2"/>
  <c r="H129" i="2"/>
  <c r="AG134" i="3"/>
  <c r="AG134" i="2" s="1"/>
  <c r="AG135" i="2"/>
  <c r="AK223" i="2"/>
  <c r="AA215" i="2"/>
  <c r="I212" i="2"/>
  <c r="AH112" i="3"/>
  <c r="AH112" i="2" s="1"/>
  <c r="AH113" i="2"/>
  <c r="Y105" i="3"/>
  <c r="Y105" i="2" s="1"/>
  <c r="Y106" i="2"/>
  <c r="AI228" i="2"/>
  <c r="AI216" i="2"/>
  <c r="AR100" i="3"/>
  <c r="AR101" i="2"/>
  <c r="AK217" i="2"/>
  <c r="AL102" i="2"/>
  <c r="AO117" i="2"/>
  <c r="T109" i="2"/>
  <c r="W214" i="2"/>
  <c r="AP109" i="2"/>
  <c r="AE107" i="3"/>
  <c r="AE107" i="2" s="1"/>
  <c r="AE108" i="2"/>
  <c r="AE232" i="2"/>
  <c r="AF148" i="2"/>
  <c r="AO211" i="2"/>
  <c r="AK232" i="2"/>
  <c r="Q222" i="2"/>
  <c r="I148" i="2"/>
  <c r="G137" i="3"/>
  <c r="G137" i="2" s="1"/>
  <c r="G138" i="2"/>
  <c r="R227" i="2"/>
  <c r="AQ136" i="2"/>
  <c r="AO140" i="3"/>
  <c r="AO141" i="2"/>
  <c r="Q218" i="2"/>
  <c r="S225" i="2"/>
  <c r="AI142" i="2"/>
  <c r="AF218" i="2"/>
  <c r="AI227" i="2"/>
  <c r="AJ221" i="2"/>
  <c r="M148" i="2"/>
  <c r="AP153" i="3"/>
  <c r="AP153" i="2" s="1"/>
  <c r="AP154" i="2"/>
  <c r="X133" i="2"/>
  <c r="J128" i="2"/>
  <c r="X229" i="2"/>
  <c r="AA125" i="2"/>
  <c r="L115" i="3"/>
  <c r="L115" i="2" s="1"/>
  <c r="L116" i="2"/>
  <c r="AG226" i="2"/>
  <c r="P118" i="2"/>
  <c r="AR132" i="2"/>
  <c r="AG228" i="2"/>
  <c r="AQ218" i="2"/>
  <c r="AJ123" i="3"/>
  <c r="AJ123" i="2" s="1"/>
  <c r="AJ124" i="2"/>
  <c r="AK214" i="2"/>
  <c r="AF126" i="3"/>
  <c r="AF126" i="2" s="1"/>
  <c r="AF127" i="2"/>
  <c r="Z110" i="2"/>
  <c r="AA103" i="2"/>
  <c r="X126" i="3"/>
  <c r="X126" i="2" s="1"/>
  <c r="X127" i="2"/>
  <c r="K111" i="2"/>
  <c r="AK132" i="2"/>
  <c r="AQ111" i="2"/>
  <c r="AP104" i="2"/>
  <c r="F114" i="2"/>
  <c r="AC155" i="2"/>
  <c r="AA158" i="2"/>
  <c r="AJ227" i="2"/>
  <c r="AK142" i="2"/>
  <c r="L225" i="2"/>
  <c r="AB142" i="2"/>
  <c r="U151" i="3"/>
  <c r="U151" i="2" s="1"/>
  <c r="U152" i="2"/>
  <c r="AL211" i="2"/>
  <c r="AR158" i="2"/>
  <c r="J147" i="2"/>
  <c r="R136" i="2"/>
  <c r="AN147" i="2"/>
  <c r="AO136" i="2"/>
  <c r="AD231" i="2"/>
  <c r="W146" i="2"/>
  <c r="AK134" i="3"/>
  <c r="AK134" i="2" s="1"/>
  <c r="AK135" i="2"/>
  <c r="G231" i="2"/>
  <c r="O147" i="2"/>
  <c r="I131" i="2"/>
  <c r="AD121" i="3"/>
  <c r="AD122" i="2"/>
  <c r="AH114" i="2"/>
  <c r="Q221" i="2"/>
  <c r="M225" i="2"/>
  <c r="U126" i="3"/>
  <c r="U126" i="2" s="1"/>
  <c r="U127" i="2"/>
  <c r="H118" i="2"/>
  <c r="AB132" i="2"/>
  <c r="Y228" i="2"/>
  <c r="AA218" i="2"/>
  <c r="AB123" i="3"/>
  <c r="AB123" i="2" s="1"/>
  <c r="AB124" i="2"/>
  <c r="X115" i="3"/>
  <c r="X115" i="2" s="1"/>
  <c r="X116" i="2"/>
  <c r="AL107" i="3"/>
  <c r="AL107" i="2" s="1"/>
  <c r="AL108" i="2"/>
  <c r="T214" i="2"/>
  <c r="AC125" i="2"/>
  <c r="R110" i="2"/>
  <c r="S103" i="2"/>
  <c r="U221" i="2"/>
  <c r="L213" i="2"/>
  <c r="AE115" i="3"/>
  <c r="AE115" i="2" s="1"/>
  <c r="AE116" i="2"/>
  <c r="AO107" i="3"/>
  <c r="AO107" i="2" s="1"/>
  <c r="AO108" i="2"/>
  <c r="J123" i="3"/>
  <c r="J123" i="2" s="1"/>
  <c r="J124" i="2"/>
  <c r="AQ109" i="2"/>
  <c r="T215" i="2"/>
  <c r="Z217" i="2"/>
  <c r="F118" i="2"/>
  <c r="AO230" i="2"/>
  <c r="P148" i="2"/>
  <c r="Y142" i="2"/>
  <c r="AC211" i="2"/>
  <c r="AH147" i="2"/>
  <c r="N142" i="2"/>
  <c r="P132" i="2"/>
  <c r="AA222" i="2"/>
  <c r="AP137" i="3"/>
  <c r="AP137" i="2" s="1"/>
  <c r="AP138" i="2"/>
  <c r="L232" i="2"/>
  <c r="AE126" i="3"/>
  <c r="AE126" i="2" s="1"/>
  <c r="AE127" i="2"/>
  <c r="AR219" i="3"/>
  <c r="AR220" i="2"/>
  <c r="AP226" i="2"/>
  <c r="AH218" i="2"/>
  <c r="W123" i="3"/>
  <c r="W123" i="2" s="1"/>
  <c r="W124" i="2"/>
  <c r="AC132" i="2"/>
  <c r="R228" i="2"/>
  <c r="M130" i="2"/>
  <c r="AA223" i="2"/>
  <c r="L130" i="2"/>
  <c r="AO111" i="2"/>
  <c r="AN104" i="2"/>
  <c r="AD111" i="2"/>
  <c r="V210" i="2"/>
  <c r="AC210" i="2"/>
  <c r="AB219" i="3"/>
  <c r="AB220" i="2"/>
  <c r="T210" i="2"/>
  <c r="S229" i="2"/>
  <c r="M217" i="2"/>
  <c r="N102" i="2"/>
  <c r="O115" i="3"/>
  <c r="O115" i="2" s="1"/>
  <c r="O116" i="2"/>
  <c r="AG107" i="3"/>
  <c r="AG107" i="2" s="1"/>
  <c r="AG108" i="2"/>
  <c r="AI217" i="2"/>
  <c r="AR102" i="2"/>
  <c r="AM216" i="2"/>
  <c r="AE176" i="2"/>
  <c r="H233" i="2"/>
  <c r="AR143" i="2"/>
  <c r="AN143" i="2"/>
  <c r="Z149" i="3"/>
  <c r="Z149" i="2" s="1"/>
  <c r="Z150" i="2"/>
  <c r="G142" i="2"/>
  <c r="AJ149" i="3"/>
  <c r="AJ149" i="2" s="1"/>
  <c r="AJ150" i="2"/>
  <c r="P211" i="2"/>
  <c r="H232" i="2"/>
  <c r="Y146" i="2"/>
  <c r="AM134" i="3"/>
  <c r="AM134" i="2" s="1"/>
  <c r="AM135" i="2"/>
  <c r="AL230" i="2"/>
  <c r="AI133" i="2"/>
  <c r="G225" i="2"/>
  <c r="AH142" i="2"/>
  <c r="AE132" i="2"/>
  <c r="T149" i="3"/>
  <c r="T149" i="2" s="1"/>
  <c r="T150" i="2"/>
  <c r="AH232" i="2"/>
  <c r="M129" i="2"/>
  <c r="AA118" i="2"/>
  <c r="T129" i="2"/>
  <c r="AH118" i="2"/>
  <c r="AP125" i="2"/>
  <c r="AR144" i="3"/>
  <c r="AR144" i="2" s="1"/>
  <c r="AR145" i="2"/>
  <c r="S112" i="3"/>
  <c r="S112" i="2" s="1"/>
  <c r="S113" i="2"/>
  <c r="AN129" i="2"/>
  <c r="AE219" i="3"/>
  <c r="AE220" i="2"/>
  <c r="AF213" i="2"/>
  <c r="G129" i="2"/>
  <c r="V111" i="2"/>
  <c r="N210" i="2"/>
  <c r="T216" i="2"/>
  <c r="U100" i="3"/>
  <c r="U101" i="2"/>
  <c r="S114" i="2"/>
  <c r="AE212" i="2"/>
  <c r="AF115" i="3"/>
  <c r="AF115" i="2" s="1"/>
  <c r="AF116" i="2"/>
  <c r="AP107" i="3"/>
  <c r="AP107" i="2" s="1"/>
  <c r="AP108" i="2"/>
  <c r="H214" i="2"/>
  <c r="O114" i="2"/>
  <c r="AJ212" i="2"/>
  <c r="H100" i="3"/>
  <c r="H101" i="2"/>
  <c r="AQ228" i="2"/>
  <c r="F165" i="2"/>
  <c r="AE155" i="2"/>
  <c r="AA149" i="3"/>
  <c r="AA149" i="2" s="1"/>
  <c r="AA150" i="2"/>
  <c r="AB230" i="2"/>
  <c r="U153" i="3"/>
  <c r="U153" i="2" s="1"/>
  <c r="U154" i="2"/>
  <c r="J144" i="3"/>
  <c r="J144" i="2" s="1"/>
  <c r="J145" i="2"/>
  <c r="AL153" i="3"/>
  <c r="AL153" i="2" s="1"/>
  <c r="AL154" i="2"/>
  <c r="AA148" i="2"/>
  <c r="L155" i="2"/>
  <c r="H222" i="2"/>
  <c r="Q136" i="2"/>
  <c r="W211" i="2"/>
  <c r="W132" i="2"/>
  <c r="I149" i="3"/>
  <c r="I149" i="2" s="1"/>
  <c r="I150" i="2"/>
  <c r="Z137" i="3"/>
  <c r="Z137" i="2" s="1"/>
  <c r="Z138" i="2"/>
  <c r="S153" i="3"/>
  <c r="S153" i="2" s="1"/>
  <c r="S154" i="2"/>
  <c r="AR115" i="3"/>
  <c r="AR115" i="2" s="1"/>
  <c r="AR116" i="2"/>
  <c r="AI221" i="2"/>
  <c r="AI121" i="3"/>
  <c r="AI122" i="2"/>
  <c r="AQ126" i="3"/>
  <c r="AQ126" i="2" s="1"/>
  <c r="AQ127" i="2"/>
  <c r="AB229" i="2"/>
  <c r="M136" i="2"/>
  <c r="AR118" i="2"/>
  <c r="X213" i="2"/>
  <c r="AQ128" i="2"/>
  <c r="N111" i="2"/>
  <c r="AE131" i="2"/>
  <c r="U219" i="3"/>
  <c r="U220" i="2"/>
  <c r="V104" i="2"/>
  <c r="AF215" i="2"/>
  <c r="AI210" i="2"/>
  <c r="Q216" i="2"/>
  <c r="R100" i="3"/>
  <c r="R101" i="2"/>
  <c r="AN112" i="3"/>
  <c r="AN112" i="2" s="1"/>
  <c r="AN113" i="2"/>
  <c r="AB212" i="2"/>
  <c r="Q233" i="2"/>
  <c r="AH38" i="2"/>
  <c r="AH160" i="2"/>
  <c r="K69" i="2"/>
  <c r="AG119" i="2"/>
  <c r="P119" i="2"/>
  <c r="W155" i="2"/>
  <c r="J146" i="2"/>
  <c r="AF231" i="2"/>
  <c r="AB232" i="2"/>
  <c r="P155" i="2"/>
  <c r="G230" i="2"/>
  <c r="R143" i="2"/>
  <c r="I133" i="2"/>
  <c r="V148" i="2"/>
  <c r="T132" i="2"/>
  <c r="AC228" i="2"/>
  <c r="AI132" i="2"/>
  <c r="AJ228" i="2"/>
  <c r="AD117" i="2"/>
  <c r="Z129" i="2"/>
  <c r="AN118" i="2"/>
  <c r="AI126" i="3"/>
  <c r="AI126" i="2" s="1"/>
  <c r="AI127" i="2"/>
  <c r="AN219" i="3"/>
  <c r="AN220" i="2"/>
  <c r="AS225" i="2"/>
  <c r="W224" i="2"/>
  <c r="AQ105" i="3"/>
  <c r="AQ105" i="2" s="1"/>
  <c r="AQ106" i="2"/>
  <c r="AA117" i="2"/>
  <c r="P109" i="2"/>
  <c r="AK226" i="2"/>
  <c r="W109" i="2"/>
  <c r="AQ117" i="2"/>
  <c r="N217" i="2"/>
  <c r="O102" i="2"/>
  <c r="AN224" i="2"/>
  <c r="Z216" i="2"/>
  <c r="AA100" i="3"/>
  <c r="AA101" i="2"/>
  <c r="I216" i="2"/>
  <c r="J100" i="3"/>
  <c r="J101" i="2"/>
  <c r="AI117" i="2"/>
  <c r="K109" i="2"/>
  <c r="H219" i="3"/>
  <c r="H220" i="2"/>
  <c r="W172" i="2"/>
  <c r="AP53" i="3"/>
  <c r="AP54" i="2"/>
  <c r="AL170" i="2"/>
  <c r="AM26" i="3"/>
  <c r="AM27" i="2"/>
  <c r="Z173" i="2"/>
  <c r="AS47" i="3"/>
  <c r="AS47" i="2" s="1"/>
  <c r="AS48" i="2"/>
  <c r="W167" i="2"/>
  <c r="U64" i="2"/>
  <c r="N44" i="3"/>
  <c r="N44" i="2" s="1"/>
  <c r="N45" i="2"/>
  <c r="AJ170" i="2"/>
  <c r="AO63" i="2"/>
  <c r="P46" i="2"/>
  <c r="AL171" i="2"/>
  <c r="AM28" i="2"/>
  <c r="AR57" i="3"/>
  <c r="AR57" i="2" s="1"/>
  <c r="AR58" i="2"/>
  <c r="AO165" i="2"/>
  <c r="R67" i="2"/>
  <c r="H60" i="2"/>
  <c r="AR168" i="2"/>
  <c r="AH49" i="2"/>
  <c r="J163" i="2"/>
  <c r="K29" i="2"/>
  <c r="AH171" i="2"/>
  <c r="AI46" i="2"/>
  <c r="U165" i="2"/>
  <c r="R59" i="2"/>
  <c r="S169" i="2"/>
  <c r="AL40" i="3"/>
  <c r="AL41" i="2"/>
  <c r="AJ65" i="3"/>
  <c r="AJ65" i="2" s="1"/>
  <c r="AJ66" i="2"/>
  <c r="AO59" i="2"/>
  <c r="AP169" i="2"/>
  <c r="P42" i="2"/>
  <c r="AE68" i="2"/>
  <c r="AQ60" i="2"/>
  <c r="Z43" i="2"/>
  <c r="AN32" i="2"/>
  <c r="AA172" i="2"/>
  <c r="I55" i="3"/>
  <c r="I55" i="2" s="1"/>
  <c r="I56" i="2"/>
  <c r="AP170" i="2"/>
  <c r="AQ26" i="3"/>
  <c r="AQ27" i="2"/>
  <c r="M173" i="2"/>
  <c r="AK46" i="2"/>
  <c r="AQ171" i="2"/>
  <c r="G29" i="2"/>
  <c r="N26" i="3"/>
  <c r="N27" i="2"/>
  <c r="AP40" i="3"/>
  <c r="AP41" i="2"/>
  <c r="S57" i="3"/>
  <c r="S57" i="2" s="1"/>
  <c r="S58" i="2"/>
  <c r="Q223" i="2"/>
  <c r="G172" i="2"/>
  <c r="AA46" i="2"/>
  <c r="M165" i="2"/>
  <c r="I65" i="3"/>
  <c r="I65" i="2" s="1"/>
  <c r="I66" i="2"/>
  <c r="J166" i="2"/>
  <c r="AC47" i="3"/>
  <c r="AC47" i="2" s="1"/>
  <c r="AC48" i="2"/>
  <c r="AQ36" i="3"/>
  <c r="AQ36" i="2" s="1"/>
  <c r="AQ37" i="2"/>
  <c r="G30" i="3"/>
  <c r="G30" i="2" s="1"/>
  <c r="G31" i="2"/>
  <c r="AG59" i="2"/>
  <c r="AH169" i="2"/>
  <c r="H42" i="2"/>
  <c r="R43" i="2"/>
  <c r="AF32" i="2"/>
  <c r="AD42" i="2"/>
  <c r="G32" i="2"/>
  <c r="O63" i="2"/>
  <c r="I64" i="2"/>
  <c r="J57" i="3"/>
  <c r="J57" i="2" s="1"/>
  <c r="J58" i="2"/>
  <c r="AI35" i="2"/>
  <c r="Q174" i="2"/>
  <c r="AG30" i="3"/>
  <c r="AG30" i="2" s="1"/>
  <c r="AG31" i="2"/>
  <c r="AL32" i="2"/>
  <c r="AI53" i="3"/>
  <c r="AI54" i="2"/>
  <c r="X164" i="2"/>
  <c r="AG219" i="3"/>
  <c r="AG220" i="2"/>
  <c r="AD67" i="2"/>
  <c r="AB65" i="3"/>
  <c r="AB65" i="2" s="1"/>
  <c r="AB66" i="2"/>
  <c r="AA166" i="2"/>
  <c r="X30" i="3"/>
  <c r="X30" i="2" s="1"/>
  <c r="X31" i="2"/>
  <c r="AN49" i="2"/>
  <c r="V40" i="3"/>
  <c r="V41" i="2"/>
  <c r="Z168" i="2"/>
  <c r="U68" i="2"/>
  <c r="G61" i="3"/>
  <c r="G61" i="2" s="1"/>
  <c r="G62" i="2"/>
  <c r="AA43" i="2"/>
  <c r="L33" i="3"/>
  <c r="L33" i="2" s="1"/>
  <c r="L34" i="2"/>
  <c r="N171" i="2"/>
  <c r="O28" i="2"/>
  <c r="K64" i="2"/>
  <c r="T57" i="3"/>
  <c r="T57" i="2" s="1"/>
  <c r="T58" i="2"/>
  <c r="H36" i="3"/>
  <c r="H36" i="2" s="1"/>
  <c r="H37" i="2"/>
  <c r="Q29" i="2"/>
  <c r="AM68" i="2"/>
  <c r="K61" i="3"/>
  <c r="K61" i="2" s="1"/>
  <c r="K62" i="2"/>
  <c r="AE43" i="2"/>
  <c r="AS32" i="2"/>
  <c r="AS169" i="2"/>
  <c r="AB59" i="2"/>
  <c r="R171" i="2"/>
  <c r="H26" i="3"/>
  <c r="H27" i="2"/>
  <c r="AF26" i="3"/>
  <c r="AF27" i="2"/>
  <c r="AR215" i="2"/>
  <c r="K212" i="2"/>
  <c r="Z68" i="2"/>
  <c r="AJ63" i="2"/>
  <c r="K46" i="2"/>
  <c r="AG171" i="2"/>
  <c r="AH28" i="2"/>
  <c r="AE57" i="3"/>
  <c r="AE57" i="2" s="1"/>
  <c r="AE58" i="2"/>
  <c r="AJ165" i="2"/>
  <c r="H65" i="3"/>
  <c r="H65" i="2" s="1"/>
  <c r="H66" i="2"/>
  <c r="Q166" i="2"/>
  <c r="AJ47" i="3"/>
  <c r="AJ47" i="2" s="1"/>
  <c r="AJ48" i="2"/>
  <c r="AJ172" i="2"/>
  <c r="J55" i="3"/>
  <c r="J55" i="2" s="1"/>
  <c r="J56" i="2"/>
  <c r="AQ170" i="2"/>
  <c r="G28" i="2"/>
  <c r="AG173" i="2"/>
  <c r="M49" i="2"/>
  <c r="AJ167" i="2"/>
  <c r="S67" i="2"/>
  <c r="Q60" i="2"/>
  <c r="AD63" i="2"/>
  <c r="M46" i="2"/>
  <c r="S171" i="2"/>
  <c r="AB28" i="2"/>
  <c r="M169" i="2"/>
  <c r="AF28" i="2"/>
  <c r="AA30" i="3"/>
  <c r="AA30" i="2" s="1"/>
  <c r="AA31" i="2"/>
  <c r="AC42" i="2"/>
  <c r="P26" i="3"/>
  <c r="P27" i="2"/>
  <c r="AA102" i="2"/>
  <c r="AI68" i="2"/>
  <c r="R175" i="2"/>
  <c r="AC55" i="3"/>
  <c r="AC55" i="2" s="1"/>
  <c r="AC56" i="2"/>
  <c r="AN44" i="3"/>
  <c r="AN44" i="2" s="1"/>
  <c r="AN45" i="2"/>
  <c r="Y171" i="2"/>
  <c r="Z28" i="2"/>
  <c r="V172" i="2"/>
  <c r="AO53" i="3"/>
  <c r="AO54" i="2"/>
  <c r="AR174" i="2"/>
  <c r="J169" i="2"/>
  <c r="AC40" i="3"/>
  <c r="AC41" i="2"/>
  <c r="U174" i="2"/>
  <c r="AN46" i="2"/>
  <c r="Y36" i="3"/>
  <c r="Y36" i="2" s="1"/>
  <c r="Y37" i="2"/>
  <c r="Z29" i="2"/>
  <c r="AD175" i="2"/>
  <c r="X50" i="3"/>
  <c r="X50" i="2" s="1"/>
  <c r="X51" i="2"/>
  <c r="J170" i="2"/>
  <c r="K26" i="3"/>
  <c r="K27" i="2"/>
  <c r="L65" i="3"/>
  <c r="L65" i="2" s="1"/>
  <c r="L66" i="2"/>
  <c r="M166" i="2"/>
  <c r="X47" i="3"/>
  <c r="X47" i="2" s="1"/>
  <c r="X48" i="2"/>
  <c r="AL36" i="3"/>
  <c r="AL36" i="2" s="1"/>
  <c r="AL37" i="2"/>
  <c r="AM29" i="2"/>
  <c r="K164" i="2"/>
  <c r="AL29" i="2"/>
  <c r="AA53" i="3"/>
  <c r="AA54" i="2"/>
  <c r="AS118" i="2"/>
  <c r="AG68" i="2"/>
  <c r="L68" i="2"/>
  <c r="AD60" i="2"/>
  <c r="L169" i="2"/>
  <c r="W40" i="3"/>
  <c r="W41" i="2"/>
  <c r="AA168" i="2"/>
  <c r="AQ50" i="3"/>
  <c r="AQ50" i="2" s="1"/>
  <c r="AQ51" i="2"/>
  <c r="AH174" i="2"/>
  <c r="T47" i="3"/>
  <c r="T47" i="2" s="1"/>
  <c r="T48" i="2"/>
  <c r="AH36" i="3"/>
  <c r="AH36" i="2" s="1"/>
  <c r="AH37" i="2"/>
  <c r="AF46" i="2"/>
  <c r="R165" i="2"/>
  <c r="O59" i="2"/>
  <c r="T30" i="3"/>
  <c r="T30" i="2" s="1"/>
  <c r="T31" i="2"/>
  <c r="AP65" i="3"/>
  <c r="AP65" i="2" s="1"/>
  <c r="AP66" i="2"/>
  <c r="AL59" i="2"/>
  <c r="G43" i="2"/>
  <c r="L164" i="2"/>
  <c r="T35" i="2"/>
  <c r="P172" i="2"/>
  <c r="AP26" i="3"/>
  <c r="AP27" i="2"/>
  <c r="AR171" i="2"/>
  <c r="V167" i="2"/>
  <c r="X43" i="2"/>
  <c r="AF100" i="3"/>
  <c r="AF101" i="2"/>
  <c r="AK173" i="2"/>
  <c r="AP42" i="2"/>
  <c r="J164" i="2"/>
  <c r="Y53" i="3"/>
  <c r="Y54" i="2"/>
  <c r="L165" i="2"/>
  <c r="AM61" i="3"/>
  <c r="AM61" i="2" s="1"/>
  <c r="AM62" i="2"/>
  <c r="AO50" i="3"/>
  <c r="AO50" i="2" s="1"/>
  <c r="AO51" i="2"/>
  <c r="AB163" i="2"/>
  <c r="AQ172" i="2"/>
  <c r="L167" i="2"/>
  <c r="AD59" i="2"/>
  <c r="AR42" i="2"/>
  <c r="AO163" i="2"/>
  <c r="P43" i="2"/>
  <c r="AK63" i="2"/>
  <c r="T168" i="2"/>
  <c r="AN43" i="2"/>
  <c r="AO57" i="3"/>
  <c r="AO57" i="2" s="1"/>
  <c r="AO58" i="2"/>
  <c r="H29" i="2"/>
  <c r="F144" i="3"/>
  <c r="F144" i="2" s="1"/>
  <c r="F145" i="2"/>
  <c r="AN69" i="2"/>
  <c r="F212" i="2"/>
  <c r="F26" i="3"/>
  <c r="F27" i="2"/>
  <c r="F65" i="3"/>
  <c r="F65" i="2" s="1"/>
  <c r="F66" i="2"/>
  <c r="F63" i="2"/>
  <c r="AI119" i="2"/>
  <c r="AF119" i="2"/>
  <c r="W233" i="2"/>
  <c r="L176" i="2"/>
  <c r="F156" i="3"/>
  <c r="F156" i="2" s="1"/>
  <c r="F157" i="2"/>
  <c r="F134" i="3"/>
  <c r="F134" i="2" s="1"/>
  <c r="F135" i="2"/>
  <c r="O38" i="2"/>
  <c r="O160" i="2"/>
  <c r="AC176" i="2"/>
  <c r="F60" i="2"/>
  <c r="F170" i="2"/>
  <c r="F53" i="3"/>
  <c r="F54" i="2"/>
  <c r="AA131" i="2"/>
  <c r="L228" i="2"/>
  <c r="AC126" i="3"/>
  <c r="AC126" i="2" s="1"/>
  <c r="AC127" i="2"/>
  <c r="AM128" i="2"/>
  <c r="P226" i="2"/>
  <c r="AR218" i="2"/>
  <c r="AC123" i="3"/>
  <c r="AC123" i="2" s="1"/>
  <c r="AC124" i="2"/>
  <c r="AN115" i="3"/>
  <c r="AN115" i="2" s="1"/>
  <c r="AN116" i="2"/>
  <c r="I109" i="2"/>
  <c r="AA123" i="3"/>
  <c r="AA123" i="2" s="1"/>
  <c r="AA124" i="2"/>
  <c r="S110" i="2"/>
  <c r="AB103" i="2"/>
  <c r="AA214" i="2"/>
  <c r="O121" i="3"/>
  <c r="O122" i="2"/>
  <c r="Q110" i="2"/>
  <c r="R103" i="2"/>
  <c r="K219" i="3"/>
  <c r="K220" i="2"/>
  <c r="T104" i="2"/>
  <c r="N125" i="2"/>
  <c r="AE110" i="2"/>
  <c r="AF103" i="2"/>
  <c r="AK218" i="2"/>
  <c r="AQ219" i="3"/>
  <c r="AQ220" i="2"/>
  <c r="AP213" i="2"/>
  <c r="AK110" i="2"/>
  <c r="M110" i="2"/>
  <c r="AL119" i="2"/>
  <c r="AB38" i="2"/>
  <c r="AB160" i="2"/>
  <c r="AM38" i="2"/>
  <c r="AM160" i="2"/>
  <c r="N38" i="2"/>
  <c r="N160" i="2"/>
  <c r="AR69" i="2"/>
  <c r="F224" i="2"/>
  <c r="AA69" i="2"/>
  <c r="AC230" i="2"/>
  <c r="AO153" i="3"/>
  <c r="AO153" i="2" s="1"/>
  <c r="AO154" i="2"/>
  <c r="AP146" i="2"/>
  <c r="AD158" i="2"/>
  <c r="U225" i="2"/>
  <c r="AL142" i="2"/>
  <c r="AR232" i="2"/>
  <c r="U156" i="3"/>
  <c r="U156" i="2" s="1"/>
  <c r="U157" i="2"/>
  <c r="V142" i="2"/>
  <c r="N132" i="2"/>
  <c r="O222" i="2"/>
  <c r="AQ134" i="3"/>
  <c r="AQ134" i="2" s="1"/>
  <c r="AQ135" i="2"/>
  <c r="AH224" i="2"/>
  <c r="Q131" i="2"/>
  <c r="AK121" i="3"/>
  <c r="AK122" i="2"/>
  <c r="X222" i="2"/>
  <c r="AE128" i="2"/>
  <c r="H226" i="2"/>
  <c r="AB218" i="2"/>
  <c r="U123" i="3"/>
  <c r="U123" i="2" s="1"/>
  <c r="U124" i="2"/>
  <c r="X228" i="2"/>
  <c r="AL216" i="2"/>
  <c r="AM100" i="3"/>
  <c r="AM101" i="2"/>
  <c r="G115" i="3"/>
  <c r="G115" i="2" s="1"/>
  <c r="G116" i="2"/>
  <c r="AC107" i="3"/>
  <c r="AC107" i="2" s="1"/>
  <c r="AC108" i="2"/>
  <c r="S214" i="2"/>
  <c r="I110" i="2"/>
  <c r="J103" i="2"/>
  <c r="AP117" i="2"/>
  <c r="U109" i="2"/>
  <c r="AE228" i="2"/>
  <c r="AO216" i="2"/>
  <c r="AP100" i="3"/>
  <c r="AP101" i="2"/>
  <c r="AQ217" i="2"/>
  <c r="G103" i="2"/>
  <c r="Z109" i="2"/>
  <c r="F226" i="2"/>
  <c r="AO155" i="2"/>
  <c r="O158" i="2"/>
  <c r="P227" i="2"/>
  <c r="S158" i="2"/>
  <c r="AB148" i="2"/>
  <c r="AC142" i="2"/>
  <c r="AH222" i="2"/>
  <c r="AJ136" i="2"/>
  <c r="AQ222" i="2"/>
  <c r="O153" i="3"/>
  <c r="O153" i="2" s="1"/>
  <c r="O154" i="2"/>
  <c r="T140" i="3"/>
  <c r="T141" i="2"/>
  <c r="AL131" i="2"/>
  <c r="AR149" i="3"/>
  <c r="AR149" i="2" s="1"/>
  <c r="AR150" i="2"/>
  <c r="N211" i="2"/>
  <c r="P218" i="2"/>
  <c r="N148" i="2"/>
  <c r="T131" i="2"/>
  <c r="AA147" i="2"/>
  <c r="T153" i="3"/>
  <c r="T153" i="2" s="1"/>
  <c r="T154" i="2"/>
  <c r="Y140" i="3"/>
  <c r="Y141" i="2"/>
  <c r="H117" i="2"/>
  <c r="AL126" i="3"/>
  <c r="AL126" i="2" s="1"/>
  <c r="AL127" i="2"/>
  <c r="AC218" i="2"/>
  <c r="N123" i="3"/>
  <c r="N123" i="2" s="1"/>
  <c r="N124" i="2"/>
  <c r="AR117" i="2"/>
  <c r="T130" i="2"/>
  <c r="AO219" i="3"/>
  <c r="AO220" i="2"/>
  <c r="AN213" i="2"/>
  <c r="AD219" i="3"/>
  <c r="AD220" i="2"/>
  <c r="AE104" i="2"/>
  <c r="AL111" i="2"/>
  <c r="AL104" i="2"/>
  <c r="AB111" i="2"/>
  <c r="AC104" i="2"/>
  <c r="N212" i="2"/>
  <c r="O228" i="2"/>
  <c r="AG216" i="2"/>
  <c r="AH100" i="3"/>
  <c r="AH101" i="2"/>
  <c r="Y114" i="2"/>
  <c r="AR212" i="2"/>
  <c r="AL103" i="2"/>
  <c r="AS119" i="2"/>
  <c r="Y119" i="2"/>
  <c r="V38" i="2"/>
  <c r="V160" i="2"/>
  <c r="AP155" i="2"/>
  <c r="AI149" i="3"/>
  <c r="AI149" i="2" s="1"/>
  <c r="AI150" i="2"/>
  <c r="M158" i="2"/>
  <c r="AM149" i="3"/>
  <c r="AM149" i="2" s="1"/>
  <c r="AM150" i="2"/>
  <c r="Q144" i="3"/>
  <c r="Q144" i="2" s="1"/>
  <c r="Q145" i="2"/>
  <c r="G151" i="3"/>
  <c r="G151" i="2" s="1"/>
  <c r="G152" i="2"/>
  <c r="AH211" i="2"/>
  <c r="AE218" i="2"/>
  <c r="AH137" i="3"/>
  <c r="AH137" i="2" s="1"/>
  <c r="AH138" i="2"/>
  <c r="AA143" i="2"/>
  <c r="O156" i="3"/>
  <c r="O156" i="2" s="1"/>
  <c r="O157" i="2"/>
  <c r="AA226" i="2"/>
  <c r="X230" i="2"/>
  <c r="AH226" i="2"/>
  <c r="R132" i="2"/>
  <c r="AG125" i="2"/>
  <c r="J115" i="3"/>
  <c r="J115" i="2" s="1"/>
  <c r="J116" i="2"/>
  <c r="AO129" i="2"/>
  <c r="S223" i="2"/>
  <c r="N129" i="2"/>
  <c r="V219" i="3"/>
  <c r="V220" i="2"/>
  <c r="W104" i="2"/>
  <c r="AC111" i="2"/>
  <c r="U210" i="2"/>
  <c r="S224" i="2"/>
  <c r="AN105" i="3"/>
  <c r="AN105" i="2" s="1"/>
  <c r="AN106" i="2"/>
  <c r="AF228" i="2"/>
  <c r="AP216" i="2"/>
  <c r="AQ100" i="3"/>
  <c r="AQ101" i="2"/>
  <c r="AK114" i="2"/>
  <c r="Y107" i="3"/>
  <c r="Y107" i="2" s="1"/>
  <c r="Y108" i="2"/>
  <c r="O224" i="2"/>
  <c r="AS105" i="3"/>
  <c r="AS105" i="2" s="1"/>
  <c r="AS106" i="2"/>
  <c r="H210" i="2"/>
  <c r="AE230" i="2"/>
  <c r="I211" i="2"/>
  <c r="AF143" i="2"/>
  <c r="R153" i="3"/>
  <c r="R153" i="2" s="1"/>
  <c r="R154" i="2"/>
  <c r="AQ140" i="3"/>
  <c r="AQ141" i="2"/>
  <c r="AQ156" i="3"/>
  <c r="AQ156" i="2" s="1"/>
  <c r="AQ157" i="2"/>
  <c r="AE134" i="3"/>
  <c r="AE134" i="2" s="1"/>
  <c r="AE135" i="2"/>
  <c r="L230" i="2"/>
  <c r="AP149" i="3"/>
  <c r="AP149" i="2" s="1"/>
  <c r="AP150" i="2"/>
  <c r="W142" i="2"/>
  <c r="W218" i="2"/>
  <c r="AJ151" i="3"/>
  <c r="AJ151" i="2" s="1"/>
  <c r="AJ152" i="2"/>
  <c r="Q143" i="2"/>
  <c r="O126" i="3"/>
  <c r="O126" i="2" s="1"/>
  <c r="O127" i="2"/>
  <c r="AK115" i="3"/>
  <c r="AK115" i="2" s="1"/>
  <c r="AK116" i="2"/>
  <c r="O133" i="2"/>
  <c r="AF123" i="3"/>
  <c r="AF123" i="2" s="1"/>
  <c r="AF124" i="2"/>
  <c r="AR228" i="2"/>
  <c r="AQ129" i="2"/>
  <c r="AP134" i="3"/>
  <c r="AP134" i="2" s="1"/>
  <c r="AP135" i="2"/>
  <c r="W125" i="2"/>
  <c r="AR226" i="2"/>
  <c r="AO109" i="2"/>
  <c r="N219" i="3"/>
  <c r="N220" i="2"/>
  <c r="O104" i="2"/>
  <c r="AE221" i="2"/>
  <c r="V213" i="2"/>
  <c r="AI128" i="2"/>
  <c r="L219" i="3"/>
  <c r="L220" i="2"/>
  <c r="S131" i="2"/>
  <c r="J112" i="3"/>
  <c r="J112" i="2" s="1"/>
  <c r="J113" i="2"/>
  <c r="G105" i="3"/>
  <c r="G105" i="2" s="1"/>
  <c r="G106" i="2"/>
  <c r="Z111" i="2"/>
  <c r="R210" i="2"/>
  <c r="AN223" i="2"/>
  <c r="AK105" i="3"/>
  <c r="AK105" i="2" s="1"/>
  <c r="AK106" i="2"/>
  <c r="V103" i="2"/>
  <c r="AH176" i="2"/>
  <c r="AG233" i="2"/>
  <c r="P233" i="2"/>
  <c r="W230" i="2"/>
  <c r="I153" i="3"/>
  <c r="I153" i="2" s="1"/>
  <c r="I154" i="2"/>
  <c r="R155" i="2"/>
  <c r="N146" i="2"/>
  <c r="AI143" i="2"/>
  <c r="AS143" i="2"/>
  <c r="U133" i="2"/>
  <c r="Q148" i="2"/>
  <c r="N131" i="2"/>
  <c r="L149" i="3"/>
  <c r="L149" i="2" s="1"/>
  <c r="L150" i="2"/>
  <c r="AJ137" i="3"/>
  <c r="AJ137" i="2" s="1"/>
  <c r="AJ138" i="2"/>
  <c r="P144" i="3"/>
  <c r="P144" i="2" s="1"/>
  <c r="P145" i="2"/>
  <c r="AP133" i="2"/>
  <c r="K153" i="3"/>
  <c r="K153" i="2" s="1"/>
  <c r="K154" i="2"/>
  <c r="V227" i="2"/>
  <c r="AL136" i="2"/>
  <c r="T218" i="2"/>
  <c r="Y123" i="3"/>
  <c r="Y123" i="2" s="1"/>
  <c r="Y124" i="2"/>
  <c r="AI218" i="2"/>
  <c r="X123" i="3"/>
  <c r="X123" i="2" s="1"/>
  <c r="X124" i="2"/>
  <c r="H128" i="2"/>
  <c r="AD229" i="2"/>
  <c r="AN226" i="2"/>
  <c r="J134" i="3"/>
  <c r="J134" i="2" s="1"/>
  <c r="J135" i="2"/>
  <c r="T117" i="2"/>
  <c r="AP126" i="3"/>
  <c r="AP126" i="2" s="1"/>
  <c r="AP127" i="2"/>
  <c r="AQ215" i="2"/>
  <c r="G100" i="3"/>
  <c r="G101" i="2"/>
  <c r="AA229" i="2"/>
  <c r="P217" i="2"/>
  <c r="Y102" i="2"/>
  <c r="W217" i="2"/>
  <c r="X102" i="2"/>
  <c r="O212" i="2"/>
  <c r="AA210" i="2"/>
  <c r="R111" i="2"/>
  <c r="J210" i="2"/>
  <c r="AI229" i="2"/>
  <c r="K217" i="2"/>
  <c r="T102" i="2"/>
  <c r="AB112" i="3"/>
  <c r="AB112" i="2" s="1"/>
  <c r="AB113" i="2"/>
  <c r="K68" i="2"/>
  <c r="Q68" i="2"/>
  <c r="X100" i="3"/>
  <c r="X101" i="2"/>
  <c r="AH42" i="2"/>
  <c r="AM163" i="2"/>
  <c r="AR55" i="3"/>
  <c r="AR55" i="2" s="1"/>
  <c r="AR56" i="2"/>
  <c r="AF35" i="2"/>
  <c r="U172" i="2"/>
  <c r="AF53" i="3"/>
  <c r="AF54" i="2"/>
  <c r="O53" i="3"/>
  <c r="O54" i="2"/>
  <c r="AM164" i="2"/>
  <c r="AI64" i="2"/>
  <c r="AJ44" i="3"/>
  <c r="AJ44" i="2" s="1"/>
  <c r="AJ45" i="2"/>
  <c r="M35" i="2"/>
  <c r="V65" i="3"/>
  <c r="V65" i="2" s="1"/>
  <c r="V66" i="2"/>
  <c r="R174" i="2"/>
  <c r="AS46" i="2"/>
  <c r="N36" i="3"/>
  <c r="N36" i="2" s="1"/>
  <c r="N37" i="2"/>
  <c r="O29" i="2"/>
  <c r="AD46" i="2"/>
  <c r="X64" i="2"/>
  <c r="AM33" i="3"/>
  <c r="AM33" i="2" s="1"/>
  <c r="AM34" i="2"/>
  <c r="AC50" i="3"/>
  <c r="AC50" i="2" s="1"/>
  <c r="AC51" i="2"/>
  <c r="K165" i="2"/>
  <c r="R40" i="3"/>
  <c r="R41" i="2"/>
  <c r="AN67" i="2"/>
  <c r="I68" i="2"/>
  <c r="O64" i="2"/>
  <c r="P57" i="3"/>
  <c r="P57" i="2" s="1"/>
  <c r="P58" i="2"/>
  <c r="AD33" i="3"/>
  <c r="AD33" i="2" s="1"/>
  <c r="AD34" i="2"/>
  <c r="Q65" i="3"/>
  <c r="Q65" i="2" s="1"/>
  <c r="Q66" i="2"/>
  <c r="R166" i="2"/>
  <c r="O30" i="3"/>
  <c r="O30" i="2" s="1"/>
  <c r="O31" i="2"/>
  <c r="AJ173" i="2"/>
  <c r="AO166" i="2"/>
  <c r="AE175" i="2"/>
  <c r="Y50" i="3"/>
  <c r="Y50" i="2" s="1"/>
  <c r="Y51" i="2"/>
  <c r="AN168" i="2"/>
  <c r="L26" i="3"/>
  <c r="L27" i="2"/>
  <c r="AL42" i="2"/>
  <c r="AQ163" i="2"/>
  <c r="Q64" i="2"/>
  <c r="R57" i="3"/>
  <c r="R57" i="2" s="1"/>
  <c r="R58" i="2"/>
  <c r="G165" i="2"/>
  <c r="U53" i="3"/>
  <c r="U54" i="2"/>
  <c r="N163" i="2"/>
  <c r="AC63" i="2"/>
  <c r="AN26" i="3"/>
  <c r="AN27" i="2"/>
  <c r="Y30" i="3"/>
  <c r="Y30" i="2" s="1"/>
  <c r="Y31" i="2"/>
  <c r="AJ35" i="2"/>
  <c r="AL46" i="2"/>
  <c r="W60" i="2"/>
  <c r="J109" i="2"/>
  <c r="AP68" i="2"/>
  <c r="V118" i="2"/>
  <c r="Z53" i="3"/>
  <c r="Z54" i="2"/>
  <c r="V33" i="3"/>
  <c r="V33" i="2" s="1"/>
  <c r="V34" i="2"/>
  <c r="I173" i="2"/>
  <c r="G167" i="2"/>
  <c r="Y65" i="3"/>
  <c r="Y65" i="2" s="1"/>
  <c r="Y66" i="2"/>
  <c r="AG166" i="2"/>
  <c r="T68" i="2"/>
  <c r="AI60" i="2"/>
  <c r="Q50" i="3"/>
  <c r="Q50" i="2" s="1"/>
  <c r="Q51" i="2"/>
  <c r="AF168" i="2"/>
  <c r="AK61" i="3"/>
  <c r="AK61" i="2" s="1"/>
  <c r="AK62" i="2"/>
  <c r="G168" i="2"/>
  <c r="I172" i="2"/>
  <c r="AC46" i="2"/>
  <c r="AI171" i="2"/>
  <c r="AR28" i="2"/>
  <c r="G60" i="2"/>
  <c r="AG167" i="2"/>
  <c r="V46" i="2"/>
  <c r="AP61" i="3"/>
  <c r="AP61" i="2" s="1"/>
  <c r="AP62" i="2"/>
  <c r="AL168" i="2"/>
  <c r="Q47" i="3"/>
  <c r="Q47" i="2" s="1"/>
  <c r="Q48" i="2"/>
  <c r="AH26" i="3"/>
  <c r="AH27" i="2"/>
  <c r="AE36" i="3"/>
  <c r="AE36" i="2" s="1"/>
  <c r="AE37" i="2"/>
  <c r="X67" i="2"/>
  <c r="AD174" i="2"/>
  <c r="AB173" i="2"/>
  <c r="I49" i="2"/>
  <c r="X167" i="2"/>
  <c r="AS67" i="2"/>
  <c r="AC60" i="2"/>
  <c r="U175" i="2"/>
  <c r="Z50" i="3"/>
  <c r="Z50" i="2" s="1"/>
  <c r="Z51" i="2"/>
  <c r="L170" i="2"/>
  <c r="Q63" i="2"/>
  <c r="J43" i="2"/>
  <c r="O164" i="2"/>
  <c r="K172" i="2"/>
  <c r="AE46" i="2"/>
  <c r="Q165" i="2"/>
  <c r="AH64" i="2"/>
  <c r="AM175" i="2"/>
  <c r="AD50" i="3"/>
  <c r="AD50" i="2" s="1"/>
  <c r="AD51" i="2"/>
  <c r="AS168" i="2"/>
  <c r="I26" i="3"/>
  <c r="I27" i="2"/>
  <c r="AB166" i="2"/>
  <c r="AB49" i="2"/>
  <c r="H163" i="2"/>
  <c r="N29" i="2"/>
  <c r="AG32" i="2"/>
  <c r="AD43" i="2"/>
  <c r="AG57" i="3"/>
  <c r="AG57" i="2" s="1"/>
  <c r="AG58" i="2"/>
  <c r="AF163" i="2"/>
  <c r="Z175" i="2"/>
  <c r="J53" i="3"/>
  <c r="J54" i="2"/>
  <c r="AH164" i="2"/>
  <c r="AD64" i="2"/>
  <c r="W44" i="3"/>
  <c r="W44" i="2" s="1"/>
  <c r="W45" i="2"/>
  <c r="AS33" i="3"/>
  <c r="AS33" i="2" s="1"/>
  <c r="AS34" i="2"/>
  <c r="H173" i="2"/>
  <c r="W35" i="2"/>
  <c r="AM42" i="2"/>
  <c r="G164" i="2"/>
  <c r="L57" i="3"/>
  <c r="L57" i="2" s="1"/>
  <c r="L58" i="2"/>
  <c r="AS35" i="2"/>
  <c r="S174" i="2"/>
  <c r="L53" i="3"/>
  <c r="L54" i="2"/>
  <c r="AB164" i="2"/>
  <c r="AE47" i="3"/>
  <c r="AE47" i="2" s="1"/>
  <c r="AE48" i="2"/>
  <c r="M53" i="3"/>
  <c r="M54" i="2"/>
  <c r="AF164" i="2"/>
  <c r="AA167" i="2"/>
  <c r="AP35" i="2"/>
  <c r="W50" i="3"/>
  <c r="W50" i="2" s="1"/>
  <c r="W51" i="2"/>
  <c r="U26" i="3"/>
  <c r="U27" i="2"/>
  <c r="X55" i="3"/>
  <c r="X55" i="2" s="1"/>
  <c r="X56" i="2"/>
  <c r="P163" i="2"/>
  <c r="AA212" i="2"/>
  <c r="AI175" i="2"/>
  <c r="AB63" i="2"/>
  <c r="Z164" i="2"/>
  <c r="AG42" i="2"/>
  <c r="J32" i="2"/>
  <c r="I166" i="2"/>
  <c r="AC57" i="3"/>
  <c r="AC57" i="2" s="1"/>
  <c r="AC58" i="2"/>
  <c r="Z165" i="2"/>
  <c r="W59" i="2"/>
  <c r="X169" i="2"/>
  <c r="AQ40" i="3"/>
  <c r="AQ41" i="2"/>
  <c r="K163" i="2"/>
  <c r="AJ61" i="3"/>
  <c r="AJ61" i="2" s="1"/>
  <c r="AJ62" i="2"/>
  <c r="L173" i="2"/>
  <c r="AM165" i="2"/>
  <c r="AP49" i="2"/>
  <c r="AB46" i="2"/>
  <c r="AL165" i="2"/>
  <c r="J35" i="2"/>
  <c r="T49" i="2"/>
  <c r="AK67" i="2"/>
  <c r="S30" i="3"/>
  <c r="S30" i="2" s="1"/>
  <c r="S31" i="2"/>
  <c r="AS226" i="2"/>
  <c r="AS65" i="3"/>
  <c r="AS65" i="2" s="1"/>
  <c r="AS66" i="2"/>
  <c r="AG175" i="2"/>
  <c r="L175" i="2"/>
  <c r="M67" i="2"/>
  <c r="AP59" i="2"/>
  <c r="AQ169" i="2"/>
  <c r="Y42" i="2"/>
  <c r="AM30" i="3"/>
  <c r="AM30" i="2" s="1"/>
  <c r="AM31" i="2"/>
  <c r="AL57" i="3"/>
  <c r="AL57" i="2" s="1"/>
  <c r="AL58" i="2"/>
  <c r="T64" i="2"/>
  <c r="U57" i="3"/>
  <c r="U57" i="2" s="1"/>
  <c r="U58" i="2"/>
  <c r="AA33" i="3"/>
  <c r="AA33" i="2" s="1"/>
  <c r="AA34" i="2"/>
  <c r="N65" i="3"/>
  <c r="N65" i="2" s="1"/>
  <c r="N66" i="2"/>
  <c r="O166" i="2"/>
  <c r="AH47" i="3"/>
  <c r="AH47" i="2" s="1"/>
  <c r="AH48" i="2"/>
  <c r="T167" i="2"/>
  <c r="AP173" i="2"/>
  <c r="AL166" i="2"/>
  <c r="N63" i="2"/>
  <c r="U32" i="2"/>
  <c r="AK28" i="2"/>
  <c r="T171" i="2"/>
  <c r="AP163" i="2"/>
  <c r="AL43" i="2"/>
  <c r="L59" i="2"/>
  <c r="AD29" i="2"/>
  <c r="X114" i="2"/>
  <c r="AF210" i="2"/>
  <c r="L63" i="2"/>
  <c r="S32" i="2"/>
  <c r="P61" i="3"/>
  <c r="P61" i="2" s="1"/>
  <c r="P62" i="2"/>
  <c r="AR43" i="2"/>
  <c r="U33" i="3"/>
  <c r="U33" i="2" s="1"/>
  <c r="U34" i="2"/>
  <c r="AE49" i="2"/>
  <c r="M40" i="3"/>
  <c r="M41" i="2"/>
  <c r="AH65" i="3"/>
  <c r="AH65" i="2" s="1"/>
  <c r="AH66" i="2"/>
  <c r="AF59" i="2"/>
  <c r="AO169" i="2"/>
  <c r="O42" i="2"/>
  <c r="AK30" i="3"/>
  <c r="AK30" i="2" s="1"/>
  <c r="AK31" i="2"/>
  <c r="Y55" i="3"/>
  <c r="Y55" i="2" s="1"/>
  <c r="Y56" i="2"/>
  <c r="AR44" i="3"/>
  <c r="AR44" i="2" s="1"/>
  <c r="AR45" i="2"/>
  <c r="U35" i="2"/>
  <c r="AF65" i="3"/>
  <c r="AF65" i="2" s="1"/>
  <c r="AF66" i="2"/>
  <c r="AD166" i="2"/>
  <c r="AQ61" i="3"/>
  <c r="AQ61" i="2" s="1"/>
  <c r="AQ62" i="2"/>
  <c r="M32" i="2"/>
  <c r="P28" i="2"/>
  <c r="H165" i="2"/>
  <c r="AA42" i="2"/>
  <c r="X119" i="2"/>
  <c r="G38" i="2"/>
  <c r="G160" i="2"/>
  <c r="U69" i="2"/>
  <c r="F163" i="2"/>
  <c r="I119" i="2"/>
  <c r="J38" i="2"/>
  <c r="J160" i="2"/>
  <c r="F173" i="2"/>
  <c r="Z69" i="2"/>
  <c r="AI233" i="2"/>
  <c r="AF233" i="2"/>
  <c r="F42" i="2"/>
  <c r="AK38" i="2"/>
  <c r="AK160" i="2"/>
  <c r="F30" i="3"/>
  <c r="F30" i="2" s="1"/>
  <c r="F31" i="2"/>
  <c r="R69" i="2"/>
  <c r="AD119" i="2"/>
  <c r="M69" i="2"/>
  <c r="M160" i="2"/>
  <c r="AQ38" i="2"/>
  <c r="AQ160" i="2"/>
  <c r="O176" i="2"/>
  <c r="W10" i="3"/>
  <c r="AB24" i="3"/>
  <c r="F90" i="3"/>
  <c r="AP18" i="3"/>
  <c r="AJ77" i="3"/>
  <c r="J18" i="3"/>
  <c r="W92" i="3"/>
  <c r="X74" i="3"/>
  <c r="O97" i="3"/>
  <c r="K77" i="3"/>
  <c r="F10" i="3"/>
  <c r="AS96" i="3"/>
  <c r="AN92" i="3"/>
  <c r="Q75" i="3"/>
  <c r="Q90" i="3"/>
  <c r="F98" i="3"/>
  <c r="AM93" i="3"/>
  <c r="S92" i="3"/>
  <c r="K79" i="3"/>
  <c r="O77" i="3"/>
  <c r="AL96" i="3"/>
  <c r="AQ24" i="3"/>
  <c r="Z88" i="3"/>
  <c r="AC82" i="3"/>
  <c r="S97" i="3"/>
  <c r="Y87" i="3"/>
  <c r="G79" i="3"/>
  <c r="AM17" i="3"/>
  <c r="AP90" i="3"/>
  <c r="AA96" i="3"/>
  <c r="W86" i="3"/>
  <c r="AF90" i="3"/>
  <c r="R93" i="3"/>
  <c r="N79" i="3"/>
  <c r="AE89" i="3"/>
  <c r="Z76" i="3"/>
  <c r="AE78" i="3"/>
  <c r="N24" i="3"/>
  <c r="AL78" i="3"/>
  <c r="I97" i="3"/>
  <c r="Y83" i="3"/>
  <c r="R96" i="3"/>
  <c r="AD74" i="3"/>
  <c r="W79" i="3"/>
  <c r="U75" i="3"/>
  <c r="L74" i="3"/>
  <c r="AP76" i="3"/>
  <c r="K98" i="3"/>
  <c r="S77" i="3"/>
  <c r="AE7" i="3"/>
  <c r="AO22" i="3"/>
  <c r="AR9" i="3"/>
  <c r="I15" i="3"/>
  <c r="AC10" i="3"/>
  <c r="AQ23" i="3"/>
  <c r="AB23" i="3"/>
  <c r="AS19" i="3"/>
  <c r="AS9" i="3"/>
  <c r="AC18" i="3"/>
  <c r="O17" i="3"/>
  <c r="Q89" i="3"/>
  <c r="AL82" i="3"/>
  <c r="K97" i="3"/>
  <c r="U86" i="3"/>
  <c r="AC93" i="3"/>
  <c r="T94" i="3"/>
  <c r="AM18" i="3"/>
  <c r="M12" i="3"/>
  <c r="H17" i="3"/>
  <c r="AE15" i="3"/>
  <c r="AE21" i="3"/>
  <c r="V15" i="3"/>
  <c r="AI8" i="3"/>
  <c r="AB22" i="3"/>
  <c r="Q12" i="3"/>
  <c r="AI24" i="3"/>
  <c r="F83" i="3"/>
  <c r="F18" i="3"/>
  <c r="AO92" i="3"/>
  <c r="AF88" i="3"/>
  <c r="AL74" i="3"/>
  <c r="AS83" i="3"/>
  <c r="Z87" i="3"/>
  <c r="AS93" i="3"/>
  <c r="AM76" i="3"/>
  <c r="AE88" i="3"/>
  <c r="J77" i="3"/>
  <c r="AP97" i="3"/>
  <c r="K92" i="3"/>
  <c r="M17" i="3"/>
  <c r="X10" i="3"/>
  <c r="T22" i="3"/>
  <c r="AL19" i="3"/>
  <c r="AF19" i="3"/>
  <c r="AE9" i="3"/>
  <c r="S23" i="3"/>
  <c r="L19" i="3"/>
  <c r="F88" i="3"/>
  <c r="F86" i="3"/>
  <c r="P88" i="3"/>
  <c r="O86" i="3"/>
  <c r="Q79" i="3"/>
  <c r="AC87" i="3"/>
  <c r="AL90" i="3"/>
  <c r="W74" i="3"/>
  <c r="U87" i="3"/>
  <c r="AS76" i="3"/>
  <c r="AJ75" i="3"/>
  <c r="AG82" i="3"/>
  <c r="X21" i="3"/>
  <c r="AC7" i="3"/>
  <c r="H23" i="3"/>
  <c r="AH17" i="3"/>
  <c r="AK10" i="3"/>
  <c r="AN9" i="3"/>
  <c r="Q8" i="3"/>
  <c r="AQ12" i="3"/>
  <c r="AN24" i="3"/>
  <c r="AS81" i="3"/>
  <c r="I90" i="3"/>
  <c r="AH82" i="3"/>
  <c r="V98" i="3"/>
  <c r="AE90" i="3"/>
  <c r="AM89" i="3"/>
  <c r="AM78" i="3"/>
  <c r="M23" i="3"/>
  <c r="U8" i="3"/>
  <c r="G81" i="3"/>
  <c r="W8" i="3"/>
  <c r="AR19" i="3"/>
  <c r="AC22" i="3"/>
  <c r="L13" i="3"/>
  <c r="AI21" i="3"/>
  <c r="F82" i="3"/>
  <c r="R24" i="3"/>
  <c r="AG89" i="3"/>
  <c r="AD96" i="3"/>
  <c r="T81" i="3"/>
  <c r="AB97" i="3"/>
  <c r="AR13" i="3"/>
  <c r="G19" i="3"/>
  <c r="AH15" i="3"/>
  <c r="AR79" i="3"/>
  <c r="Q10" i="3"/>
  <c r="AQ17" i="3"/>
  <c r="J15" i="3"/>
  <c r="AA13" i="3"/>
  <c r="AC94" i="3"/>
  <c r="X94" i="3"/>
  <c r="U74" i="3"/>
  <c r="AP81" i="3"/>
  <c r="V77" i="3"/>
  <c r="W94" i="3"/>
  <c r="AD93" i="3"/>
  <c r="AM7" i="3"/>
  <c r="AJ21" i="3"/>
  <c r="AN13" i="3"/>
  <c r="AG12" i="3"/>
  <c r="AB21" i="3"/>
  <c r="AI23" i="3"/>
  <c r="AM9" i="3"/>
  <c r="T18" i="3"/>
  <c r="AF74" i="3"/>
  <c r="F7" i="3"/>
  <c r="AI98" i="3"/>
  <c r="U90" i="3"/>
  <c r="AI13" i="3"/>
  <c r="AS90" i="3"/>
  <c r="I13" i="3"/>
  <c r="AM22" i="3"/>
  <c r="AC97" i="3"/>
  <c r="AP86" i="3"/>
  <c r="K78" i="3"/>
  <c r="AS8" i="3"/>
  <c r="AL7" i="3"/>
  <c r="AA24" i="3"/>
  <c r="P92" i="3"/>
  <c r="F75" i="3"/>
  <c r="AH83" i="3"/>
  <c r="AQ82" i="3"/>
  <c r="AE94" i="3"/>
  <c r="U19" i="3"/>
  <c r="AQ15" i="3"/>
  <c r="AF82" i="3"/>
  <c r="M19" i="3"/>
  <c r="T15" i="3"/>
  <c r="R88" i="3"/>
  <c r="AN94" i="3"/>
  <c r="W13" i="3"/>
  <c r="W9" i="3"/>
  <c r="S7" i="3"/>
  <c r="AC19" i="3"/>
  <c r="AH81" i="3"/>
  <c r="AQ98" i="3"/>
  <c r="AM81" i="3"/>
  <c r="AS15" i="3"/>
  <c r="Y18" i="3"/>
  <c r="P19" i="3"/>
  <c r="L24" i="3"/>
  <c r="O87" i="3"/>
  <c r="O8" i="3"/>
  <c r="S22" i="3"/>
  <c r="J97" i="3"/>
  <c r="K23" i="3"/>
  <c r="AS86" i="3"/>
  <c r="T82" i="3"/>
  <c r="AB78" i="3"/>
  <c r="W77" i="3"/>
  <c r="AJ18" i="3"/>
  <c r="Z15" i="3"/>
  <c r="P8" i="3"/>
  <c r="AN97" i="3"/>
  <c r="AJ86" i="3"/>
  <c r="T75" i="3"/>
  <c r="AR98" i="3"/>
  <c r="V97" i="3"/>
  <c r="J92" i="3"/>
  <c r="Q15" i="3"/>
  <c r="I88" i="3"/>
  <c r="I82" i="3"/>
  <c r="AC90" i="3"/>
  <c r="AF81" i="3"/>
  <c r="AA98" i="3"/>
  <c r="AR93" i="3"/>
  <c r="U17" i="3"/>
  <c r="AK12" i="3"/>
  <c r="I94" i="3"/>
  <c r="H77" i="3"/>
  <c r="AS82" i="3"/>
  <c r="F24" i="3"/>
  <c r="AS75" i="3"/>
  <c r="Q21" i="3"/>
  <c r="S12" i="3"/>
  <c r="U18" i="3"/>
  <c r="G83" i="3"/>
  <c r="AI17" i="3"/>
  <c r="AH74" i="3"/>
  <c r="AD90" i="3"/>
  <c r="O82" i="3"/>
  <c r="AJ24" i="3"/>
  <c r="P86" i="3"/>
  <c r="AL76" i="3"/>
  <c r="AK92" i="3"/>
  <c r="AF18" i="3"/>
  <c r="AA17" i="3"/>
  <c r="AD9" i="3"/>
  <c r="AB87" i="3"/>
  <c r="Z96" i="3"/>
  <c r="AI86" i="3"/>
  <c r="AJ87" i="3"/>
  <c r="AL89" i="3"/>
  <c r="I74" i="3"/>
  <c r="AJ94" i="3"/>
  <c r="M77" i="3"/>
  <c r="X79" i="3"/>
  <c r="AQ8" i="3"/>
  <c r="P18" i="3"/>
  <c r="P13" i="3"/>
  <c r="AO12" i="3"/>
  <c r="AL12" i="3"/>
  <c r="AN82" i="3"/>
  <c r="Q74" i="3"/>
  <c r="AS92" i="3"/>
  <c r="M75" i="3"/>
  <c r="X82" i="3"/>
  <c r="K87" i="3"/>
  <c r="S75" i="3"/>
  <c r="AG15" i="3"/>
  <c r="Y19" i="3"/>
  <c r="Z18" i="3"/>
  <c r="AA9" i="3"/>
  <c r="AF22" i="3"/>
  <c r="S8" i="3"/>
  <c r="AQ22" i="3"/>
  <c r="S76" i="3"/>
  <c r="AD8" i="3"/>
  <c r="F23" i="3"/>
  <c r="AR90" i="3"/>
  <c r="AD76" i="3"/>
  <c r="AL24" i="3"/>
  <c r="X83" i="3"/>
  <c r="G97" i="3"/>
  <c r="AO76" i="3"/>
  <c r="AG76" i="3"/>
  <c r="U21" i="3"/>
  <c r="AM21" i="3"/>
  <c r="AL15" i="3"/>
  <c r="AE17" i="3"/>
  <c r="AO77" i="3"/>
  <c r="Y22" i="3"/>
  <c r="I17" i="3"/>
  <c r="U15" i="3"/>
  <c r="Q18" i="3"/>
  <c r="AE12" i="3"/>
  <c r="AJ13" i="3"/>
  <c r="R75" i="3"/>
  <c r="AR87" i="3"/>
  <c r="AJ89" i="3"/>
  <c r="P74" i="3"/>
  <c r="W76" i="3"/>
  <c r="AG24" i="3"/>
  <c r="AP78" i="3"/>
  <c r="V10" i="3"/>
  <c r="AH12" i="3"/>
  <c r="AR21" i="3"/>
  <c r="Q13" i="3"/>
  <c r="R21" i="3"/>
  <c r="G23" i="3"/>
  <c r="AH9" i="3"/>
  <c r="AO17" i="3"/>
  <c r="AJ79" i="3"/>
  <c r="AL8" i="3"/>
  <c r="AD89" i="3"/>
  <c r="N98" i="3"/>
  <c r="X90" i="3"/>
  <c r="X78" i="3"/>
  <c r="Y75" i="3"/>
  <c r="AA75" i="3"/>
  <c r="K81" i="3"/>
  <c r="AA90" i="3"/>
  <c r="H87" i="3"/>
  <c r="T88" i="3"/>
  <c r="G77" i="3"/>
  <c r="V23" i="3"/>
  <c r="AF23" i="3"/>
  <c r="Z12" i="3"/>
  <c r="AD13" i="3"/>
  <c r="AE10" i="3"/>
  <c r="R19" i="3"/>
  <c r="P23" i="3"/>
  <c r="AG19" i="3"/>
  <c r="AK98" i="3"/>
  <c r="AO98" i="3"/>
  <c r="P96" i="3"/>
  <c r="AK97" i="3"/>
  <c r="AF83" i="3"/>
  <c r="AJ90" i="3"/>
  <c r="AL75" i="3"/>
  <c r="AO94" i="3"/>
  <c r="T74" i="3"/>
  <c r="AE24" i="3"/>
  <c r="AB94" i="3"/>
  <c r="X77" i="3"/>
  <c r="AF79" i="3"/>
  <c r="AC92" i="3"/>
  <c r="N82" i="3"/>
  <c r="U9" i="3"/>
  <c r="Z13" i="3"/>
  <c r="N18" i="3"/>
  <c r="R23" i="3"/>
  <c r="L9" i="3"/>
  <c r="AQ19" i="3"/>
  <c r="AA78" i="3"/>
  <c r="AP77" i="3"/>
  <c r="AR97" i="3"/>
  <c r="H89" i="3"/>
  <c r="AL81" i="3"/>
  <c r="S78" i="3"/>
  <c r="AO81" i="3"/>
  <c r="F89" i="3"/>
  <c r="S86" i="3"/>
  <c r="AR89" i="3"/>
  <c r="AQ79" i="3"/>
  <c r="G12" i="3"/>
  <c r="I19" i="3"/>
  <c r="K19" i="3"/>
  <c r="AF7" i="3"/>
  <c r="AF8" i="3"/>
  <c r="L23" i="3"/>
  <c r="AP21" i="3"/>
  <c r="H9" i="3"/>
  <c r="AL10" i="3"/>
  <c r="W81" i="3"/>
  <c r="AC79" i="3"/>
  <c r="Y17" i="3"/>
  <c r="Z19" i="3"/>
  <c r="P76" i="3"/>
  <c r="N92" i="3"/>
  <c r="AH98" i="3"/>
  <c r="AB18" i="3"/>
  <c r="J88" i="3"/>
  <c r="AD94" i="3"/>
  <c r="M98" i="3"/>
  <c r="AA83" i="3"/>
  <c r="AA86" i="3"/>
  <c r="Q81" i="3"/>
  <c r="AK89" i="3"/>
  <c r="P90" i="3"/>
  <c r="U77" i="3"/>
  <c r="V82" i="3"/>
  <c r="O81" i="3"/>
  <c r="H15" i="3"/>
  <c r="Z78" i="3"/>
  <c r="K83" i="3"/>
  <c r="I89" i="3"/>
  <c r="P22" i="3"/>
  <c r="F81" i="3"/>
  <c r="W97" i="3"/>
  <c r="AH76" i="3"/>
  <c r="G10" i="3"/>
  <c r="AA74" i="3"/>
  <c r="K9" i="3"/>
  <c r="G13" i="3"/>
  <c r="AB10" i="3"/>
  <c r="AO15" i="3"/>
  <c r="AK22" i="3"/>
  <c r="AB92" i="3"/>
  <c r="R82" i="3"/>
  <c r="AI78" i="3"/>
  <c r="AQ96" i="3"/>
  <c r="U7" i="3"/>
  <c r="AN81" i="3"/>
  <c r="AH88" i="3"/>
  <c r="I86" i="3"/>
  <c r="L93" i="3"/>
  <c r="S98" i="3"/>
  <c r="R79" i="3"/>
  <c r="AI19" i="3"/>
  <c r="S90" i="3"/>
  <c r="AH92" i="3"/>
  <c r="N9" i="3"/>
  <c r="AP92" i="3"/>
  <c r="G92" i="3"/>
  <c r="AQ74" i="3"/>
  <c r="T93" i="3"/>
  <c r="Y12" i="3"/>
  <c r="I7" i="3"/>
  <c r="F19" i="3"/>
  <c r="T97" i="3"/>
  <c r="AG93" i="3"/>
  <c r="AF78" i="3"/>
  <c r="N83" i="3"/>
  <c r="Y82" i="3"/>
  <c r="R86" i="3"/>
  <c r="T92" i="3"/>
  <c r="AJ88" i="3"/>
  <c r="O19" i="3"/>
  <c r="Z75" i="3"/>
  <c r="I93" i="3"/>
  <c r="AP98" i="3"/>
  <c r="AN83" i="3"/>
  <c r="J83" i="3"/>
  <c r="AS74" i="3"/>
  <c r="Y97" i="3"/>
  <c r="M97" i="3"/>
  <c r="AS97" i="3"/>
  <c r="AC88" i="3"/>
  <c r="AB88" i="3"/>
  <c r="V92" i="3"/>
  <c r="AN75" i="3"/>
  <c r="AP83" i="3"/>
  <c r="H24" i="3"/>
  <c r="H83" i="3"/>
  <c r="AL87" i="3"/>
  <c r="T89" i="3"/>
  <c r="L75" i="3"/>
  <c r="Z17" i="3"/>
  <c r="AK23" i="3"/>
  <c r="AB19" i="3"/>
  <c r="W21" i="3"/>
  <c r="AA92" i="3"/>
  <c r="W22" i="3"/>
  <c r="V8" i="3"/>
  <c r="AK15" i="3"/>
  <c r="F92" i="3"/>
  <c r="T90" i="3"/>
  <c r="O79" i="3"/>
  <c r="AG96" i="3"/>
  <c r="O21" i="3"/>
  <c r="J22" i="3"/>
  <c r="X7" i="3"/>
  <c r="AG17" i="3"/>
  <c r="AF24" i="3"/>
  <c r="R98" i="3"/>
  <c r="L76" i="3"/>
  <c r="R97" i="3"/>
  <c r="J93" i="3"/>
  <c r="U83" i="3"/>
  <c r="AD78" i="3"/>
  <c r="AS87" i="3"/>
  <c r="J87" i="3"/>
  <c r="Y78" i="3"/>
  <c r="AO90" i="3"/>
  <c r="K89" i="3"/>
  <c r="U89" i="3"/>
  <c r="AC21" i="3"/>
  <c r="AG7" i="3"/>
  <c r="H8" i="3"/>
  <c r="V22" i="3"/>
  <c r="AR23" i="3"/>
  <c r="N12" i="3"/>
  <c r="AS12" i="3"/>
  <c r="AL79" i="3"/>
  <c r="Z93" i="3"/>
  <c r="AB77" i="3"/>
  <c r="V88" i="3"/>
  <c r="AF75" i="3"/>
  <c r="AK96" i="3"/>
  <c r="Q77" i="3"/>
  <c r="Z77" i="3"/>
  <c r="AF87" i="3"/>
  <c r="K86" i="3"/>
  <c r="AB89" i="3"/>
  <c r="AO83" i="3"/>
  <c r="AA15" i="3"/>
  <c r="AB17" i="3"/>
  <c r="I12" i="3"/>
  <c r="K15" i="3"/>
  <c r="V18" i="3"/>
  <c r="AC13" i="3"/>
  <c r="AA22" i="3"/>
  <c r="M8" i="3"/>
  <c r="N93" i="3"/>
  <c r="L86" i="3"/>
  <c r="T86" i="3"/>
  <c r="N78" i="3"/>
  <c r="AB75" i="3"/>
  <c r="AI89" i="3"/>
  <c r="AR94" i="3"/>
  <c r="G75" i="3"/>
  <c r="M81" i="3"/>
  <c r="AD82" i="3"/>
  <c r="O22" i="3"/>
  <c r="G17" i="3"/>
  <c r="AN8" i="3"/>
  <c r="S19" i="3"/>
  <c r="O7" i="3"/>
  <c r="R7" i="3"/>
  <c r="AI22" i="3"/>
  <c r="X23" i="3"/>
  <c r="K22" i="3"/>
  <c r="V7" i="3"/>
  <c r="AE19" i="3"/>
  <c r="S17" i="3"/>
  <c r="I24" i="3"/>
  <c r="AK86" i="3"/>
  <c r="AK82" i="3"/>
  <c r="AK78" i="3"/>
  <c r="R92" i="3"/>
  <c r="AF77" i="3"/>
  <c r="AQ92" i="3"/>
  <c r="I81" i="3"/>
  <c r="W19" i="3"/>
  <c r="Z21" i="3"/>
  <c r="AA19" i="3"/>
  <c r="M21" i="3"/>
  <c r="AA10" i="3"/>
  <c r="R18" i="3"/>
  <c r="K76" i="3"/>
  <c r="V19" i="3"/>
  <c r="AD23" i="3"/>
  <c r="AK21" i="3"/>
  <c r="F17" i="3"/>
  <c r="AH87" i="3"/>
  <c r="AC83" i="3"/>
  <c r="AN77" i="3"/>
  <c r="AH89" i="3"/>
  <c r="S87" i="3"/>
  <c r="L94" i="3"/>
  <c r="AH24" i="3"/>
  <c r="AN89" i="3"/>
  <c r="W82" i="3"/>
  <c r="J74" i="3"/>
  <c r="AO10" i="3"/>
  <c r="G9" i="3"/>
  <c r="H7" i="3"/>
  <c r="G8" i="3"/>
  <c r="K7" i="3"/>
  <c r="AP7" i="3"/>
  <c r="AF98" i="3"/>
  <c r="I9" i="3"/>
  <c r="U98" i="3"/>
  <c r="AG87" i="3"/>
  <c r="W23" i="3"/>
  <c r="G89" i="3"/>
  <c r="Q24" i="3"/>
  <c r="R13" i="3"/>
  <c r="P93" i="3"/>
  <c r="AI88" i="3"/>
  <c r="L22" i="3"/>
  <c r="Y24" i="3"/>
  <c r="AG78" i="3"/>
  <c r="AP13" i="3"/>
  <c r="T17" i="3"/>
  <c r="AF17" i="3"/>
  <c r="M88" i="3"/>
  <c r="L97" i="3"/>
  <c r="AE76" i="3"/>
  <c r="F87" i="3"/>
  <c r="AH75" i="3"/>
  <c r="AN86" i="3"/>
  <c r="X75" i="3"/>
  <c r="R77" i="3"/>
  <c r="O23" i="3"/>
  <c r="T9" i="3"/>
  <c r="AH96" i="3"/>
  <c r="N97" i="3"/>
  <c r="AC9" i="3"/>
  <c r="AH93" i="3"/>
  <c r="J23" i="3"/>
  <c r="AI75" i="3"/>
  <c r="K88" i="3"/>
  <c r="M74" i="3"/>
  <c r="AE22" i="3"/>
  <c r="AN23" i="3"/>
  <c r="J94" i="3"/>
  <c r="W78" i="3"/>
  <c r="M15" i="3"/>
  <c r="X92" i="3"/>
  <c r="P82" i="3"/>
  <c r="I21" i="3"/>
  <c r="AM23" i="3"/>
  <c r="AG23" i="3"/>
  <c r="S24" i="3"/>
  <c r="O96" i="3"/>
  <c r="H94" i="3"/>
  <c r="AI79" i="3"/>
  <c r="AG79" i="3"/>
  <c r="AI97" i="3"/>
  <c r="AP23" i="3"/>
  <c r="I98" i="3"/>
  <c r="K94" i="3"/>
  <c r="Z79" i="3"/>
  <c r="AF93" i="3"/>
  <c r="L82" i="3"/>
  <c r="AD97" i="3"/>
  <c r="AB90" i="3"/>
  <c r="AK79" i="3"/>
  <c r="AR8" i="3"/>
  <c r="AP82" i="3"/>
  <c r="N88" i="3"/>
  <c r="AK88" i="3"/>
  <c r="AO93" i="3"/>
  <c r="AM24" i="3"/>
  <c r="V24" i="3"/>
  <c r="V78" i="3"/>
  <c r="X19" i="3"/>
  <c r="AF21" i="3"/>
  <c r="M93" i="3"/>
  <c r="AC76" i="3"/>
  <c r="K96" i="3"/>
  <c r="AD92" i="3"/>
  <c r="AE96" i="3"/>
  <c r="AS21" i="3"/>
  <c r="AD86" i="3"/>
  <c r="AG83" i="3"/>
  <c r="U76" i="3"/>
  <c r="Q19" i="3"/>
  <c r="AH7" i="3"/>
  <c r="N21" i="3"/>
  <c r="S13" i="3"/>
  <c r="V86" i="3"/>
  <c r="AO96" i="3"/>
  <c r="V76" i="3"/>
  <c r="AJ93" i="3"/>
  <c r="AA77" i="3"/>
  <c r="I87" i="3"/>
  <c r="K13" i="3"/>
  <c r="AS23" i="3"/>
  <c r="O13" i="3"/>
  <c r="AO18" i="3"/>
  <c r="I8" i="3"/>
  <c r="K18" i="3"/>
  <c r="AK19" i="3"/>
  <c r="AJ7" i="3"/>
  <c r="P9" i="3"/>
  <c r="AN98" i="3"/>
  <c r="W24" i="3"/>
  <c r="AG94" i="3"/>
  <c r="F8" i="3"/>
  <c r="AH79" i="3"/>
  <c r="AC86" i="3"/>
  <c r="AB15" i="3"/>
  <c r="H22" i="3"/>
  <c r="I22" i="3"/>
  <c r="AQ21" i="3"/>
  <c r="J19" i="3"/>
  <c r="Y23" i="3"/>
  <c r="H86" i="3"/>
  <c r="N94" i="3"/>
  <c r="M76" i="3"/>
  <c r="AG75" i="3"/>
  <c r="I83" i="3"/>
  <c r="Y90" i="3"/>
  <c r="AM77" i="3"/>
  <c r="AB74" i="3"/>
  <c r="Y74" i="3"/>
  <c r="Q92" i="3"/>
  <c r="L78" i="3"/>
  <c r="AM82" i="3"/>
  <c r="I77" i="3"/>
  <c r="L90" i="3"/>
  <c r="T87" i="3"/>
  <c r="AI87" i="3"/>
  <c r="AN12" i="3"/>
  <c r="AI10" i="3"/>
  <c r="AR10" i="3"/>
  <c r="AG22" i="3"/>
  <c r="J9" i="3"/>
  <c r="AE13" i="3"/>
  <c r="K21" i="3"/>
  <c r="X24" i="3"/>
  <c r="AD24" i="3"/>
  <c r="AG86" i="3"/>
  <c r="T96" i="3"/>
  <c r="AA88" i="3"/>
  <c r="AE93" i="3"/>
  <c r="K75" i="3"/>
  <c r="L83" i="3"/>
  <c r="H92" i="3"/>
  <c r="I92" i="3"/>
  <c r="AH94" i="3"/>
  <c r="F13" i="3"/>
  <c r="AP75" i="3"/>
  <c r="Q78" i="3"/>
  <c r="AG9" i="3"/>
  <c r="N17" i="3"/>
  <c r="AM10" i="3"/>
  <c r="AA18" i="3"/>
  <c r="R15" i="3"/>
  <c r="T21" i="3"/>
  <c r="N22" i="3"/>
  <c r="H12" i="3"/>
  <c r="R8" i="3"/>
  <c r="AM13" i="3"/>
  <c r="AR17" i="3"/>
  <c r="F93" i="3"/>
  <c r="H76" i="3"/>
  <c r="H96" i="3"/>
  <c r="AR24" i="3"/>
  <c r="AA97" i="3"/>
  <c r="AC78" i="3"/>
  <c r="AH77" i="3"/>
  <c r="U97" i="3"/>
  <c r="X97" i="3"/>
  <c r="AQ87" i="3"/>
  <c r="F94" i="3"/>
  <c r="AK93" i="3"/>
  <c r="AA82" i="3"/>
  <c r="S89" i="3"/>
  <c r="AA87" i="3"/>
  <c r="AJ96" i="3"/>
  <c r="AQ76" i="3"/>
  <c r="AP12" i="3"/>
  <c r="AE8" i="3"/>
  <c r="T10" i="3"/>
  <c r="AK17" i="3"/>
  <c r="P15" i="3"/>
  <c r="AN17" i="3"/>
  <c r="AN18" i="3"/>
  <c r="AO97" i="3"/>
  <c r="AI90" i="3"/>
  <c r="X93" i="3"/>
  <c r="Y92" i="3"/>
  <c r="L77" i="3"/>
  <c r="AP89" i="3"/>
  <c r="V74" i="3"/>
  <c r="S93" i="3"/>
  <c r="H98" i="3"/>
  <c r="AL94" i="3"/>
  <c r="H78" i="3"/>
  <c r="AI74" i="3"/>
  <c r="AB76" i="3"/>
  <c r="G94" i="3"/>
  <c r="AJ17" i="3"/>
  <c r="J7" i="3"/>
  <c r="AP15" i="3"/>
  <c r="M9" i="3"/>
  <c r="X8" i="3"/>
  <c r="AG21" i="3"/>
  <c r="K8" i="3"/>
  <c r="R9" i="3"/>
  <c r="AR18" i="3"/>
  <c r="L12" i="3"/>
  <c r="T13" i="3"/>
  <c r="AB83" i="3"/>
  <c r="N76" i="3"/>
  <c r="H74" i="3"/>
  <c r="AR92" i="3"/>
  <c r="R74" i="3"/>
  <c r="AI83" i="3"/>
  <c r="AM8" i="3"/>
  <c r="R22" i="3"/>
  <c r="AF13" i="3"/>
  <c r="X12" i="3"/>
  <c r="L17" i="3"/>
  <c r="AS13" i="3"/>
  <c r="Z23" i="3"/>
  <c r="AB8" i="3"/>
  <c r="AA12" i="3"/>
  <c r="Z8" i="3"/>
  <c r="Z9" i="3"/>
  <c r="AS89" i="3"/>
  <c r="O10" i="3"/>
  <c r="AD10" i="3"/>
  <c r="AB82" i="3"/>
  <c r="AC98" i="3"/>
  <c r="AR96" i="3"/>
  <c r="U93" i="3"/>
  <c r="AM19" i="3"/>
  <c r="AJ22" i="3"/>
  <c r="M79" i="3"/>
  <c r="AI94" i="3"/>
  <c r="AJ82" i="3"/>
  <c r="AP22" i="3"/>
  <c r="P79" i="3"/>
  <c r="AR12" i="3"/>
  <c r="W17" i="3"/>
  <c r="AB98" i="3"/>
  <c r="AB81" i="3"/>
  <c r="AA23" i="3"/>
  <c r="N87" i="3"/>
  <c r="T78" i="3"/>
  <c r="M82" i="3"/>
  <c r="W75" i="3"/>
  <c r="V12" i="3"/>
  <c r="O76" i="3"/>
  <c r="AQ7" i="3"/>
  <c r="F21" i="3"/>
  <c r="M89" i="3"/>
  <c r="Y7" i="3"/>
  <c r="AE79" i="3"/>
  <c r="O18" i="3"/>
  <c r="X89" i="3"/>
  <c r="AN76" i="3"/>
  <c r="AO13" i="3"/>
  <c r="AM98" i="3"/>
  <c r="Q97" i="3"/>
  <c r="S82" i="3"/>
  <c r="AO75" i="3"/>
  <c r="AG18" i="3"/>
  <c r="AC24" i="3"/>
  <c r="AE92" i="3"/>
  <c r="W83" i="3"/>
  <c r="I10" i="3"/>
  <c r="AM96" i="3"/>
  <c r="AE75" i="3"/>
  <c r="O78" i="3"/>
  <c r="AC81" i="3"/>
  <c r="W96" i="3"/>
  <c r="M18" i="3"/>
  <c r="AD19" i="3"/>
  <c r="J13" i="3"/>
  <c r="R83" i="3"/>
  <c r="P81" i="3"/>
  <c r="AS98" i="3"/>
  <c r="Y21" i="3"/>
  <c r="AK90" i="3"/>
  <c r="G76" i="3"/>
  <c r="T98" i="3"/>
  <c r="AN90" i="3"/>
  <c r="AH86" i="3"/>
  <c r="S81" i="3"/>
  <c r="Y98" i="3"/>
  <c r="T76" i="3"/>
  <c r="V75" i="3"/>
  <c r="X98" i="3"/>
  <c r="W90" i="3"/>
  <c r="Y81" i="3"/>
  <c r="W18" i="3"/>
  <c r="AB96" i="3"/>
  <c r="V96" i="3"/>
  <c r="Y86" i="3"/>
  <c r="L79" i="3"/>
  <c r="G78" i="3"/>
  <c r="O9" i="3"/>
  <c r="Z97" i="3"/>
  <c r="L87" i="3"/>
  <c r="AA81" i="3"/>
  <c r="S94" i="3"/>
  <c r="AH90" i="3"/>
  <c r="O88" i="3"/>
  <c r="X96" i="3"/>
  <c r="H82" i="3"/>
  <c r="AM74" i="3"/>
  <c r="Y93" i="3"/>
  <c r="AS78" i="3"/>
  <c r="L96" i="3"/>
  <c r="AQ86" i="3"/>
  <c r="AL92" i="3"/>
  <c r="AJ81" i="3"/>
  <c r="AD75" i="3"/>
  <c r="AF97" i="3"/>
  <c r="AD77" i="3"/>
  <c r="Y94" i="3"/>
  <c r="O83" i="3"/>
  <c r="N8" i="3"/>
  <c r="AS7" i="3"/>
  <c r="P10" i="3"/>
  <c r="Y10" i="3"/>
  <c r="X13" i="3"/>
  <c r="AK13" i="3"/>
  <c r="Z7" i="3"/>
  <c r="AQ90" i="3"/>
  <c r="T7" i="3"/>
  <c r="X18" i="3"/>
  <c r="Y8" i="3"/>
  <c r="H10" i="3"/>
  <c r="G15" i="3"/>
  <c r="R12" i="3"/>
  <c r="AJ10" i="3"/>
  <c r="F97" i="3"/>
  <c r="S74" i="3"/>
  <c r="T24" i="3"/>
  <c r="AO24" i="3"/>
  <c r="Q82" i="3"/>
  <c r="AG97" i="3"/>
  <c r="Z86" i="3"/>
  <c r="AE98" i="3"/>
  <c r="V81" i="3"/>
  <c r="AI77" i="3"/>
  <c r="N81" i="3"/>
  <c r="AR82" i="3"/>
  <c r="Y88" i="3"/>
  <c r="AA21" i="3"/>
  <c r="AJ23" i="3"/>
  <c r="Q7" i="3"/>
  <c r="H18" i="3"/>
  <c r="AN15" i="3"/>
  <c r="S21" i="3"/>
  <c r="AK7" i="3"/>
  <c r="U10" i="3"/>
  <c r="AQ9" i="3"/>
  <c r="AA8" i="3"/>
  <c r="AB9" i="3"/>
  <c r="AB13" i="3"/>
  <c r="N19" i="3"/>
  <c r="AK9" i="3"/>
  <c r="AQ88" i="3"/>
  <c r="R76" i="3"/>
  <c r="G82" i="3"/>
  <c r="V83" i="3"/>
  <c r="M86" i="3"/>
  <c r="AI76" i="3"/>
  <c r="Q88" i="3"/>
  <c r="AO78" i="3"/>
  <c r="Z89" i="3"/>
  <c r="L81" i="3"/>
  <c r="J90" i="3"/>
  <c r="AC12" i="3"/>
  <c r="Q17" i="3"/>
  <c r="AP19" i="3"/>
  <c r="Y13" i="3"/>
  <c r="AI9" i="3"/>
  <c r="AE18" i="3"/>
  <c r="AF15" i="3"/>
  <c r="N23" i="3"/>
  <c r="V9" i="3"/>
  <c r="AN74" i="3"/>
  <c r="K93" i="3"/>
  <c r="AN78" i="3"/>
  <c r="N86" i="3"/>
  <c r="AS77" i="3"/>
  <c r="V79" i="3"/>
  <c r="Y89" i="3"/>
  <c r="AK77" i="3"/>
  <c r="AM83" i="3"/>
  <c r="AG77" i="3"/>
  <c r="V94" i="3"/>
  <c r="AP79" i="3"/>
  <c r="P94" i="3"/>
  <c r="P97" i="3"/>
  <c r="N77" i="3"/>
  <c r="P87" i="3"/>
  <c r="Z10" i="3"/>
  <c r="AQ10" i="3"/>
  <c r="G22" i="3"/>
  <c r="AL86" i="3"/>
  <c r="AJ8" i="3"/>
  <c r="AN10" i="3"/>
  <c r="AF9" i="3"/>
  <c r="G98" i="3"/>
  <c r="J98" i="3"/>
  <c r="AA79" i="3"/>
  <c r="AI92" i="3"/>
  <c r="AE97" i="3"/>
  <c r="Q83" i="3"/>
  <c r="AG92" i="3"/>
  <c r="L88" i="3"/>
  <c r="T79" i="3"/>
  <c r="AI82" i="3"/>
  <c r="P75" i="3"/>
  <c r="AH97" i="3"/>
  <c r="F9" i="3"/>
  <c r="AJ92" i="3"/>
  <c r="AN87" i="3"/>
  <c r="AO9" i="3"/>
  <c r="S15" i="3"/>
  <c r="Q22" i="3"/>
  <c r="AJ9" i="3"/>
  <c r="AJ19" i="3"/>
  <c r="S18" i="3"/>
  <c r="U22" i="3"/>
  <c r="M10" i="3"/>
  <c r="L15" i="3"/>
  <c r="AH22" i="3"/>
  <c r="L8" i="3"/>
  <c r="F76" i="3"/>
  <c r="P89" i="3"/>
  <c r="N75" i="3"/>
  <c r="AR76" i="3"/>
  <c r="AG98" i="3"/>
  <c r="V90" i="3"/>
  <c r="AI93" i="3"/>
  <c r="R10" i="3"/>
  <c r="AE23" i="3"/>
  <c r="AI18" i="3"/>
  <c r="Q9" i="3"/>
  <c r="P7" i="3"/>
  <c r="AL9" i="3"/>
  <c r="AF76" i="3"/>
  <c r="P77" i="3"/>
  <c r="X17" i="3"/>
  <c r="AA7" i="3"/>
  <c r="H88" i="3"/>
  <c r="AF12" i="3"/>
  <c r="G87" i="3"/>
  <c r="AD81" i="3"/>
  <c r="AL22" i="3"/>
  <c r="P12" i="3"/>
  <c r="H13" i="3"/>
  <c r="AE74" i="3"/>
  <c r="J21" i="3"/>
  <c r="G96" i="3"/>
  <c r="AC75" i="3"/>
  <c r="Q98" i="3"/>
  <c r="AQ18" i="3"/>
  <c r="J8" i="3"/>
  <c r="W98" i="3"/>
  <c r="AK83" i="3"/>
  <c r="O92" i="3"/>
  <c r="AA93" i="3"/>
  <c r="AL13" i="3"/>
  <c r="H75" i="3"/>
  <c r="AP8" i="3"/>
  <c r="AG90" i="3"/>
  <c r="L98" i="3"/>
  <c r="X81" i="3"/>
  <c r="X88" i="3"/>
  <c r="AP9" i="3"/>
  <c r="K10" i="3"/>
  <c r="U81" i="3"/>
  <c r="AJ15" i="3"/>
  <c r="W87" i="3"/>
  <c r="J10" i="3"/>
  <c r="AO7" i="3"/>
  <c r="AE83" i="3"/>
  <c r="I75" i="3"/>
  <c r="AH8" i="3"/>
  <c r="T12" i="3"/>
  <c r="AO89" i="3"/>
  <c r="AH78" i="3"/>
  <c r="AJ98" i="3"/>
  <c r="AE77" i="3"/>
  <c r="AC15" i="3"/>
  <c r="T19" i="3"/>
  <c r="J75" i="3"/>
  <c r="U92" i="3"/>
  <c r="V93" i="3"/>
  <c r="O75" i="3"/>
  <c r="AL98" i="3"/>
  <c r="N96" i="3"/>
  <c r="J82" i="3"/>
  <c r="AE81" i="3"/>
  <c r="AK87" i="3"/>
  <c r="AD15" i="3"/>
  <c r="AL83" i="3"/>
  <c r="L7" i="3"/>
  <c r="M22" i="3"/>
  <c r="Q93" i="3"/>
  <c r="AI96" i="3"/>
  <c r="G86" i="3"/>
  <c r="R94" i="3"/>
  <c r="Y76" i="3"/>
  <c r="AN22" i="3"/>
  <c r="O12" i="3"/>
  <c r="AS22" i="3"/>
  <c r="G24" i="3"/>
  <c r="AR78" i="3"/>
  <c r="W15" i="3"/>
  <c r="AM90" i="3"/>
  <c r="V87" i="3"/>
  <c r="AG88" i="3"/>
  <c r="S96" i="3"/>
  <c r="AO82" i="3"/>
  <c r="L10" i="3"/>
  <c r="AN93" i="3"/>
  <c r="Y79" i="3"/>
  <c r="AN7" i="3"/>
  <c r="AS17" i="3"/>
  <c r="U13" i="3"/>
  <c r="H79" i="3"/>
  <c r="Y77" i="3"/>
  <c r="AF94" i="3"/>
  <c r="AJ83" i="3"/>
  <c r="AE82" i="3"/>
  <c r="AM86" i="3"/>
  <c r="AR77" i="3"/>
  <c r="AO79" i="3"/>
  <c r="P21" i="3"/>
  <c r="AD87" i="3"/>
  <c r="AD21" i="3"/>
  <c r="AQ75" i="3"/>
  <c r="AM87" i="3"/>
  <c r="AC74" i="3"/>
  <c r="AB93" i="3"/>
  <c r="AS88" i="3"/>
  <c r="AG10" i="3"/>
  <c r="R89" i="3"/>
  <c r="AN96" i="3"/>
  <c r="J12" i="3"/>
  <c r="P78" i="3"/>
  <c r="AL18" i="3"/>
  <c r="AB7" i="3"/>
  <c r="U23" i="3"/>
  <c r="O24" i="3"/>
  <c r="AK24" i="3"/>
  <c r="Z83" i="3"/>
  <c r="AP74" i="3"/>
  <c r="J86" i="3"/>
  <c r="V21" i="3"/>
  <c r="AS18" i="3"/>
  <c r="F22" i="3"/>
  <c r="AK74" i="3"/>
  <c r="G74" i="3"/>
  <c r="AR88" i="3"/>
  <c r="I78" i="3"/>
  <c r="AP24" i="3"/>
  <c r="R78" i="3"/>
  <c r="AP93" i="3"/>
  <c r="AP94" i="3"/>
  <c r="AB86" i="3"/>
  <c r="Y96" i="3"/>
  <c r="AC77" i="3"/>
  <c r="F12" i="3"/>
  <c r="O94" i="3"/>
  <c r="M92" i="3"/>
  <c r="AF10" i="3"/>
  <c r="AE86" i="3"/>
  <c r="Z92" i="3"/>
  <c r="U94" i="3"/>
  <c r="AL77" i="3"/>
  <c r="AN88" i="3"/>
  <c r="F78" i="3"/>
  <c r="W89" i="3"/>
  <c r="AK94" i="3"/>
  <c r="AK81" i="3"/>
  <c r="J78" i="3"/>
  <c r="AN79" i="3"/>
  <c r="V89" i="3"/>
  <c r="AD98" i="3"/>
  <c r="T77" i="3"/>
  <c r="M94" i="3"/>
  <c r="F15" i="3"/>
  <c r="AO87" i="3"/>
  <c r="AS79" i="3"/>
  <c r="X76" i="3"/>
  <c r="AP10" i="3"/>
  <c r="J24" i="3"/>
  <c r="AQ81" i="3"/>
  <c r="AM97" i="3"/>
  <c r="AC96" i="3"/>
  <c r="J76" i="3"/>
  <c r="AR81" i="3"/>
  <c r="L89" i="3"/>
  <c r="O93" i="3"/>
  <c r="AF86" i="3"/>
  <c r="H81" i="3"/>
  <c r="M83" i="3"/>
  <c r="Z74" i="3"/>
  <c r="AL93" i="3"/>
  <c r="H19" i="3"/>
  <c r="V13" i="3"/>
  <c r="W7" i="3"/>
  <c r="Y9" i="3"/>
  <c r="AQ13" i="3"/>
  <c r="AB12" i="3"/>
  <c r="L18" i="3"/>
  <c r="F74" i="3"/>
  <c r="AQ77" i="3"/>
  <c r="H90" i="3"/>
  <c r="AJ97" i="3"/>
  <c r="P24" i="3"/>
  <c r="U12" i="3"/>
  <c r="AR15" i="3"/>
  <c r="M7" i="3"/>
  <c r="AR7" i="3"/>
  <c r="T8" i="3"/>
  <c r="AN21" i="3"/>
  <c r="AH10" i="3"/>
  <c r="AN19" i="3"/>
  <c r="Z98" i="3"/>
  <c r="M24" i="3"/>
  <c r="AO86" i="3"/>
  <c r="AS94" i="3"/>
  <c r="Z90" i="3"/>
  <c r="AM75" i="3"/>
  <c r="O89" i="3"/>
  <c r="S79" i="3"/>
  <c r="AJ74" i="3"/>
  <c r="W93" i="3"/>
  <c r="AS24" i="3"/>
  <c r="Z94" i="3"/>
  <c r="Z22" i="3"/>
  <c r="AD12" i="3"/>
  <c r="G21" i="3"/>
  <c r="AI12" i="3"/>
  <c r="S10" i="3"/>
  <c r="R17" i="3"/>
  <c r="AL23" i="3"/>
  <c r="AK18" i="3"/>
  <c r="X9" i="3"/>
  <c r="AL21" i="3"/>
  <c r="AQ97" i="3"/>
  <c r="AQ94" i="3"/>
  <c r="AL97" i="3"/>
  <c r="AM88" i="3"/>
  <c r="X86" i="3"/>
  <c r="I79" i="3"/>
  <c r="AR75" i="3"/>
  <c r="M96" i="3"/>
  <c r="I96" i="3"/>
  <c r="O74" i="3"/>
  <c r="Q94" i="3"/>
  <c r="AK76" i="3"/>
  <c r="M87" i="3"/>
  <c r="AD18" i="3"/>
  <c r="AS10" i="3"/>
  <c r="AM15" i="3"/>
  <c r="AH13" i="3"/>
  <c r="AO21" i="3"/>
  <c r="K12" i="3"/>
  <c r="N15" i="3"/>
  <c r="AC8" i="3"/>
  <c r="O98" i="3"/>
  <c r="AM92" i="3"/>
  <c r="J79" i="3"/>
  <c r="AM79" i="3"/>
  <c r="AG74" i="3"/>
  <c r="AK75" i="3"/>
  <c r="AA94" i="3"/>
  <c r="AM94" i="3"/>
  <c r="R87" i="3"/>
  <c r="AE87" i="3"/>
  <c r="AQ93" i="3"/>
  <c r="AC23" i="3"/>
  <c r="N13" i="3"/>
  <c r="AI7" i="3"/>
  <c r="N10" i="3"/>
  <c r="AC17" i="3"/>
  <c r="I18" i="3"/>
  <c r="O15" i="3"/>
  <c r="U24" i="3"/>
  <c r="Z24" i="3"/>
  <c r="F96" i="3"/>
  <c r="AP96" i="3"/>
  <c r="I76" i="3"/>
  <c r="AI81" i="3"/>
  <c r="S88" i="3"/>
  <c r="AQ83" i="3"/>
  <c r="Z82" i="3"/>
  <c r="H97" i="3"/>
  <c r="G88" i="3"/>
  <c r="N74" i="3"/>
  <c r="AJ76" i="3"/>
  <c r="AF96" i="3"/>
  <c r="Z81" i="3"/>
  <c r="AL17" i="3"/>
  <c r="W12" i="3"/>
  <c r="AH18" i="3"/>
  <c r="AP17" i="3"/>
  <c r="Q86" i="3"/>
  <c r="AJ12" i="3"/>
  <c r="AR22" i="3"/>
  <c r="J17" i="3"/>
  <c r="AR83" i="3"/>
  <c r="U88" i="3"/>
  <c r="P83" i="3"/>
  <c r="AA89" i="3"/>
  <c r="AF92" i="3"/>
  <c r="P98" i="3"/>
  <c r="K82" i="3"/>
  <c r="N7" i="3"/>
  <c r="AD22" i="3"/>
  <c r="H21" i="3"/>
  <c r="AA76" i="3"/>
  <c r="X15" i="3"/>
  <c r="L21" i="3"/>
  <c r="Q76" i="3"/>
  <c r="AR74" i="3"/>
  <c r="AD88" i="3"/>
  <c r="K74" i="3"/>
  <c r="N90" i="3"/>
  <c r="I23" i="3"/>
  <c r="X22" i="3"/>
  <c r="M13" i="3"/>
  <c r="AP88" i="3"/>
  <c r="S83" i="3"/>
  <c r="AF89" i="3"/>
  <c r="AC89" i="3"/>
  <c r="W88" i="3"/>
  <c r="F77" i="3"/>
  <c r="H93" i="3"/>
  <c r="T23" i="3"/>
  <c r="X87" i="3"/>
  <c r="AL88" i="3"/>
  <c r="M90" i="3"/>
  <c r="AH21" i="3"/>
  <c r="K90" i="3"/>
  <c r="AD79" i="3"/>
  <c r="AM12" i="3"/>
  <c r="AQ78" i="3"/>
  <c r="U79" i="3"/>
  <c r="U96" i="3"/>
  <c r="AO88" i="3"/>
  <c r="AD17" i="3"/>
  <c r="AH19" i="3"/>
  <c r="Q96" i="3"/>
  <c r="G90" i="3"/>
  <c r="Q23" i="3"/>
  <c r="AG13" i="3"/>
  <c r="U82" i="3"/>
  <c r="J89" i="3"/>
  <c r="N89" i="3"/>
  <c r="R81" i="3"/>
  <c r="Q87" i="3"/>
  <c r="Y15" i="3"/>
  <c r="V17" i="3"/>
  <c r="AK8" i="3"/>
  <c r="J81" i="3"/>
  <c r="AO74" i="3"/>
  <c r="O90" i="3"/>
  <c r="AP87" i="3"/>
  <c r="AQ89" i="3"/>
  <c r="M78" i="3"/>
  <c r="AR86" i="3"/>
  <c r="AO8" i="3"/>
  <c r="K17" i="3"/>
  <c r="P17" i="3"/>
  <c r="AB79" i="3"/>
  <c r="S9" i="3"/>
  <c r="AO23" i="3"/>
  <c r="G18" i="3"/>
  <c r="AI15" i="3"/>
  <c r="F79" i="3"/>
  <c r="U78" i="3"/>
  <c r="G93" i="3"/>
  <c r="G7" i="3"/>
  <c r="AJ78" i="3"/>
  <c r="AG8" i="3"/>
  <c r="AH23" i="3"/>
  <c r="AD83" i="3"/>
  <c r="K24" i="3"/>
  <c r="J96" i="3"/>
  <c r="AD7" i="3"/>
  <c r="AO19" i="3"/>
  <c r="R90" i="3"/>
  <c r="L92" i="3"/>
  <c r="AG81" i="3"/>
  <c r="T83" i="3"/>
  <c r="T83" i="2" l="1"/>
  <c r="AG80" i="3"/>
  <c r="AG80" i="2" s="1"/>
  <c r="AG81" i="2"/>
  <c r="L91" i="3"/>
  <c r="L91" i="2" s="1"/>
  <c r="L92" i="2"/>
  <c r="R90" i="2"/>
  <c r="AO19" i="2"/>
  <c r="AD6" i="3"/>
  <c r="AD7" i="2"/>
  <c r="J95" i="3"/>
  <c r="J95" i="2" s="1"/>
  <c r="J96" i="2"/>
  <c r="K24" i="2"/>
  <c r="AD83" i="2"/>
  <c r="AH23" i="2"/>
  <c r="AG8" i="2"/>
  <c r="AJ78" i="2"/>
  <c r="G6" i="3"/>
  <c r="G7" i="2"/>
  <c r="G93" i="2"/>
  <c r="U78" i="2"/>
  <c r="F79" i="2"/>
  <c r="AI14" i="3"/>
  <c r="AI14" i="2" s="1"/>
  <c r="AI15" i="2"/>
  <c r="G18" i="2"/>
  <c r="AO23" i="2"/>
  <c r="S9" i="2"/>
  <c r="AB79" i="2"/>
  <c r="P16" i="3"/>
  <c r="P16" i="2" s="1"/>
  <c r="P17" i="2"/>
  <c r="K16" i="3"/>
  <c r="K16" i="2" s="1"/>
  <c r="K17" i="2"/>
  <c r="AO8" i="2"/>
  <c r="AR85" i="3"/>
  <c r="AR85" i="2" s="1"/>
  <c r="AR86" i="2"/>
  <c r="M78" i="2"/>
  <c r="AQ89" i="2"/>
  <c r="AP87" i="2"/>
  <c r="O90" i="2"/>
  <c r="AO73" i="3"/>
  <c r="AO74" i="2"/>
  <c r="J80" i="3"/>
  <c r="J80" i="2" s="1"/>
  <c r="J81" i="2"/>
  <c r="AK8" i="2"/>
  <c r="V16" i="3"/>
  <c r="V16" i="2" s="1"/>
  <c r="V17" i="2"/>
  <c r="Y14" i="3"/>
  <c r="Y14" i="2" s="1"/>
  <c r="Y15" i="2"/>
  <c r="Q87" i="2"/>
  <c r="R80" i="3"/>
  <c r="R80" i="2" s="1"/>
  <c r="R81" i="2"/>
  <c r="N89" i="2"/>
  <c r="J89" i="2"/>
  <c r="U82" i="2"/>
  <c r="AG13" i="2"/>
  <c r="Q23" i="2"/>
  <c r="G90" i="2"/>
  <c r="Q95" i="3"/>
  <c r="Q95" i="2" s="1"/>
  <c r="Q96" i="2"/>
  <c r="AH19" i="2"/>
  <c r="AD16" i="3"/>
  <c r="AD16" i="2" s="1"/>
  <c r="AD17" i="2"/>
  <c r="AO88" i="2"/>
  <c r="U95" i="3"/>
  <c r="U95" i="2" s="1"/>
  <c r="U96" i="2"/>
  <c r="U79" i="2"/>
  <c r="AQ78" i="2"/>
  <c r="AM11" i="3"/>
  <c r="AM11" i="2" s="1"/>
  <c r="AM12" i="2"/>
  <c r="AD79" i="2"/>
  <c r="K90" i="2"/>
  <c r="AH20" i="3"/>
  <c r="AH20" i="2" s="1"/>
  <c r="AH21" i="2"/>
  <c r="M90" i="2"/>
  <c r="AL88" i="2"/>
  <c r="X87" i="2"/>
  <c r="T23" i="2"/>
  <c r="H93" i="2"/>
  <c r="F77" i="2"/>
  <c r="W88" i="2"/>
  <c r="AC89" i="2"/>
  <c r="AF89" i="2"/>
  <c r="S83" i="2"/>
  <c r="AP88" i="2"/>
  <c r="M13" i="2"/>
  <c r="X22" i="2"/>
  <c r="I23" i="2"/>
  <c r="N90" i="2"/>
  <c r="K73" i="3"/>
  <c r="K74" i="2"/>
  <c r="AD88" i="2"/>
  <c r="AR73" i="3"/>
  <c r="AR74" i="2"/>
  <c r="Q76" i="2"/>
  <c r="L20" i="3"/>
  <c r="L20" i="2" s="1"/>
  <c r="L21" i="2"/>
  <c r="X14" i="3"/>
  <c r="X14" i="2" s="1"/>
  <c r="X15" i="2"/>
  <c r="AA76" i="2"/>
  <c r="H20" i="3"/>
  <c r="H20" i="2" s="1"/>
  <c r="H21" i="2"/>
  <c r="AD22" i="2"/>
  <c r="N6" i="3"/>
  <c r="N7" i="2"/>
  <c r="K82" i="2"/>
  <c r="P98" i="2"/>
  <c r="AF91" i="3"/>
  <c r="AF91" i="2" s="1"/>
  <c r="AF92" i="2"/>
  <c r="AA89" i="2"/>
  <c r="P83" i="2"/>
  <c r="U88" i="2"/>
  <c r="AR83" i="2"/>
  <c r="J16" i="3"/>
  <c r="J16" i="2" s="1"/>
  <c r="J17" i="2"/>
  <c r="AR22" i="2"/>
  <c r="AJ11" i="3"/>
  <c r="AJ11" i="2" s="1"/>
  <c r="AJ12" i="2"/>
  <c r="Q85" i="3"/>
  <c r="Q85" i="2" s="1"/>
  <c r="Q86" i="2"/>
  <c r="AP16" i="3"/>
  <c r="AP16" i="2" s="1"/>
  <c r="AP17" i="2"/>
  <c r="AH18" i="2"/>
  <c r="W11" i="3"/>
  <c r="W11" i="2" s="1"/>
  <c r="W12" i="2"/>
  <c r="AL16" i="3"/>
  <c r="AL16" i="2" s="1"/>
  <c r="AL17" i="2"/>
  <c r="Z80" i="3"/>
  <c r="Z80" i="2" s="1"/>
  <c r="Z81" i="2"/>
  <c r="AF95" i="3"/>
  <c r="AF95" i="2" s="1"/>
  <c r="AF96" i="2"/>
  <c r="AJ76" i="2"/>
  <c r="N73" i="3"/>
  <c r="N74" i="2"/>
  <c r="G88" i="2"/>
  <c r="H97" i="2"/>
  <c r="Z82" i="2"/>
  <c r="AQ83" i="2"/>
  <c r="S88" i="2"/>
  <c r="AI80" i="3"/>
  <c r="AI80" i="2" s="1"/>
  <c r="AI81" i="2"/>
  <c r="I76" i="2"/>
  <c r="AP95" i="3"/>
  <c r="AP95" i="2" s="1"/>
  <c r="AP96" i="2"/>
  <c r="F95" i="3"/>
  <c r="F95" i="2" s="1"/>
  <c r="F96" i="2"/>
  <c r="Z24" i="2"/>
  <c r="U24" i="2"/>
  <c r="O14" i="3"/>
  <c r="O14" i="2" s="1"/>
  <c r="O15" i="2"/>
  <c r="I18" i="2"/>
  <c r="AC16" i="3"/>
  <c r="AC16" i="2" s="1"/>
  <c r="AC17" i="2"/>
  <c r="N10" i="2"/>
  <c r="AI6" i="3"/>
  <c r="AI7" i="2"/>
  <c r="N13" i="2"/>
  <c r="AC23" i="2"/>
  <c r="AQ93" i="2"/>
  <c r="AE87" i="2"/>
  <c r="R87" i="2"/>
  <c r="AM94" i="2"/>
  <c r="AA94" i="2"/>
  <c r="AK75" i="2"/>
  <c r="AG73" i="3"/>
  <c r="AG74" i="2"/>
  <c r="AM79" i="2"/>
  <c r="J79" i="2"/>
  <c r="AM91" i="3"/>
  <c r="AM91" i="2" s="1"/>
  <c r="AM92" i="2"/>
  <c r="O98" i="2"/>
  <c r="AC8" i="2"/>
  <c r="N14" i="3"/>
  <c r="N14" i="2" s="1"/>
  <c r="N15" i="2"/>
  <c r="K11" i="3"/>
  <c r="K11" i="2" s="1"/>
  <c r="K12" i="2"/>
  <c r="AO20" i="3"/>
  <c r="AO20" i="2" s="1"/>
  <c r="AO21" i="2"/>
  <c r="AH13" i="2"/>
  <c r="AM14" i="3"/>
  <c r="AM14" i="2" s="1"/>
  <c r="AM15" i="2"/>
  <c r="AS10" i="2"/>
  <c r="AD18" i="2"/>
  <c r="M87" i="2"/>
  <c r="AK76" i="2"/>
  <c r="Q94" i="2"/>
  <c r="O73" i="3"/>
  <c r="O74" i="2"/>
  <c r="I95" i="3"/>
  <c r="I95" i="2" s="1"/>
  <c r="I96" i="2"/>
  <c r="M95" i="3"/>
  <c r="M95" i="2" s="1"/>
  <c r="M96" i="2"/>
  <c r="AR75" i="2"/>
  <c r="I79" i="2"/>
  <c r="X85" i="3"/>
  <c r="X85" i="2" s="1"/>
  <c r="X86" i="2"/>
  <c r="AM88" i="2"/>
  <c r="AL97" i="2"/>
  <c r="AQ94" i="2"/>
  <c r="AQ97" i="2"/>
  <c r="AL20" i="3"/>
  <c r="AL20" i="2" s="1"/>
  <c r="AL21" i="2"/>
  <c r="X9" i="2"/>
  <c r="AK18" i="2"/>
  <c r="AL23" i="2"/>
  <c r="R16" i="3"/>
  <c r="R16" i="2" s="1"/>
  <c r="R17" i="2"/>
  <c r="S10" i="2"/>
  <c r="AI11" i="3"/>
  <c r="AI11" i="2" s="1"/>
  <c r="AI12" i="2"/>
  <c r="G20" i="3"/>
  <c r="G20" i="2" s="1"/>
  <c r="G21" i="2"/>
  <c r="AD11" i="3"/>
  <c r="AD11" i="2" s="1"/>
  <c r="AD12" i="2"/>
  <c r="Z22" i="2"/>
  <c r="Z94" i="2"/>
  <c r="AS24" i="2"/>
  <c r="W93" i="2"/>
  <c r="AJ73" i="3"/>
  <c r="AJ74" i="2"/>
  <c r="S79" i="2"/>
  <c r="O89" i="2"/>
  <c r="AM75" i="2"/>
  <c r="Z90" i="2"/>
  <c r="AS94" i="2"/>
  <c r="AO85" i="3"/>
  <c r="AO85" i="2" s="1"/>
  <c r="AO86" i="2"/>
  <c r="M24" i="2"/>
  <c r="Z98" i="2"/>
  <c r="AN19" i="2"/>
  <c r="AH10" i="2"/>
  <c r="AN20" i="3"/>
  <c r="AN20" i="2" s="1"/>
  <c r="AN21" i="2"/>
  <c r="T8" i="2"/>
  <c r="AR6" i="3"/>
  <c r="AR7" i="2"/>
  <c r="M6" i="3"/>
  <c r="M7" i="2"/>
  <c r="AR14" i="3"/>
  <c r="AR14" i="2" s="1"/>
  <c r="AR15" i="2"/>
  <c r="U11" i="3"/>
  <c r="U11" i="2" s="1"/>
  <c r="U12" i="2"/>
  <c r="P24" i="2"/>
  <c r="AJ97" i="2"/>
  <c r="H90" i="2"/>
  <c r="AQ77" i="2"/>
  <c r="F73" i="3"/>
  <c r="F74" i="2"/>
  <c r="L18" i="2"/>
  <c r="AB11" i="3"/>
  <c r="AB11" i="2" s="1"/>
  <c r="AB12" i="2"/>
  <c r="AQ13" i="2"/>
  <c r="Y9" i="2"/>
  <c r="W6" i="3"/>
  <c r="W7" i="2"/>
  <c r="V13" i="2"/>
  <c r="H19" i="2"/>
  <c r="AL93" i="2"/>
  <c r="Z73" i="3"/>
  <c r="Z74" i="2"/>
  <c r="M83" i="2"/>
  <c r="H80" i="3"/>
  <c r="H80" i="2" s="1"/>
  <c r="H81" i="2"/>
  <c r="AF85" i="3"/>
  <c r="AF85" i="2" s="1"/>
  <c r="AF86" i="2"/>
  <c r="O93" i="2"/>
  <c r="L89" i="2"/>
  <c r="AR80" i="3"/>
  <c r="AR80" i="2" s="1"/>
  <c r="AR81" i="2"/>
  <c r="J76" i="2"/>
  <c r="AC95" i="3"/>
  <c r="AC95" i="2" s="1"/>
  <c r="AC96" i="2"/>
  <c r="AM97" i="2"/>
  <c r="AQ80" i="3"/>
  <c r="AQ80" i="2" s="1"/>
  <c r="AQ81" i="2"/>
  <c r="J24" i="2"/>
  <c r="AP10" i="2"/>
  <c r="X76" i="2"/>
  <c r="AS79" i="2"/>
  <c r="AO87" i="2"/>
  <c r="F14" i="3"/>
  <c r="F14" i="2" s="1"/>
  <c r="F15" i="2"/>
  <c r="M94" i="2"/>
  <c r="T77" i="2"/>
  <c r="AD98" i="2"/>
  <c r="V89" i="2"/>
  <c r="AN79" i="2"/>
  <c r="J78" i="2"/>
  <c r="AK80" i="3"/>
  <c r="AK80" i="2" s="1"/>
  <c r="AK81" i="2"/>
  <c r="AK94" i="2"/>
  <c r="W89" i="2"/>
  <c r="F78" i="2"/>
  <c r="AN88" i="2"/>
  <c r="AL77" i="2"/>
  <c r="U94" i="2"/>
  <c r="Z91" i="3"/>
  <c r="Z91" i="2" s="1"/>
  <c r="Z92" i="2"/>
  <c r="AE85" i="3"/>
  <c r="AE85" i="2" s="1"/>
  <c r="AE86" i="2"/>
  <c r="AF10" i="2"/>
  <c r="M91" i="3"/>
  <c r="M91" i="2" s="1"/>
  <c r="M92" i="2"/>
  <c r="O94" i="2"/>
  <c r="F11" i="3"/>
  <c r="F11" i="2" s="1"/>
  <c r="F12" i="2"/>
  <c r="AC77" i="2"/>
  <c r="Y95" i="3"/>
  <c r="Y95" i="2" s="1"/>
  <c r="Y96" i="2"/>
  <c r="AB85" i="3"/>
  <c r="AB85" i="2" s="1"/>
  <c r="AB86" i="2"/>
  <c r="AP94" i="2"/>
  <c r="AP93" i="2"/>
  <c r="R78" i="2"/>
  <c r="AP24" i="2"/>
  <c r="I78" i="2"/>
  <c r="AR88" i="2"/>
  <c r="G73" i="3"/>
  <c r="G74" i="2"/>
  <c r="AK73" i="3"/>
  <c r="AK74" i="2"/>
  <c r="F22" i="2"/>
  <c r="AS18" i="2"/>
  <c r="V20" i="3"/>
  <c r="V20" i="2" s="1"/>
  <c r="V21" i="2"/>
  <c r="J85" i="3"/>
  <c r="J85" i="2" s="1"/>
  <c r="J86" i="2"/>
  <c r="AP73" i="3"/>
  <c r="AP74" i="2"/>
  <c r="Z83" i="2"/>
  <c r="AK24" i="2"/>
  <c r="O24" i="2"/>
  <c r="U23" i="2"/>
  <c r="AB6" i="3"/>
  <c r="AB7" i="2"/>
  <c r="AL18" i="2"/>
  <c r="P78" i="2"/>
  <c r="J11" i="3"/>
  <c r="J11" i="2" s="1"/>
  <c r="J12" i="2"/>
  <c r="AN95" i="3"/>
  <c r="AN95" i="2" s="1"/>
  <c r="AN96" i="2"/>
  <c r="R89" i="2"/>
  <c r="AG10" i="2"/>
  <c r="AS88" i="2"/>
  <c r="AB93" i="2"/>
  <c r="AC73" i="3"/>
  <c r="AC74" i="2"/>
  <c r="AM87" i="2"/>
  <c r="AQ75" i="2"/>
  <c r="AD20" i="3"/>
  <c r="AD20" i="2" s="1"/>
  <c r="AD21" i="2"/>
  <c r="AD87" i="2"/>
  <c r="P20" i="3"/>
  <c r="P20" i="2" s="1"/>
  <c r="P21" i="2"/>
  <c r="AO79" i="2"/>
  <c r="AR77" i="2"/>
  <c r="AM85" i="3"/>
  <c r="AM85" i="2" s="1"/>
  <c r="AM86" i="2"/>
  <c r="AE82" i="2"/>
  <c r="AJ83" i="2"/>
  <c r="AF94" i="2"/>
  <c r="Y77" i="2"/>
  <c r="H79" i="2"/>
  <c r="U13" i="2"/>
  <c r="AS16" i="3"/>
  <c r="AS16" i="2" s="1"/>
  <c r="AS17" i="2"/>
  <c r="AN6" i="3"/>
  <c r="AN7" i="2"/>
  <c r="Y79" i="2"/>
  <c r="AN93" i="2"/>
  <c r="L10" i="2"/>
  <c r="AO82" i="2"/>
  <c r="S95" i="3"/>
  <c r="S95" i="2" s="1"/>
  <c r="S96" i="2"/>
  <c r="AG88" i="2"/>
  <c r="V87" i="2"/>
  <c r="AM90" i="2"/>
  <c r="W14" i="3"/>
  <c r="W14" i="2" s="1"/>
  <c r="W15" i="2"/>
  <c r="AR78" i="2"/>
  <c r="G24" i="2"/>
  <c r="AS22" i="2"/>
  <c r="O11" i="3"/>
  <c r="O11" i="2" s="1"/>
  <c r="O12" i="2"/>
  <c r="AN22" i="2"/>
  <c r="Y76" i="2"/>
  <c r="R94" i="2"/>
  <c r="G85" i="3"/>
  <c r="G85" i="2" s="1"/>
  <c r="G86" i="2"/>
  <c r="AI95" i="3"/>
  <c r="AI95" i="2" s="1"/>
  <c r="AI96" i="2"/>
  <c r="Q93" i="2"/>
  <c r="M22" i="2"/>
  <c r="L6" i="3"/>
  <c r="L7" i="2"/>
  <c r="AL83" i="2"/>
  <c r="AD14" i="3"/>
  <c r="AD14" i="2" s="1"/>
  <c r="AD15" i="2"/>
  <c r="AK87" i="2"/>
  <c r="AE80" i="3"/>
  <c r="AE80" i="2" s="1"/>
  <c r="AE81" i="2"/>
  <c r="J82" i="2"/>
  <c r="N95" i="3"/>
  <c r="N95" i="2" s="1"/>
  <c r="N96" i="2"/>
  <c r="AL98" i="2"/>
  <c r="O75" i="2"/>
  <c r="V93" i="2"/>
  <c r="U91" i="3"/>
  <c r="U91" i="2" s="1"/>
  <c r="U92" i="2"/>
  <c r="J75" i="2"/>
  <c r="T19" i="2"/>
  <c r="AC14" i="3"/>
  <c r="AC14" i="2" s="1"/>
  <c r="AC15" i="2"/>
  <c r="AE77" i="2"/>
  <c r="AJ98" i="2"/>
  <c r="AH78" i="2"/>
  <c r="AO89" i="2"/>
  <c r="T11" i="3"/>
  <c r="T11" i="2" s="1"/>
  <c r="T12" i="2"/>
  <c r="AH8" i="2"/>
  <c r="I75" i="2"/>
  <c r="AE83" i="2"/>
  <c r="AO6" i="3"/>
  <c r="AO7" i="2"/>
  <c r="J10" i="2"/>
  <c r="W87" i="2"/>
  <c r="AJ14" i="3"/>
  <c r="AJ14" i="2" s="1"/>
  <c r="AJ15" i="2"/>
  <c r="U80" i="3"/>
  <c r="U80" i="2" s="1"/>
  <c r="U81" i="2"/>
  <c r="K10" i="2"/>
  <c r="AP9" i="2"/>
  <c r="X88" i="2"/>
  <c r="X80" i="3"/>
  <c r="X80" i="2" s="1"/>
  <c r="X81" i="2"/>
  <c r="L98" i="2"/>
  <c r="AG90" i="2"/>
  <c r="AP8" i="2"/>
  <c r="H75" i="2"/>
  <c r="AL13" i="2"/>
  <c r="AA93" i="2"/>
  <c r="O91" i="3"/>
  <c r="O91" i="2" s="1"/>
  <c r="O92" i="2"/>
  <c r="AK83" i="2"/>
  <c r="W98" i="2"/>
  <c r="J8" i="2"/>
  <c r="AQ18" i="2"/>
  <c r="Q98" i="2"/>
  <c r="AC75" i="2"/>
  <c r="G95" i="3"/>
  <c r="G95" i="2" s="1"/>
  <c r="G96" i="2"/>
  <c r="J20" i="3"/>
  <c r="J20" i="2" s="1"/>
  <c r="J21" i="2"/>
  <c r="AE73" i="3"/>
  <c r="AE74" i="2"/>
  <c r="H13" i="2"/>
  <c r="P11" i="3"/>
  <c r="P11" i="2" s="1"/>
  <c r="P12" i="2"/>
  <c r="AL22" i="2"/>
  <c r="AD80" i="3"/>
  <c r="AD80" i="2" s="1"/>
  <c r="AD81" i="2"/>
  <c r="G87" i="2"/>
  <c r="AF11" i="3"/>
  <c r="AF11" i="2" s="1"/>
  <c r="AF12" i="2"/>
  <c r="H88" i="2"/>
  <c r="AA6" i="3"/>
  <c r="AA7" i="2"/>
  <c r="X16" i="3"/>
  <c r="X16" i="2" s="1"/>
  <c r="X17" i="2"/>
  <c r="P77" i="2"/>
  <c r="AF76" i="2"/>
  <c r="AL9" i="2"/>
  <c r="P6" i="3"/>
  <c r="P7" i="2"/>
  <c r="Q9" i="2"/>
  <c r="AI18" i="2"/>
  <c r="AE23" i="2"/>
  <c r="R10" i="2"/>
  <c r="AI93" i="2"/>
  <c r="V90" i="2"/>
  <c r="AG98" i="2"/>
  <c r="AR76" i="2"/>
  <c r="N75" i="2"/>
  <c r="P89" i="2"/>
  <c r="F76" i="2"/>
  <c r="L8" i="2"/>
  <c r="AH22" i="2"/>
  <c r="L14" i="3"/>
  <c r="L14" i="2" s="1"/>
  <c r="L15" i="2"/>
  <c r="M10" i="2"/>
  <c r="U22" i="2"/>
  <c r="S18" i="2"/>
  <c r="AJ19" i="2"/>
  <c r="AJ9" i="2"/>
  <c r="Q22" i="2"/>
  <c r="S14" i="3"/>
  <c r="S14" i="2" s="1"/>
  <c r="S15" i="2"/>
  <c r="AO9" i="2"/>
  <c r="AN87" i="2"/>
  <c r="AJ91" i="3"/>
  <c r="AJ91" i="2" s="1"/>
  <c r="AJ92" i="2"/>
  <c r="F9" i="2"/>
  <c r="AH97" i="2"/>
  <c r="P75" i="2"/>
  <c r="AI82" i="2"/>
  <c r="T79" i="2"/>
  <c r="L88" i="2"/>
  <c r="AG91" i="3"/>
  <c r="AG91" i="2" s="1"/>
  <c r="AG92" i="2"/>
  <c r="Q83" i="2"/>
  <c r="AE97" i="2"/>
  <c r="AI91" i="3"/>
  <c r="AI91" i="2" s="1"/>
  <c r="AI92" i="2"/>
  <c r="AA79" i="2"/>
  <c r="J98" i="2"/>
  <c r="G98" i="2"/>
  <c r="AF9" i="2"/>
  <c r="AN10" i="2"/>
  <c r="AJ8" i="2"/>
  <c r="AL85" i="3"/>
  <c r="AL85" i="2" s="1"/>
  <c r="AL86" i="2"/>
  <c r="G22" i="2"/>
  <c r="AQ10" i="2"/>
  <c r="Z10" i="2"/>
  <c r="P87" i="2"/>
  <c r="N77" i="2"/>
  <c r="P97" i="2"/>
  <c r="P94" i="2"/>
  <c r="AP79" i="2"/>
  <c r="V94" i="2"/>
  <c r="AG77" i="2"/>
  <c r="AM83" i="2"/>
  <c r="AK77" i="2"/>
  <c r="Y89" i="2"/>
  <c r="V79" i="2"/>
  <c r="AS77" i="2"/>
  <c r="N85" i="3"/>
  <c r="N85" i="2" s="1"/>
  <c r="N86" i="2"/>
  <c r="AN78" i="2"/>
  <c r="K93" i="2"/>
  <c r="AN73" i="3"/>
  <c r="AN74" i="2"/>
  <c r="V9" i="2"/>
  <c r="N23" i="2"/>
  <c r="AF14" i="3"/>
  <c r="AF14" i="2" s="1"/>
  <c r="AF15" i="2"/>
  <c r="AE18" i="2"/>
  <c r="AI9" i="2"/>
  <c r="Y13" i="2"/>
  <c r="AP19" i="2"/>
  <c r="Q16" i="3"/>
  <c r="Q16" i="2" s="1"/>
  <c r="Q17" i="2"/>
  <c r="AC11" i="3"/>
  <c r="AC11" i="2" s="1"/>
  <c r="AC12" i="2"/>
  <c r="J90" i="2"/>
  <c r="L80" i="3"/>
  <c r="L80" i="2" s="1"/>
  <c r="L81" i="2"/>
  <c r="Z89" i="2"/>
  <c r="AO78" i="2"/>
  <c r="Q88" i="2"/>
  <c r="AI76" i="2"/>
  <c r="M85" i="3"/>
  <c r="M85" i="2" s="1"/>
  <c r="M86" i="2"/>
  <c r="V83" i="2"/>
  <c r="G82" i="2"/>
  <c r="R76" i="2"/>
  <c r="AQ88" i="2"/>
  <c r="AK9" i="2"/>
  <c r="N19" i="2"/>
  <c r="AB13" i="2"/>
  <c r="AB9" i="2"/>
  <c r="AA8" i="2"/>
  <c r="AQ9" i="2"/>
  <c r="U10" i="2"/>
  <c r="AK6" i="3"/>
  <c r="AK7" i="2"/>
  <c r="S20" i="3"/>
  <c r="S20" i="2" s="1"/>
  <c r="S21" i="2"/>
  <c r="AN14" i="3"/>
  <c r="AN14" i="2" s="1"/>
  <c r="AN15" i="2"/>
  <c r="H18" i="2"/>
  <c r="Q6" i="3"/>
  <c r="Q7" i="2"/>
  <c r="AJ23" i="2"/>
  <c r="AA20" i="3"/>
  <c r="AA20" i="2" s="1"/>
  <c r="AA21" i="2"/>
  <c r="Y88" i="2"/>
  <c r="AR82" i="2"/>
  <c r="N80" i="3"/>
  <c r="N80" i="2" s="1"/>
  <c r="N81" i="2"/>
  <c r="AI77" i="2"/>
  <c r="V80" i="3"/>
  <c r="V80" i="2" s="1"/>
  <c r="V81" i="2"/>
  <c r="AE98" i="2"/>
  <c r="Z85" i="3"/>
  <c r="Z85" i="2" s="1"/>
  <c r="Z86" i="2"/>
  <c r="AG97" i="2"/>
  <c r="Q82" i="2"/>
  <c r="AO24" i="2"/>
  <c r="T24" i="2"/>
  <c r="S73" i="3"/>
  <c r="S74" i="2"/>
  <c r="F97" i="2"/>
  <c r="AJ10" i="2"/>
  <c r="R11" i="3"/>
  <c r="R11" i="2" s="1"/>
  <c r="R12" i="2"/>
  <c r="G14" i="3"/>
  <c r="G14" i="2" s="1"/>
  <c r="G15" i="2"/>
  <c r="H10" i="2"/>
  <c r="Y8" i="2"/>
  <c r="X18" i="2"/>
  <c r="T6" i="3"/>
  <c r="T7" i="2"/>
  <c r="AQ90" i="2"/>
  <c r="Z6" i="3"/>
  <c r="Z7" i="2"/>
  <c r="AK13" i="2"/>
  <c r="X13" i="2"/>
  <c r="Y10" i="2"/>
  <c r="P10" i="2"/>
  <c r="AS6" i="3"/>
  <c r="AS7" i="2"/>
  <c r="N8" i="2"/>
  <c r="O83" i="2"/>
  <c r="Y94" i="2"/>
  <c r="AD77" i="2"/>
  <c r="AF97" i="2"/>
  <c r="AD75" i="2"/>
  <c r="AJ80" i="3"/>
  <c r="AJ80" i="2" s="1"/>
  <c r="AJ81" i="2"/>
  <c r="AL91" i="3"/>
  <c r="AL91" i="2" s="1"/>
  <c r="AL92" i="2"/>
  <c r="AQ85" i="3"/>
  <c r="AQ85" i="2" s="1"/>
  <c r="AQ86" i="2"/>
  <c r="L95" i="3"/>
  <c r="L95" i="2" s="1"/>
  <c r="L96" i="2"/>
  <c r="AS78" i="2"/>
  <c r="Y93" i="2"/>
  <c r="AM73" i="3"/>
  <c r="AM74" i="2"/>
  <c r="H82" i="2"/>
  <c r="X95" i="3"/>
  <c r="X95" i="2" s="1"/>
  <c r="X96" i="2"/>
  <c r="O88" i="2"/>
  <c r="AH90" i="2"/>
  <c r="S94" i="2"/>
  <c r="AA80" i="3"/>
  <c r="AA80" i="2" s="1"/>
  <c r="AA81" i="2"/>
  <c r="L87" i="2"/>
  <c r="Z97" i="2"/>
  <c r="O9" i="2"/>
  <c r="G78" i="2"/>
  <c r="L79" i="2"/>
  <c r="Y85" i="3"/>
  <c r="Y85" i="2" s="1"/>
  <c r="Y86" i="2"/>
  <c r="V95" i="3"/>
  <c r="V95" i="2" s="1"/>
  <c r="V96" i="2"/>
  <c r="AB95" i="3"/>
  <c r="AB95" i="2" s="1"/>
  <c r="AB96" i="2"/>
  <c r="W18" i="2"/>
  <c r="Y80" i="3"/>
  <c r="Y80" i="2" s="1"/>
  <c r="Y81" i="2"/>
  <c r="W90" i="2"/>
  <c r="X98" i="2"/>
  <c r="V75" i="2"/>
  <c r="T76" i="2"/>
  <c r="Y98" i="2"/>
  <c r="S80" i="3"/>
  <c r="S80" i="2" s="1"/>
  <c r="S81" i="2"/>
  <c r="AH85" i="3"/>
  <c r="AH85" i="2" s="1"/>
  <c r="AH86" i="2"/>
  <c r="AN90" i="2"/>
  <c r="T98" i="2"/>
  <c r="G76" i="2"/>
  <c r="AK90" i="2"/>
  <c r="Y20" i="3"/>
  <c r="Y20" i="2" s="1"/>
  <c r="Y21" i="2"/>
  <c r="AS98" i="2"/>
  <c r="P80" i="3"/>
  <c r="P80" i="2" s="1"/>
  <c r="P81" i="2"/>
  <c r="R83" i="2"/>
  <c r="J13" i="2"/>
  <c r="AD19" i="2"/>
  <c r="M18" i="2"/>
  <c r="W95" i="3"/>
  <c r="W95" i="2" s="1"/>
  <c r="W96" i="2"/>
  <c r="AC80" i="3"/>
  <c r="AC80" i="2" s="1"/>
  <c r="AC81" i="2"/>
  <c r="O78" i="2"/>
  <c r="AE75" i="2"/>
  <c r="AM95" i="3"/>
  <c r="AM95" i="2" s="1"/>
  <c r="AM96" i="2"/>
  <c r="I10" i="2"/>
  <c r="W83" i="2"/>
  <c r="AE91" i="3"/>
  <c r="AE91" i="2" s="1"/>
  <c r="AE92" i="2"/>
  <c r="AC24" i="2"/>
  <c r="AG18" i="2"/>
  <c r="AO75" i="2"/>
  <c r="S82" i="2"/>
  <c r="Q97" i="2"/>
  <c r="AM98" i="2"/>
  <c r="AO13" i="2"/>
  <c r="AN76" i="2"/>
  <c r="X89" i="2"/>
  <c r="O18" i="2"/>
  <c r="AE79" i="2"/>
  <c r="Y6" i="3"/>
  <c r="Y7" i="2"/>
  <c r="M89" i="2"/>
  <c r="F20" i="3"/>
  <c r="F20" i="2" s="1"/>
  <c r="F21" i="2"/>
  <c r="AQ6" i="3"/>
  <c r="AQ7" i="2"/>
  <c r="O76" i="2"/>
  <c r="V11" i="3"/>
  <c r="V11" i="2" s="1"/>
  <c r="V12" i="2"/>
  <c r="W75" i="2"/>
  <c r="M82" i="2"/>
  <c r="T78" i="2"/>
  <c r="N87" i="2"/>
  <c r="AA23" i="2"/>
  <c r="AB80" i="3"/>
  <c r="AB80" i="2" s="1"/>
  <c r="AB81" i="2"/>
  <c r="AB98" i="2"/>
  <c r="W16" i="3"/>
  <c r="W16" i="2" s="1"/>
  <c r="W17" i="2"/>
  <c r="AR11" i="3"/>
  <c r="AR11" i="2" s="1"/>
  <c r="AR12" i="2"/>
  <c r="P79" i="2"/>
  <c r="AP22" i="2"/>
  <c r="AJ82" i="2"/>
  <c r="AI94" i="2"/>
  <c r="M79" i="2"/>
  <c r="AJ22" i="2"/>
  <c r="AM19" i="2"/>
  <c r="U93" i="2"/>
  <c r="AR95" i="3"/>
  <c r="AR95" i="2" s="1"/>
  <c r="AR96" i="2"/>
  <c r="AC98" i="2"/>
  <c r="AB82" i="2"/>
  <c r="AD10" i="2"/>
  <c r="O10" i="2"/>
  <c r="AS89" i="2"/>
  <c r="Z9" i="2"/>
  <c r="Z8" i="2"/>
  <c r="AA11" i="3"/>
  <c r="AA11" i="2" s="1"/>
  <c r="AA12" i="2"/>
  <c r="AB8" i="2"/>
  <c r="Z23" i="2"/>
  <c r="AS13" i="2"/>
  <c r="L16" i="3"/>
  <c r="L16" i="2" s="1"/>
  <c r="L17" i="2"/>
  <c r="X11" i="3"/>
  <c r="X11" i="2" s="1"/>
  <c r="X12" i="2"/>
  <c r="AF13" i="2"/>
  <c r="R22" i="2"/>
  <c r="AM8" i="2"/>
  <c r="AI83" i="2"/>
  <c r="R73" i="3"/>
  <c r="R74" i="2"/>
  <c r="AR91" i="3"/>
  <c r="AR91" i="2" s="1"/>
  <c r="AR92" i="2"/>
  <c r="H73" i="3"/>
  <c r="H74" i="2"/>
  <c r="N76" i="2"/>
  <c r="AB83" i="2"/>
  <c r="T13" i="2"/>
  <c r="L11" i="3"/>
  <c r="L11" i="2" s="1"/>
  <c r="L12" i="2"/>
  <c r="AR18" i="2"/>
  <c r="R9" i="2"/>
  <c r="K8" i="2"/>
  <c r="AG20" i="3"/>
  <c r="AG20" i="2" s="1"/>
  <c r="AG21" i="2"/>
  <c r="X8" i="2"/>
  <c r="M9" i="2"/>
  <c r="AP14" i="3"/>
  <c r="AP14" i="2" s="1"/>
  <c r="AP15" i="2"/>
  <c r="J6" i="3"/>
  <c r="J7" i="2"/>
  <c r="AJ16" i="3"/>
  <c r="AJ16" i="2" s="1"/>
  <c r="AJ17" i="2"/>
  <c r="G94" i="2"/>
  <c r="AB76" i="2"/>
  <c r="AI73" i="3"/>
  <c r="AI74" i="2"/>
  <c r="H78" i="2"/>
  <c r="AL94" i="2"/>
  <c r="H98" i="2"/>
  <c r="S93" i="2"/>
  <c r="V73" i="3"/>
  <c r="V74" i="2"/>
  <c r="AP89" i="2"/>
  <c r="L77" i="2"/>
  <c r="Y91" i="3"/>
  <c r="Y91" i="2" s="1"/>
  <c r="Y92" i="2"/>
  <c r="X93" i="2"/>
  <c r="AI90" i="2"/>
  <c r="AO97" i="2"/>
  <c r="AN18" i="2"/>
  <c r="AN16" i="3"/>
  <c r="AN16" i="2" s="1"/>
  <c r="AN17" i="2"/>
  <c r="P14" i="3"/>
  <c r="P14" i="2" s="1"/>
  <c r="P15" i="2"/>
  <c r="AK16" i="3"/>
  <c r="AK16" i="2" s="1"/>
  <c r="AK17" i="2"/>
  <c r="T10" i="2"/>
  <c r="AE8" i="2"/>
  <c r="AP11" i="3"/>
  <c r="AP11" i="2" s="1"/>
  <c r="AP12" i="2"/>
  <c r="AQ76" i="2"/>
  <c r="AJ95" i="3"/>
  <c r="AJ95" i="2" s="1"/>
  <c r="AJ96" i="2"/>
  <c r="AA87" i="2"/>
  <c r="S89" i="2"/>
  <c r="AA82" i="2"/>
  <c r="AK93" i="2"/>
  <c r="F94" i="2"/>
  <c r="AQ87" i="2"/>
  <c r="X97" i="2"/>
  <c r="U97" i="2"/>
  <c r="AH77" i="2"/>
  <c r="AC78" i="2"/>
  <c r="AA97" i="2"/>
  <c r="AR24" i="2"/>
  <c r="H95" i="3"/>
  <c r="H95" i="2" s="1"/>
  <c r="H96" i="2"/>
  <c r="H76" i="2"/>
  <c r="F93" i="2"/>
  <c r="AR16" i="3"/>
  <c r="AR16" i="2" s="1"/>
  <c r="AR17" i="2"/>
  <c r="AM13" i="2"/>
  <c r="R8" i="2"/>
  <c r="H11" i="3"/>
  <c r="H11" i="2" s="1"/>
  <c r="H12" i="2"/>
  <c r="N22" i="2"/>
  <c r="T20" i="3"/>
  <c r="T20" i="2" s="1"/>
  <c r="T21" i="2"/>
  <c r="R14" i="3"/>
  <c r="R14" i="2" s="1"/>
  <c r="R15" i="2"/>
  <c r="AA18" i="2"/>
  <c r="AM10" i="2"/>
  <c r="N16" i="3"/>
  <c r="N16" i="2" s="1"/>
  <c r="N17" i="2"/>
  <c r="AG9" i="2"/>
  <c r="Q78" i="2"/>
  <c r="AP75" i="2"/>
  <c r="F13" i="2"/>
  <c r="AH94" i="2"/>
  <c r="I91" i="3"/>
  <c r="I91" i="2" s="1"/>
  <c r="I92" i="2"/>
  <c r="H91" i="3"/>
  <c r="H91" i="2" s="1"/>
  <c r="H92" i="2"/>
  <c r="L83" i="2"/>
  <c r="K75" i="2"/>
  <c r="AE93" i="2"/>
  <c r="AA88" i="2"/>
  <c r="T95" i="3"/>
  <c r="T95" i="2" s="1"/>
  <c r="T96" i="2"/>
  <c r="AG85" i="3"/>
  <c r="AG85" i="2" s="1"/>
  <c r="AG86" i="2"/>
  <c r="AD24" i="2"/>
  <c r="X24" i="2"/>
  <c r="K20" i="3"/>
  <c r="K20" i="2" s="1"/>
  <c r="K21" i="2"/>
  <c r="AE13" i="2"/>
  <c r="J9" i="2"/>
  <c r="AG22" i="2"/>
  <c r="AR10" i="2"/>
  <c r="AI10" i="2"/>
  <c r="AN11" i="3"/>
  <c r="AN11" i="2" s="1"/>
  <c r="AN12" i="2"/>
  <c r="AI87" i="2"/>
  <c r="T87" i="2"/>
  <c r="L90" i="2"/>
  <c r="I77" i="2"/>
  <c r="AM82" i="2"/>
  <c r="L78" i="2"/>
  <c r="Q91" i="3"/>
  <c r="Q91" i="2" s="1"/>
  <c r="Q92" i="2"/>
  <c r="Y73" i="3"/>
  <c r="Y74" i="2"/>
  <c r="AB73" i="3"/>
  <c r="AB74" i="2"/>
  <c r="AM77" i="2"/>
  <c r="Y90" i="2"/>
  <c r="I83" i="2"/>
  <c r="AG75" i="2"/>
  <c r="M76" i="2"/>
  <c r="N94" i="2"/>
  <c r="H85" i="3"/>
  <c r="H85" i="2" s="1"/>
  <c r="H86" i="2"/>
  <c r="Y23" i="2"/>
  <c r="J19" i="2"/>
  <c r="AQ20" i="3"/>
  <c r="AQ20" i="2" s="1"/>
  <c r="AQ21" i="2"/>
  <c r="I22" i="2"/>
  <c r="H22" i="2"/>
  <c r="AB14" i="3"/>
  <c r="AB14" i="2" s="1"/>
  <c r="AB15" i="2"/>
  <c r="AC85" i="3"/>
  <c r="AC85" i="2" s="1"/>
  <c r="AC86" i="2"/>
  <c r="AH79" i="2"/>
  <c r="F8" i="2"/>
  <c r="AG94" i="2"/>
  <c r="W24" i="2"/>
  <c r="AN98" i="2"/>
  <c r="P9" i="2"/>
  <c r="AJ6" i="3"/>
  <c r="AJ7" i="2"/>
  <c r="AK19" i="2"/>
  <c r="K18" i="2"/>
  <c r="I8" i="2"/>
  <c r="AO18" i="2"/>
  <c r="O13" i="2"/>
  <c r="AS23" i="2"/>
  <c r="K13" i="2"/>
  <c r="I87" i="2"/>
  <c r="AA77" i="2"/>
  <c r="AJ93" i="2"/>
  <c r="V76" i="2"/>
  <c r="AO95" i="3"/>
  <c r="AO95" i="2" s="1"/>
  <c r="AO96" i="2"/>
  <c r="V85" i="3"/>
  <c r="V85" i="2" s="1"/>
  <c r="V86" i="2"/>
  <c r="S13" i="2"/>
  <c r="N20" i="3"/>
  <c r="N20" i="2" s="1"/>
  <c r="N21" i="2"/>
  <c r="AH6" i="3"/>
  <c r="AH7" i="2"/>
  <c r="Q19" i="2"/>
  <c r="U76" i="2"/>
  <c r="AG83" i="2"/>
  <c r="AD85" i="3"/>
  <c r="AD85" i="2" s="1"/>
  <c r="AD86" i="2"/>
  <c r="AS20" i="3"/>
  <c r="AS20" i="2" s="1"/>
  <c r="AS21" i="2"/>
  <c r="AE95" i="3"/>
  <c r="AE95" i="2" s="1"/>
  <c r="AE96" i="2"/>
  <c r="AD91" i="3"/>
  <c r="AD91" i="2" s="1"/>
  <c r="AD92" i="2"/>
  <c r="K95" i="3"/>
  <c r="K95" i="2" s="1"/>
  <c r="K96" i="2"/>
  <c r="AC76" i="2"/>
  <c r="M93" i="2"/>
  <c r="AF20" i="3"/>
  <c r="AF20" i="2" s="1"/>
  <c r="AF21" i="2"/>
  <c r="X19" i="2"/>
  <c r="V78" i="2"/>
  <c r="V24" i="2"/>
  <c r="AM24" i="2"/>
  <c r="AO93" i="2"/>
  <c r="AK88" i="2"/>
  <c r="N88" i="2"/>
  <c r="AP82" i="2"/>
  <c r="AR8" i="2"/>
  <c r="AK79" i="2"/>
  <c r="AB90" i="2"/>
  <c r="AD97" i="2"/>
  <c r="L82" i="2"/>
  <c r="AF93" i="2"/>
  <c r="Z79" i="2"/>
  <c r="K94" i="2"/>
  <c r="I98" i="2"/>
  <c r="AP23" i="2"/>
  <c r="AI97" i="2"/>
  <c r="AG79" i="2"/>
  <c r="AI79" i="2"/>
  <c r="H94" i="2"/>
  <c r="O95" i="3"/>
  <c r="O95" i="2" s="1"/>
  <c r="O96" i="2"/>
  <c r="S24" i="2"/>
  <c r="AG23" i="2"/>
  <c r="AM23" i="2"/>
  <c r="I20" i="3"/>
  <c r="I20" i="2" s="1"/>
  <c r="I21" i="2"/>
  <c r="P82" i="2"/>
  <c r="X91" i="3"/>
  <c r="X91" i="2" s="1"/>
  <c r="X92" i="2"/>
  <c r="M14" i="3"/>
  <c r="M14" i="2" s="1"/>
  <c r="M15" i="2"/>
  <c r="W78" i="2"/>
  <c r="J94" i="2"/>
  <c r="AN23" i="2"/>
  <c r="AE22" i="2"/>
  <c r="M73" i="3"/>
  <c r="M74" i="2"/>
  <c r="K88" i="2"/>
  <c r="AI75" i="2"/>
  <c r="J23" i="2"/>
  <c r="AH93" i="2"/>
  <c r="AC9" i="2"/>
  <c r="N97" i="2"/>
  <c r="AH95" i="3"/>
  <c r="AH95" i="2" s="1"/>
  <c r="AH96" i="2"/>
  <c r="T9" i="2"/>
  <c r="O23" i="2"/>
  <c r="R77" i="2"/>
  <c r="X75" i="2"/>
  <c r="AN85" i="3"/>
  <c r="AN85" i="2" s="1"/>
  <c r="AN86" i="2"/>
  <c r="AH75" i="2"/>
  <c r="F87" i="2"/>
  <c r="AE76" i="2"/>
  <c r="L97" i="2"/>
  <c r="M88" i="2"/>
  <c r="AF16" i="3"/>
  <c r="AF16" i="2" s="1"/>
  <c r="AF17" i="2"/>
  <c r="T16" i="3"/>
  <c r="T16" i="2" s="1"/>
  <c r="T17" i="2"/>
  <c r="AP13" i="2"/>
  <c r="AG78" i="2"/>
  <c r="Y24" i="2"/>
  <c r="L22" i="2"/>
  <c r="AI88" i="2"/>
  <c r="P93" i="2"/>
  <c r="R13" i="2"/>
  <c r="Q24" i="2"/>
  <c r="G89" i="2"/>
  <c r="W23" i="2"/>
  <c r="AG87" i="2"/>
  <c r="U98" i="2"/>
  <c r="I9" i="2"/>
  <c r="AF98" i="2"/>
  <c r="AP6" i="3"/>
  <c r="AP7" i="2"/>
  <c r="K6" i="3"/>
  <c r="K7" i="2"/>
  <c r="G8" i="2"/>
  <c r="H6" i="3"/>
  <c r="H7" i="2"/>
  <c r="G9" i="2"/>
  <c r="AO10" i="2"/>
  <c r="J73" i="3"/>
  <c r="J74" i="2"/>
  <c r="W82" i="2"/>
  <c r="AN89" i="2"/>
  <c r="AH24" i="2"/>
  <c r="L94" i="2"/>
  <c r="S87" i="2"/>
  <c r="AH89" i="2"/>
  <c r="AN77" i="2"/>
  <c r="AC83" i="2"/>
  <c r="AH87" i="2"/>
  <c r="F16" i="3"/>
  <c r="F16" i="2" s="1"/>
  <c r="F17" i="2"/>
  <c r="AK20" i="3"/>
  <c r="AK20" i="2" s="1"/>
  <c r="AK21" i="2"/>
  <c r="AD23" i="2"/>
  <c r="V19" i="2"/>
  <c r="K76" i="2"/>
  <c r="R18" i="2"/>
  <c r="AA10" i="2"/>
  <c r="M20" i="3"/>
  <c r="M20" i="2" s="1"/>
  <c r="M21" i="2"/>
  <c r="AA19" i="2"/>
  <c r="Z20" i="3"/>
  <c r="Z20" i="2" s="1"/>
  <c r="Z21" i="2"/>
  <c r="W19" i="2"/>
  <c r="I80" i="3"/>
  <c r="I80" i="2" s="1"/>
  <c r="I81" i="2"/>
  <c r="AQ91" i="3"/>
  <c r="AQ91" i="2" s="1"/>
  <c r="AQ92" i="2"/>
  <c r="AF77" i="2"/>
  <c r="R91" i="3"/>
  <c r="R91" i="2" s="1"/>
  <c r="R92" i="2"/>
  <c r="AK78" i="2"/>
  <c r="AK82" i="2"/>
  <c r="AK85" i="3"/>
  <c r="AK85" i="2" s="1"/>
  <c r="AK86" i="2"/>
  <c r="I24" i="2"/>
  <c r="S16" i="3"/>
  <c r="S16" i="2" s="1"/>
  <c r="S17" i="2"/>
  <c r="AE19" i="2"/>
  <c r="V6" i="3"/>
  <c r="V7" i="2"/>
  <c r="K22" i="2"/>
  <c r="X23" i="2"/>
  <c r="AI22" i="2"/>
  <c r="R6" i="3"/>
  <c r="R7" i="2"/>
  <c r="O6" i="3"/>
  <c r="O7" i="2"/>
  <c r="S19" i="2"/>
  <c r="AN8" i="2"/>
  <c r="G16" i="3"/>
  <c r="G16" i="2" s="1"/>
  <c r="G17" i="2"/>
  <c r="O22" i="2"/>
  <c r="AD82" i="2"/>
  <c r="M80" i="3"/>
  <c r="M80" i="2" s="1"/>
  <c r="M81" i="2"/>
  <c r="G75" i="2"/>
  <c r="AR94" i="2"/>
  <c r="AI89" i="2"/>
  <c r="AB75" i="2"/>
  <c r="N78" i="2"/>
  <c r="T85" i="3"/>
  <c r="T85" i="2" s="1"/>
  <c r="T86" i="2"/>
  <c r="L85" i="3"/>
  <c r="L85" i="2" s="1"/>
  <c r="L86" i="2"/>
  <c r="N93" i="2"/>
  <c r="M8" i="2"/>
  <c r="AA22" i="2"/>
  <c r="AC13" i="2"/>
  <c r="V18" i="2"/>
  <c r="K14" i="3"/>
  <c r="K14" i="2" s="1"/>
  <c r="K15" i="2"/>
  <c r="I11" i="3"/>
  <c r="I11" i="2" s="1"/>
  <c r="I12" i="2"/>
  <c r="AB16" i="3"/>
  <c r="AB16" i="2" s="1"/>
  <c r="AB17" i="2"/>
  <c r="AA14" i="3"/>
  <c r="AA14" i="2" s="1"/>
  <c r="AA15" i="2"/>
  <c r="AO83" i="2"/>
  <c r="AB89" i="2"/>
  <c r="K85" i="3"/>
  <c r="K85" i="2" s="1"/>
  <c r="K86" i="2"/>
  <c r="AF87" i="2"/>
  <c r="Z77" i="2"/>
  <c r="Q77" i="2"/>
  <c r="AK95" i="3"/>
  <c r="AK95" i="2" s="1"/>
  <c r="AK96" i="2"/>
  <c r="AF75" i="2"/>
  <c r="V88" i="2"/>
  <c r="AB77" i="2"/>
  <c r="Z93" i="2"/>
  <c r="AL79" i="2"/>
  <c r="AS11" i="3"/>
  <c r="AS11" i="2" s="1"/>
  <c r="AS12" i="2"/>
  <c r="N11" i="3"/>
  <c r="N11" i="2" s="1"/>
  <c r="N12" i="2"/>
  <c r="AR23" i="2"/>
  <c r="V22" i="2"/>
  <c r="H8" i="2"/>
  <c r="AG6" i="3"/>
  <c r="AG7" i="2"/>
  <c r="AC20" i="3"/>
  <c r="AC20" i="2" s="1"/>
  <c r="AC21" i="2"/>
  <c r="U89" i="2"/>
  <c r="K89" i="2"/>
  <c r="AO90" i="2"/>
  <c r="Y78" i="2"/>
  <c r="J87" i="2"/>
  <c r="AS87" i="2"/>
  <c r="AD78" i="2"/>
  <c r="U83" i="2"/>
  <c r="J93" i="2"/>
  <c r="R97" i="2"/>
  <c r="L76" i="2"/>
  <c r="R98" i="2"/>
  <c r="AF24" i="2"/>
  <c r="AG16" i="3"/>
  <c r="AG16" i="2" s="1"/>
  <c r="AG17" i="2"/>
  <c r="X6" i="3"/>
  <c r="X7" i="2"/>
  <c r="J22" i="2"/>
  <c r="O20" i="3"/>
  <c r="O20" i="2" s="1"/>
  <c r="O21" i="2"/>
  <c r="AG95" i="3"/>
  <c r="AG95" i="2" s="1"/>
  <c r="AG96" i="2"/>
  <c r="O79" i="2"/>
  <c r="T90" i="2"/>
  <c r="F91" i="3"/>
  <c r="F91" i="2" s="1"/>
  <c r="F92" i="2"/>
  <c r="AK14" i="3"/>
  <c r="AK14" i="2" s="1"/>
  <c r="AK15" i="2"/>
  <c r="V8" i="2"/>
  <c r="W22" i="2"/>
  <c r="AA91" i="3"/>
  <c r="AA91" i="2" s="1"/>
  <c r="AA92" i="2"/>
  <c r="W20" i="3"/>
  <c r="W20" i="2" s="1"/>
  <c r="W21" i="2"/>
  <c r="AB19" i="2"/>
  <c r="AK23" i="2"/>
  <c r="Z16" i="3"/>
  <c r="Z16" i="2" s="1"/>
  <c r="Z17" i="2"/>
  <c r="L75" i="2"/>
  <c r="T89" i="2"/>
  <c r="AL87" i="2"/>
  <c r="H83" i="2"/>
  <c r="H24" i="2"/>
  <c r="AP83" i="2"/>
  <c r="AN75" i="2"/>
  <c r="V91" i="3"/>
  <c r="V91" i="2" s="1"/>
  <c r="V92" i="2"/>
  <c r="AB88" i="2"/>
  <c r="AC88" i="2"/>
  <c r="AS97" i="2"/>
  <c r="M97" i="2"/>
  <c r="Y97" i="2"/>
  <c r="AS73" i="3"/>
  <c r="AS74" i="2"/>
  <c r="J83" i="2"/>
  <c r="AN83" i="2"/>
  <c r="AP98" i="2"/>
  <c r="I93" i="2"/>
  <c r="Z75" i="2"/>
  <c r="O19" i="2"/>
  <c r="AJ88" i="2"/>
  <c r="T91" i="3"/>
  <c r="T91" i="2" s="1"/>
  <c r="T92" i="2"/>
  <c r="R85" i="3"/>
  <c r="R85" i="2" s="1"/>
  <c r="R86" i="2"/>
  <c r="Y82" i="2"/>
  <c r="N83" i="2"/>
  <c r="AF78" i="2"/>
  <c r="AG93" i="2"/>
  <c r="T97" i="2"/>
  <c r="F19" i="2"/>
  <c r="I6" i="3"/>
  <c r="I7" i="2"/>
  <c r="Y11" i="3"/>
  <c r="Y11" i="2" s="1"/>
  <c r="Y12" i="2"/>
  <c r="T93" i="2"/>
  <c r="AQ73" i="3"/>
  <c r="AQ74" i="2"/>
  <c r="G91" i="3"/>
  <c r="G91" i="2" s="1"/>
  <c r="G92" i="2"/>
  <c r="AP91" i="3"/>
  <c r="AP91" i="2" s="1"/>
  <c r="AP92" i="2"/>
  <c r="N9" i="2"/>
  <c r="AH91" i="3"/>
  <c r="AH91" i="2" s="1"/>
  <c r="AH92" i="2"/>
  <c r="S90" i="2"/>
  <c r="AI19" i="2"/>
  <c r="R79" i="2"/>
  <c r="S98" i="2"/>
  <c r="L93" i="2"/>
  <c r="I85" i="3"/>
  <c r="I85" i="2" s="1"/>
  <c r="I86" i="2"/>
  <c r="AH88" i="2"/>
  <c r="AN80" i="3"/>
  <c r="AN80" i="2" s="1"/>
  <c r="AN81" i="2"/>
  <c r="U6" i="3"/>
  <c r="U7" i="2"/>
  <c r="AQ95" i="3"/>
  <c r="AQ95" i="2" s="1"/>
  <c r="AQ96" i="2"/>
  <c r="AI78" i="2"/>
  <c r="R82" i="2"/>
  <c r="AB91" i="3"/>
  <c r="AB91" i="2" s="1"/>
  <c r="AB92" i="2"/>
  <c r="AK22" i="2"/>
  <c r="AO14" i="3"/>
  <c r="AO14" i="2" s="1"/>
  <c r="AO15" i="2"/>
  <c r="AB10" i="2"/>
  <c r="G13" i="2"/>
  <c r="K9" i="2"/>
  <c r="AA73" i="3"/>
  <c r="AA74" i="2"/>
  <c r="G10" i="2"/>
  <c r="AH76" i="2"/>
  <c r="W97" i="2"/>
  <c r="F80" i="3"/>
  <c r="F80" i="2" s="1"/>
  <c r="F81" i="2"/>
  <c r="P22" i="2"/>
  <c r="I89" i="2"/>
  <c r="K83" i="2"/>
  <c r="Z78" i="2"/>
  <c r="H14" i="3"/>
  <c r="H14" i="2" s="1"/>
  <c r="H15" i="2"/>
  <c r="O80" i="3"/>
  <c r="O80" i="2" s="1"/>
  <c r="O81" i="2"/>
  <c r="V82" i="2"/>
  <c r="U77" i="2"/>
  <c r="P90" i="2"/>
  <c r="AK89" i="2"/>
  <c r="Q80" i="3"/>
  <c r="Q80" i="2" s="1"/>
  <c r="Q81" i="2"/>
  <c r="AA85" i="3"/>
  <c r="AA85" i="2" s="1"/>
  <c r="AA86" i="2"/>
  <c r="AA83" i="2"/>
  <c r="M98" i="2"/>
  <c r="AD94" i="2"/>
  <c r="J88" i="2"/>
  <c r="AB18" i="2"/>
  <c r="AH98" i="2"/>
  <c r="N91" i="3"/>
  <c r="N91" i="2" s="1"/>
  <c r="N92" i="2"/>
  <c r="P76" i="2"/>
  <c r="Z19" i="2"/>
  <c r="Y16" i="3"/>
  <c r="Y16" i="2" s="1"/>
  <c r="Y17" i="2"/>
  <c r="AC79" i="2"/>
  <c r="W80" i="3"/>
  <c r="W80" i="2" s="1"/>
  <c r="W81" i="2"/>
  <c r="AL10" i="2"/>
  <c r="H9" i="2"/>
  <c r="AP20" i="3"/>
  <c r="AP20" i="2" s="1"/>
  <c r="AP21" i="2"/>
  <c r="L23" i="2"/>
  <c r="AF8" i="2"/>
  <c r="AF6" i="3"/>
  <c r="AF7" i="2"/>
  <c r="K19" i="2"/>
  <c r="I19" i="2"/>
  <c r="G11" i="3"/>
  <c r="G11" i="2" s="1"/>
  <c r="G12" i="2"/>
  <c r="AQ79" i="2"/>
  <c r="AR89" i="2"/>
  <c r="S85" i="3"/>
  <c r="S85" i="2" s="1"/>
  <c r="S86" i="2"/>
  <c r="F89" i="2"/>
  <c r="AO80" i="3"/>
  <c r="AO80" i="2" s="1"/>
  <c r="AO81" i="2"/>
  <c r="S78" i="2"/>
  <c r="AL80" i="3"/>
  <c r="AL80" i="2" s="1"/>
  <c r="AL81" i="2"/>
  <c r="H89" i="2"/>
  <c r="AR97" i="2"/>
  <c r="AP77" i="2"/>
  <c r="AA78" i="2"/>
  <c r="AQ19" i="2"/>
  <c r="L9" i="2"/>
  <c r="R23" i="2"/>
  <c r="N18" i="2"/>
  <c r="Z13" i="2"/>
  <c r="U9" i="2"/>
  <c r="N82" i="2"/>
  <c r="AC91" i="3"/>
  <c r="AC91" i="2" s="1"/>
  <c r="AC92" i="2"/>
  <c r="AF79" i="2"/>
  <c r="X77" i="2"/>
  <c r="AB94" i="2"/>
  <c r="AE24" i="2"/>
  <c r="T73" i="3"/>
  <c r="T74" i="2"/>
  <c r="AO94" i="2"/>
  <c r="AL75" i="2"/>
  <c r="AJ90" i="2"/>
  <c r="AF83" i="2"/>
  <c r="AK97" i="2"/>
  <c r="P95" i="3"/>
  <c r="P95" i="2" s="1"/>
  <c r="P96" i="2"/>
  <c r="AO98" i="2"/>
  <c r="AK98" i="2"/>
  <c r="AG19" i="2"/>
  <c r="P23" i="2"/>
  <c r="R19" i="2"/>
  <c r="AE10" i="2"/>
  <c r="AD13" i="2"/>
  <c r="Z11" i="3"/>
  <c r="Z11" i="2" s="1"/>
  <c r="Z12" i="2"/>
  <c r="AF23" i="2"/>
  <c r="V23" i="2"/>
  <c r="G77" i="2"/>
  <c r="T88" i="2"/>
  <c r="H87" i="2"/>
  <c r="AA90" i="2"/>
  <c r="K80" i="3"/>
  <c r="K80" i="2" s="1"/>
  <c r="K81" i="2"/>
  <c r="AA75" i="2"/>
  <c r="Y75" i="2"/>
  <c r="X78" i="2"/>
  <c r="X90" i="2"/>
  <c r="N98" i="2"/>
  <c r="AD89" i="2"/>
  <c r="AL8" i="2"/>
  <c r="AJ79" i="2"/>
  <c r="AO16" i="3"/>
  <c r="AO16" i="2" s="1"/>
  <c r="AO17" i="2"/>
  <c r="AH9" i="2"/>
  <c r="G23" i="2"/>
  <c r="R20" i="3"/>
  <c r="R20" i="2" s="1"/>
  <c r="R21" i="2"/>
  <c r="Q13" i="2"/>
  <c r="AR20" i="3"/>
  <c r="AR20" i="2" s="1"/>
  <c r="AR21" i="2"/>
  <c r="AH11" i="3"/>
  <c r="AH11" i="2" s="1"/>
  <c r="AH12" i="2"/>
  <c r="V10" i="2"/>
  <c r="AP78" i="2"/>
  <c r="AG24" i="2"/>
  <c r="W76" i="2"/>
  <c r="P73" i="3"/>
  <c r="P74" i="2"/>
  <c r="AJ89" i="2"/>
  <c r="AR87" i="2"/>
  <c r="R75" i="2"/>
  <c r="AJ13" i="2"/>
  <c r="AE11" i="3"/>
  <c r="AE11" i="2" s="1"/>
  <c r="AE12" i="2"/>
  <c r="Q18" i="2"/>
  <c r="U14" i="3"/>
  <c r="U14" i="2" s="1"/>
  <c r="U15" i="2"/>
  <c r="I16" i="3"/>
  <c r="I16" i="2" s="1"/>
  <c r="I17" i="2"/>
  <c r="Y22" i="2"/>
  <c r="AO77" i="2"/>
  <c r="AE16" i="3"/>
  <c r="AE16" i="2" s="1"/>
  <c r="AE17" i="2"/>
  <c r="AL14" i="3"/>
  <c r="AL14" i="2" s="1"/>
  <c r="AL15" i="2"/>
  <c r="AM20" i="3"/>
  <c r="AM20" i="2" s="1"/>
  <c r="AM21" i="2"/>
  <c r="U20" i="3"/>
  <c r="U20" i="2" s="1"/>
  <c r="U21" i="2"/>
  <c r="AG76" i="2"/>
  <c r="AO76" i="2"/>
  <c r="G97" i="2"/>
  <c r="X83" i="2"/>
  <c r="AL24" i="2"/>
  <c r="AD76" i="2"/>
  <c r="AR90" i="2"/>
  <c r="F23" i="2"/>
  <c r="AD8" i="2"/>
  <c r="S76" i="2"/>
  <c r="AQ22" i="2"/>
  <c r="S8" i="2"/>
  <c r="AF22" i="2"/>
  <c r="AA9" i="2"/>
  <c r="Z18" i="2"/>
  <c r="Y19" i="2"/>
  <c r="AG14" i="3"/>
  <c r="AG14" i="2" s="1"/>
  <c r="AG15" i="2"/>
  <c r="S75" i="2"/>
  <c r="K87" i="2"/>
  <c r="X82" i="2"/>
  <c r="M75" i="2"/>
  <c r="AS91" i="3"/>
  <c r="AS91" i="2" s="1"/>
  <c r="AS92" i="2"/>
  <c r="Q73" i="3"/>
  <c r="Q74" i="2"/>
  <c r="AN82" i="2"/>
  <c r="AL11" i="3"/>
  <c r="AL11" i="2" s="1"/>
  <c r="AL12" i="2"/>
  <c r="AO11" i="3"/>
  <c r="AO11" i="2" s="1"/>
  <c r="AO12" i="2"/>
  <c r="P13" i="2"/>
  <c r="P18" i="2"/>
  <c r="AQ8" i="2"/>
  <c r="X79" i="2"/>
  <c r="M77" i="2"/>
  <c r="AJ94" i="2"/>
  <c r="I73" i="3"/>
  <c r="I74" i="2"/>
  <c r="AL89" i="2"/>
  <c r="AJ87" i="2"/>
  <c r="AI85" i="3"/>
  <c r="AI85" i="2" s="1"/>
  <c r="AI86" i="2"/>
  <c r="Z95" i="3"/>
  <c r="Z95" i="2" s="1"/>
  <c r="Z96" i="2"/>
  <c r="AB87" i="2"/>
  <c r="AD9" i="2"/>
  <c r="AA16" i="3"/>
  <c r="AA16" i="2" s="1"/>
  <c r="AA17" i="2"/>
  <c r="AF18" i="2"/>
  <c r="AK91" i="3"/>
  <c r="AK91" i="2" s="1"/>
  <c r="AK92" i="2"/>
  <c r="AL76" i="2"/>
  <c r="P85" i="3"/>
  <c r="P85" i="2" s="1"/>
  <c r="P86" i="2"/>
  <c r="AJ24" i="2"/>
  <c r="O82" i="2"/>
  <c r="AD90" i="2"/>
  <c r="AH73" i="3"/>
  <c r="AH74" i="2"/>
  <c r="AI16" i="3"/>
  <c r="AI16" i="2" s="1"/>
  <c r="AI17" i="2"/>
  <c r="G83" i="2"/>
  <c r="U18" i="2"/>
  <c r="S11" i="3"/>
  <c r="S11" i="2" s="1"/>
  <c r="S12" i="2"/>
  <c r="Q20" i="3"/>
  <c r="Q20" i="2" s="1"/>
  <c r="Q21" i="2"/>
  <c r="AS75" i="2"/>
  <c r="F24" i="2"/>
  <c r="AS82" i="2"/>
  <c r="H77" i="2"/>
  <c r="I94" i="2"/>
  <c r="AK11" i="3"/>
  <c r="AK11" i="2" s="1"/>
  <c r="AK12" i="2"/>
  <c r="U16" i="3"/>
  <c r="U16" i="2" s="1"/>
  <c r="U17" i="2"/>
  <c r="AR93" i="2"/>
  <c r="AA98" i="2"/>
  <c r="AF80" i="3"/>
  <c r="AF80" i="2" s="1"/>
  <c r="AF81" i="2"/>
  <c r="AC90" i="2"/>
  <c r="I82" i="2"/>
  <c r="I88" i="2"/>
  <c r="Q14" i="3"/>
  <c r="Q14" i="2" s="1"/>
  <c r="Q15" i="2"/>
  <c r="J91" i="3"/>
  <c r="J91" i="2" s="1"/>
  <c r="J92" i="2"/>
  <c r="V97" i="2"/>
  <c r="AR98" i="2"/>
  <c r="T75" i="2"/>
  <c r="AJ85" i="3"/>
  <c r="AJ85" i="2" s="1"/>
  <c r="AJ86" i="2"/>
  <c r="AN97" i="2"/>
  <c r="P8" i="2"/>
  <c r="Z14" i="3"/>
  <c r="Z14" i="2" s="1"/>
  <c r="Z15" i="2"/>
  <c r="AJ18" i="2"/>
  <c r="W77" i="2"/>
  <c r="AB78" i="2"/>
  <c r="T82" i="2"/>
  <c r="AS85" i="3"/>
  <c r="AS85" i="2" s="1"/>
  <c r="AS86" i="2"/>
  <c r="K23" i="2"/>
  <c r="J97" i="2"/>
  <c r="S22" i="2"/>
  <c r="O8" i="2"/>
  <c r="O87" i="2"/>
  <c r="L24" i="2"/>
  <c r="P19" i="2"/>
  <c r="Y18" i="2"/>
  <c r="AS14" i="3"/>
  <c r="AS14" i="2" s="1"/>
  <c r="AS15" i="2"/>
  <c r="AM80" i="3"/>
  <c r="AM80" i="2" s="1"/>
  <c r="AM81" i="2"/>
  <c r="AQ98" i="2"/>
  <c r="AH80" i="3"/>
  <c r="AH80" i="2" s="1"/>
  <c r="AH81" i="2"/>
  <c r="AC19" i="2"/>
  <c r="S6" i="3"/>
  <c r="S7" i="2"/>
  <c r="W9" i="2"/>
  <c r="W13" i="2"/>
  <c r="AN94" i="2"/>
  <c r="R88" i="2"/>
  <c r="T14" i="3"/>
  <c r="T14" i="2" s="1"/>
  <c r="T15" i="2"/>
  <c r="M19" i="2"/>
  <c r="AF82" i="2"/>
  <c r="AQ14" i="3"/>
  <c r="AQ14" i="2" s="1"/>
  <c r="AQ15" i="2"/>
  <c r="U19" i="2"/>
  <c r="AE94" i="2"/>
  <c r="AQ82" i="2"/>
  <c r="AH83" i="2"/>
  <c r="F75" i="2"/>
  <c r="P91" i="3"/>
  <c r="P91" i="2" s="1"/>
  <c r="P92" i="2"/>
  <c r="AA24" i="2"/>
  <c r="AL6" i="3"/>
  <c r="AL7" i="2"/>
  <c r="AS8" i="2"/>
  <c r="K78" i="2"/>
  <c r="AP85" i="3"/>
  <c r="AP85" i="2" s="1"/>
  <c r="AP86" i="2"/>
  <c r="AC97" i="2"/>
  <c r="AM22" i="2"/>
  <c r="I13" i="2"/>
  <c r="AS90" i="2"/>
  <c r="AI13" i="2"/>
  <c r="U90" i="2"/>
  <c r="AI98" i="2"/>
  <c r="F6" i="3"/>
  <c r="F7" i="2"/>
  <c r="AF73" i="3"/>
  <c r="AF74" i="2"/>
  <c r="T18" i="2"/>
  <c r="AM9" i="2"/>
  <c r="AI23" i="2"/>
  <c r="AB20" i="3"/>
  <c r="AB20" i="2" s="1"/>
  <c r="AB21" i="2"/>
  <c r="AG11" i="3"/>
  <c r="AG11" i="2" s="1"/>
  <c r="AG12" i="2"/>
  <c r="AN13" i="2"/>
  <c r="AJ20" i="3"/>
  <c r="AJ20" i="2" s="1"/>
  <c r="AJ21" i="2"/>
  <c r="AM6" i="3"/>
  <c r="AM7" i="2"/>
  <c r="AD93" i="2"/>
  <c r="W94" i="2"/>
  <c r="V77" i="2"/>
  <c r="AP80" i="3"/>
  <c r="AP80" i="2" s="1"/>
  <c r="AP81" i="2"/>
  <c r="U73" i="3"/>
  <c r="U74" i="2"/>
  <c r="X94" i="2"/>
  <c r="AC94" i="2"/>
  <c r="AA13" i="2"/>
  <c r="J14" i="3"/>
  <c r="J14" i="2" s="1"/>
  <c r="J15" i="2"/>
  <c r="AQ16" i="3"/>
  <c r="AQ16" i="2" s="1"/>
  <c r="AQ17" i="2"/>
  <c r="Q10" i="2"/>
  <c r="AR79" i="2"/>
  <c r="AH14" i="3"/>
  <c r="AH14" i="2" s="1"/>
  <c r="AH15" i="2"/>
  <c r="G19" i="2"/>
  <c r="AR13" i="2"/>
  <c r="AB97" i="2"/>
  <c r="T80" i="3"/>
  <c r="T80" i="2" s="1"/>
  <c r="T81" i="2"/>
  <c r="AD95" i="3"/>
  <c r="AD95" i="2" s="1"/>
  <c r="AD96" i="2"/>
  <c r="AG89" i="2"/>
  <c r="R24" i="2"/>
  <c r="F82" i="2"/>
  <c r="AI20" i="3"/>
  <c r="AI20" i="2" s="1"/>
  <c r="AI21" i="2"/>
  <c r="L13" i="2"/>
  <c r="AC22" i="2"/>
  <c r="AR19" i="2"/>
  <c r="W8" i="2"/>
  <c r="G80" i="3"/>
  <c r="G80" i="2" s="1"/>
  <c r="G81" i="2"/>
  <c r="U8" i="2"/>
  <c r="M23" i="2"/>
  <c r="AM78" i="2"/>
  <c r="AM89" i="2"/>
  <c r="AE90" i="2"/>
  <c r="V98" i="2"/>
  <c r="AH82" i="2"/>
  <c r="I90" i="2"/>
  <c r="AS80" i="3"/>
  <c r="AS80" i="2" s="1"/>
  <c r="AS81" i="2"/>
  <c r="AN24" i="2"/>
  <c r="AQ11" i="3"/>
  <c r="AQ11" i="2" s="1"/>
  <c r="AQ12" i="2"/>
  <c r="Q8" i="2"/>
  <c r="AN9" i="2"/>
  <c r="AK10" i="2"/>
  <c r="AH16" i="3"/>
  <c r="AH16" i="2" s="1"/>
  <c r="AH17" i="2"/>
  <c r="H23" i="2"/>
  <c r="AC6" i="3"/>
  <c r="AC7" i="2"/>
  <c r="X20" i="3"/>
  <c r="X20" i="2" s="1"/>
  <c r="X21" i="2"/>
  <c r="AG82" i="2"/>
  <c r="AJ75" i="2"/>
  <c r="AS76" i="2"/>
  <c r="U87" i="2"/>
  <c r="W73" i="3"/>
  <c r="W74" i="2"/>
  <c r="AL90" i="2"/>
  <c r="AC87" i="2"/>
  <c r="Q79" i="2"/>
  <c r="O85" i="3"/>
  <c r="O85" i="2" s="1"/>
  <c r="O86" i="2"/>
  <c r="P88" i="2"/>
  <c r="F85" i="3"/>
  <c r="F85" i="2" s="1"/>
  <c r="F86" i="2"/>
  <c r="F88" i="2"/>
  <c r="L19" i="2"/>
  <c r="S23" i="2"/>
  <c r="AE9" i="2"/>
  <c r="AF19" i="2"/>
  <c r="AL19" i="2"/>
  <c r="T22" i="2"/>
  <c r="X10" i="2"/>
  <c r="M16" i="3"/>
  <c r="M16" i="2" s="1"/>
  <c r="M17" i="2"/>
  <c r="K91" i="3"/>
  <c r="K91" i="2" s="1"/>
  <c r="K92" i="2"/>
  <c r="AP97" i="2"/>
  <c r="J77" i="2"/>
  <c r="AE88" i="2"/>
  <c r="AM76" i="2"/>
  <c r="AS93" i="2"/>
  <c r="Z87" i="2"/>
  <c r="AS83" i="2"/>
  <c r="AL73" i="3"/>
  <c r="AL74" i="2"/>
  <c r="AF88" i="2"/>
  <c r="AO91" i="3"/>
  <c r="AO91" i="2" s="1"/>
  <c r="AO92" i="2"/>
  <c r="F18" i="2"/>
  <c r="F83" i="2"/>
  <c r="AI24" i="2"/>
  <c r="Q11" i="3"/>
  <c r="Q11" i="2" s="1"/>
  <c r="Q12" i="2"/>
  <c r="AB22" i="2"/>
  <c r="AI8" i="2"/>
  <c r="V14" i="3"/>
  <c r="V14" i="2" s="1"/>
  <c r="V15" i="2"/>
  <c r="AE20" i="3"/>
  <c r="AE20" i="2" s="1"/>
  <c r="AE21" i="2"/>
  <c r="AE14" i="3"/>
  <c r="AE14" i="2" s="1"/>
  <c r="AE15" i="2"/>
  <c r="H16" i="3"/>
  <c r="H16" i="2" s="1"/>
  <c r="H17" i="2"/>
  <c r="M11" i="3"/>
  <c r="M11" i="2" s="1"/>
  <c r="M12" i="2"/>
  <c r="AM18" i="2"/>
  <c r="T94" i="2"/>
  <c r="AC93" i="2"/>
  <c r="U85" i="3"/>
  <c r="U85" i="2" s="1"/>
  <c r="U86" i="2"/>
  <c r="K97" i="2"/>
  <c r="AL82" i="2"/>
  <c r="Q89" i="2"/>
  <c r="O16" i="3"/>
  <c r="O16" i="2" s="1"/>
  <c r="O17" i="2"/>
  <c r="AC18" i="2"/>
  <c r="AS9" i="2"/>
  <c r="AS19" i="2"/>
  <c r="AB23" i="2"/>
  <c r="AQ23" i="2"/>
  <c r="AC10" i="2"/>
  <c r="I14" i="3"/>
  <c r="I14" i="2" s="1"/>
  <c r="I15" i="2"/>
  <c r="AR9" i="2"/>
  <c r="AO22" i="2"/>
  <c r="AE6" i="3"/>
  <c r="AE7" i="2"/>
  <c r="S77" i="2"/>
  <c r="K98" i="2"/>
  <c r="AP76" i="2"/>
  <c r="L73" i="3"/>
  <c r="L74" i="2"/>
  <c r="U75" i="2"/>
  <c r="W79" i="2"/>
  <c r="AD73" i="3"/>
  <c r="AD74" i="2"/>
  <c r="R95" i="3"/>
  <c r="R95" i="2" s="1"/>
  <c r="R96" i="2"/>
  <c r="Y83" i="2"/>
  <c r="I97" i="2"/>
  <c r="AL78" i="2"/>
  <c r="N24" i="2"/>
  <c r="AE78" i="2"/>
  <c r="Z76" i="2"/>
  <c r="AE89" i="2"/>
  <c r="N79" i="2"/>
  <c r="R93" i="2"/>
  <c r="AF90" i="2"/>
  <c r="W85" i="3"/>
  <c r="W85" i="2" s="1"/>
  <c r="W86" i="2"/>
  <c r="AA95" i="3"/>
  <c r="AA95" i="2" s="1"/>
  <c r="AA96" i="2"/>
  <c r="AP90" i="2"/>
  <c r="AM16" i="3"/>
  <c r="AM16" i="2" s="1"/>
  <c r="AM17" i="2"/>
  <c r="G79" i="2"/>
  <c r="Y87" i="2"/>
  <c r="S97" i="2"/>
  <c r="AC82" i="2"/>
  <c r="Z88" i="2"/>
  <c r="AQ24" i="2"/>
  <c r="AL95" i="3"/>
  <c r="AL95" i="2" s="1"/>
  <c r="AL96" i="2"/>
  <c r="O77" i="2"/>
  <c r="K79" i="2"/>
  <c r="S91" i="3"/>
  <c r="S91" i="2" s="1"/>
  <c r="S92" i="2"/>
  <c r="AM93" i="2"/>
  <c r="F98" i="2"/>
  <c r="Q90" i="2"/>
  <c r="Q75" i="2"/>
  <c r="AN91" i="3"/>
  <c r="AN91" i="2" s="1"/>
  <c r="AN92" i="2"/>
  <c r="AS95" i="3"/>
  <c r="AS95" i="2" s="1"/>
  <c r="AS96" i="2"/>
  <c r="F10" i="2"/>
  <c r="K77" i="2"/>
  <c r="O97" i="2"/>
  <c r="X73" i="3"/>
  <c r="X74" i="2"/>
  <c r="W91" i="3"/>
  <c r="W91" i="2" s="1"/>
  <c r="W92" i="2"/>
  <c r="J18" i="2"/>
  <c r="AJ77" i="2"/>
  <c r="AP18" i="2"/>
  <c r="F90" i="2"/>
  <c r="AB24" i="2"/>
  <c r="W10" i="2"/>
  <c r="AQ25" i="3"/>
  <c r="AQ25" i="2" s="1"/>
  <c r="AQ26" i="2"/>
  <c r="AJ139" i="3"/>
  <c r="AJ139" i="2" s="1"/>
  <c r="AJ140" i="2"/>
  <c r="Z39" i="3"/>
  <c r="Z39" i="2" s="1"/>
  <c r="Z40" i="2"/>
  <c r="AR25" i="3"/>
  <c r="AR25" i="2" s="1"/>
  <c r="AR26" i="2"/>
  <c r="G25" i="3"/>
  <c r="G25" i="2" s="1"/>
  <c r="G26" i="2"/>
  <c r="X25" i="3"/>
  <c r="X25" i="2" s="1"/>
  <c r="X26" i="2"/>
  <c r="AQ120" i="3"/>
  <c r="AQ120" i="2" s="1"/>
  <c r="AQ121" i="2"/>
  <c r="AN139" i="3"/>
  <c r="AN139" i="2" s="1"/>
  <c r="AN140" i="2"/>
  <c r="Q99" i="3"/>
  <c r="Q99" i="2" s="1"/>
  <c r="Q100" i="2"/>
  <c r="AS99" i="3"/>
  <c r="AS99" i="2" s="1"/>
  <c r="AS100" i="2"/>
  <c r="Y99" i="3"/>
  <c r="Y99" i="2" s="1"/>
  <c r="Y100" i="2"/>
  <c r="Y120" i="3"/>
  <c r="Y120" i="2" s="1"/>
  <c r="Y121" i="2"/>
  <c r="AL120" i="3"/>
  <c r="AL120" i="2" s="1"/>
  <c r="AL121" i="2"/>
  <c r="AH139" i="3"/>
  <c r="AH139" i="2" s="1"/>
  <c r="AH140" i="2"/>
  <c r="Z99" i="3"/>
  <c r="Z99" i="2" s="1"/>
  <c r="Z100" i="2"/>
  <c r="W25" i="3"/>
  <c r="W25" i="2" s="1"/>
  <c r="W26" i="2"/>
  <c r="G139" i="3"/>
  <c r="G139" i="2" s="1"/>
  <c r="G140" i="2"/>
  <c r="L120" i="3"/>
  <c r="L120" i="2" s="1"/>
  <c r="L121" i="2"/>
  <c r="M52" i="3"/>
  <c r="M52" i="2" s="1"/>
  <c r="M53" i="2"/>
  <c r="AF52" i="3"/>
  <c r="AF52" i="2" s="1"/>
  <c r="AF53" i="2"/>
  <c r="T139" i="3"/>
  <c r="T139" i="2" s="1"/>
  <c r="T140" i="2"/>
  <c r="AQ219" i="2"/>
  <c r="K219" i="2"/>
  <c r="Y52" i="3"/>
  <c r="Y52" i="2" s="1"/>
  <c r="Y53" i="2"/>
  <c r="V39" i="3"/>
  <c r="V39" i="2" s="1"/>
  <c r="V40" i="2"/>
  <c r="R99" i="3"/>
  <c r="R99" i="2" s="1"/>
  <c r="R100" i="2"/>
  <c r="AB219" i="2"/>
  <c r="AO25" i="3"/>
  <c r="AO25" i="2" s="1"/>
  <c r="AO26" i="2"/>
  <c r="S139" i="3"/>
  <c r="S139" i="2" s="1"/>
  <c r="S140" i="2"/>
  <c r="AM120" i="3"/>
  <c r="AM120" i="2" s="1"/>
  <c r="AM121" i="2"/>
  <c r="AC99" i="3"/>
  <c r="AC99" i="2" s="1"/>
  <c r="AC100" i="2"/>
  <c r="J120" i="3"/>
  <c r="J120" i="2" s="1"/>
  <c r="J121" i="2"/>
  <c r="N52" i="3"/>
  <c r="N52" i="2" s="1"/>
  <c r="N53" i="2"/>
  <c r="X219" i="2"/>
  <c r="AD25" i="3"/>
  <c r="AD25" i="2" s="1"/>
  <c r="AD26" i="2"/>
  <c r="N120" i="3"/>
  <c r="N120" i="2" s="1"/>
  <c r="N121" i="2"/>
  <c r="AE99" i="3"/>
  <c r="AE99" i="2" s="1"/>
  <c r="AE100" i="2"/>
  <c r="AH219" i="2"/>
  <c r="AA219" i="2"/>
  <c r="AC25" i="3"/>
  <c r="AC25" i="2" s="1"/>
  <c r="AC26" i="2"/>
  <c r="Y219" i="2"/>
  <c r="S219" i="2"/>
  <c r="AG25" i="3"/>
  <c r="AG25" i="2" s="1"/>
  <c r="AG26" i="2"/>
  <c r="Q219" i="2"/>
  <c r="T39" i="3"/>
  <c r="T39" i="2" s="1"/>
  <c r="T40" i="2"/>
  <c r="N139" i="3"/>
  <c r="N139" i="2" s="1"/>
  <c r="N140" i="2"/>
  <c r="K120" i="3"/>
  <c r="K120" i="2" s="1"/>
  <c r="K121" i="2"/>
  <c r="AB52" i="3"/>
  <c r="AB52" i="2" s="1"/>
  <c r="AB53" i="2"/>
  <c r="K139" i="3"/>
  <c r="K139" i="2" s="1"/>
  <c r="K140" i="2"/>
  <c r="AM139" i="3"/>
  <c r="AM139" i="2" s="1"/>
  <c r="AM140" i="2"/>
  <c r="AR39" i="3"/>
  <c r="AR39" i="2" s="1"/>
  <c r="AR40" i="2"/>
  <c r="AL219" i="2"/>
  <c r="U25" i="3"/>
  <c r="U25" i="2" s="1"/>
  <c r="U26" i="2"/>
  <c r="AO219" i="2"/>
  <c r="AI139" i="3"/>
  <c r="AI139" i="2" s="1"/>
  <c r="AI140" i="2"/>
  <c r="F25" i="3"/>
  <c r="F25" i="2" s="1"/>
  <c r="F26" i="2"/>
  <c r="AP120" i="3"/>
  <c r="AP120" i="2" s="1"/>
  <c r="AP121" i="2"/>
  <c r="M99" i="3"/>
  <c r="M99" i="2" s="1"/>
  <c r="M100" i="2"/>
  <c r="AH52" i="3"/>
  <c r="AH52" i="2" s="1"/>
  <c r="AH53" i="2"/>
  <c r="X120" i="3"/>
  <c r="X120" i="2" s="1"/>
  <c r="X121" i="2"/>
  <c r="AK99" i="3"/>
  <c r="AK99" i="2" s="1"/>
  <c r="AK100" i="2"/>
  <c r="Q39" i="3"/>
  <c r="Q39" i="2" s="1"/>
  <c r="Q40" i="2"/>
  <c r="H39" i="3"/>
  <c r="H39" i="2" s="1"/>
  <c r="H40" i="2"/>
  <c r="AJ99" i="3"/>
  <c r="AJ99" i="2" s="1"/>
  <c r="AJ100" i="2"/>
  <c r="R120" i="3"/>
  <c r="R120" i="2" s="1"/>
  <c r="R121" i="2"/>
  <c r="AR139" i="3"/>
  <c r="AR139" i="2" s="1"/>
  <c r="AR140" i="2"/>
  <c r="AS120" i="3"/>
  <c r="AS120" i="2" s="1"/>
  <c r="AS121" i="2"/>
  <c r="G219" i="2"/>
  <c r="AB99" i="3"/>
  <c r="AB99" i="2" s="1"/>
  <c r="AB100" i="2"/>
  <c r="AB139" i="3"/>
  <c r="AB139" i="2" s="1"/>
  <c r="AB140" i="2"/>
  <c r="AE219" i="2"/>
  <c r="K52" i="3"/>
  <c r="K52" i="2" s="1"/>
  <c r="K53" i="2"/>
  <c r="W39" i="3"/>
  <c r="W39" i="2" s="1"/>
  <c r="W40" i="2"/>
  <c r="H52" i="3"/>
  <c r="H52" i="2" s="1"/>
  <c r="H53" i="2"/>
  <c r="M219" i="2"/>
  <c r="AN99" i="3"/>
  <c r="AN99" i="2" s="1"/>
  <c r="AN100" i="2"/>
  <c r="S52" i="3"/>
  <c r="S52" i="2" s="1"/>
  <c r="S53" i="2"/>
  <c r="J52" i="3"/>
  <c r="J52" i="2" s="1"/>
  <c r="J53" i="2"/>
  <c r="I25" i="3"/>
  <c r="I25" i="2" s="1"/>
  <c r="I26" i="2"/>
  <c r="X99" i="3"/>
  <c r="X99" i="2" s="1"/>
  <c r="X100" i="2"/>
  <c r="Y139" i="3"/>
  <c r="Y139" i="2" s="1"/>
  <c r="Y140" i="2"/>
  <c r="AK120" i="3"/>
  <c r="AK120" i="2" s="1"/>
  <c r="AK121" i="2"/>
  <c r="P25" i="3"/>
  <c r="P25" i="2" s="1"/>
  <c r="P26" i="2"/>
  <c r="AG219" i="2"/>
  <c r="AI39" i="3"/>
  <c r="AI39" i="2" s="1"/>
  <c r="AI40" i="2"/>
  <c r="W120" i="3"/>
  <c r="W120" i="2" s="1"/>
  <c r="W121" i="2"/>
  <c r="W52" i="3"/>
  <c r="W52" i="2" s="1"/>
  <c r="W53" i="2"/>
  <c r="AG52" i="3"/>
  <c r="AG52" i="2" s="1"/>
  <c r="AG53" i="2"/>
  <c r="AK39" i="3"/>
  <c r="AK39" i="2" s="1"/>
  <c r="AK40" i="2"/>
  <c r="O25" i="3"/>
  <c r="O25" i="2" s="1"/>
  <c r="O26" i="2"/>
  <c r="AA139" i="3"/>
  <c r="AA139" i="2" s="1"/>
  <c r="AA140" i="2"/>
  <c r="I52" i="3"/>
  <c r="I52" i="2" s="1"/>
  <c r="I53" i="2"/>
  <c r="S39" i="3"/>
  <c r="S39" i="2" s="1"/>
  <c r="S40" i="2"/>
  <c r="AM39" i="3"/>
  <c r="AM39" i="2" s="1"/>
  <c r="AM40" i="2"/>
  <c r="R52" i="3"/>
  <c r="R52" i="2" s="1"/>
  <c r="R53" i="2"/>
  <c r="T219" i="2"/>
  <c r="AS52" i="3"/>
  <c r="AS52" i="2" s="1"/>
  <c r="AS53" i="2"/>
  <c r="AJ52" i="3"/>
  <c r="AJ52" i="2" s="1"/>
  <c r="AJ53" i="2"/>
  <c r="Q52" i="3"/>
  <c r="Q52" i="2" s="1"/>
  <c r="Q53" i="2"/>
  <c r="O219" i="2"/>
  <c r="AO120" i="3"/>
  <c r="AO120" i="2" s="1"/>
  <c r="AO121" i="2"/>
  <c r="AS139" i="3"/>
  <c r="AS139" i="2" s="1"/>
  <c r="AS140" i="2"/>
  <c r="M139" i="3"/>
  <c r="M139" i="2" s="1"/>
  <c r="M140" i="2"/>
  <c r="F39" i="3"/>
  <c r="F39" i="2" s="1"/>
  <c r="F40" i="2"/>
  <c r="O39" i="3"/>
  <c r="O39" i="2" s="1"/>
  <c r="O40" i="2"/>
  <c r="I99" i="3"/>
  <c r="I99" i="2" s="1"/>
  <c r="I100" i="2"/>
  <c r="AE139" i="3"/>
  <c r="AE139" i="2" s="1"/>
  <c r="AE140" i="2"/>
  <c r="AF99" i="3"/>
  <c r="AF99" i="2" s="1"/>
  <c r="AF100" i="2"/>
  <c r="K25" i="3"/>
  <c r="K25" i="2" s="1"/>
  <c r="K26" i="2"/>
  <c r="AG39" i="3"/>
  <c r="AG39" i="2" s="1"/>
  <c r="AG40" i="2"/>
  <c r="S25" i="3"/>
  <c r="S25" i="2" s="1"/>
  <c r="S26" i="2"/>
  <c r="AG120" i="3"/>
  <c r="AG120" i="2" s="1"/>
  <c r="AG121" i="2"/>
  <c r="T120" i="3"/>
  <c r="T120" i="2" s="1"/>
  <c r="T121" i="2"/>
  <c r="AA52" i="3"/>
  <c r="AA52" i="2" s="1"/>
  <c r="AA53" i="2"/>
  <c r="AF25" i="3"/>
  <c r="AF25" i="2" s="1"/>
  <c r="AF26" i="2"/>
  <c r="R139" i="3"/>
  <c r="R139" i="2" s="1"/>
  <c r="R140" i="2"/>
  <c r="G120" i="3"/>
  <c r="G120" i="2" s="1"/>
  <c r="G121" i="2"/>
  <c r="U52" i="3"/>
  <c r="U52" i="2" s="1"/>
  <c r="U53" i="2"/>
  <c r="N219" i="2"/>
  <c r="AQ139" i="3"/>
  <c r="AQ139" i="2" s="1"/>
  <c r="AQ140" i="2"/>
  <c r="V219" i="2"/>
  <c r="AD219" i="2"/>
  <c r="F52" i="3"/>
  <c r="F52" i="2" s="1"/>
  <c r="F53" i="2"/>
  <c r="AO52" i="3"/>
  <c r="AO52" i="2" s="1"/>
  <c r="AO53" i="2"/>
  <c r="H25" i="3"/>
  <c r="H25" i="2" s="1"/>
  <c r="H26" i="2"/>
  <c r="AP52" i="3"/>
  <c r="AP52" i="2" s="1"/>
  <c r="AP53" i="2"/>
  <c r="J99" i="3"/>
  <c r="J99" i="2" s="1"/>
  <c r="J100" i="2"/>
  <c r="AB25" i="3"/>
  <c r="AB25" i="2" s="1"/>
  <c r="AB26" i="2"/>
  <c r="AL52" i="3"/>
  <c r="AL52" i="2" s="1"/>
  <c r="AL53" i="2"/>
  <c r="N99" i="3"/>
  <c r="N99" i="2" s="1"/>
  <c r="N100" i="2"/>
  <c r="AQ52" i="3"/>
  <c r="AQ52" i="2" s="1"/>
  <c r="AQ53" i="2"/>
  <c r="AD39" i="3"/>
  <c r="AD39" i="2" s="1"/>
  <c r="AD40" i="2"/>
  <c r="AN120" i="3"/>
  <c r="AN120" i="2" s="1"/>
  <c r="AN121" i="2"/>
  <c r="F139" i="3"/>
  <c r="F139" i="2" s="1"/>
  <c r="F140" i="2"/>
  <c r="P52" i="3"/>
  <c r="P52" i="2" s="1"/>
  <c r="P53" i="2"/>
  <c r="AL25" i="3"/>
  <c r="AL25" i="2" s="1"/>
  <c r="AL26" i="2"/>
  <c r="I139" i="3"/>
  <c r="I139" i="2" s="1"/>
  <c r="I140" i="2"/>
  <c r="AS219" i="2"/>
  <c r="AM52" i="3"/>
  <c r="AM52" i="2" s="1"/>
  <c r="AM53" i="2"/>
  <c r="AE120" i="3"/>
  <c r="AE120" i="2" s="1"/>
  <c r="AE121" i="2"/>
  <c r="AA25" i="3"/>
  <c r="AA25" i="2" s="1"/>
  <c r="AA26" i="2"/>
  <c r="AP219" i="2"/>
  <c r="AF139" i="3"/>
  <c r="AF139" i="2" s="1"/>
  <c r="AF140" i="2"/>
  <c r="P139" i="3"/>
  <c r="P139" i="2" s="1"/>
  <c r="P140" i="2"/>
  <c r="I120" i="3"/>
  <c r="I120" i="2" s="1"/>
  <c r="I121" i="2"/>
  <c r="AB120" i="3"/>
  <c r="AB120" i="2" s="1"/>
  <c r="AB121" i="2"/>
  <c r="U139" i="3"/>
  <c r="U139" i="2" s="1"/>
  <c r="U140" i="2"/>
  <c r="L99" i="3"/>
  <c r="L99" i="2" s="1"/>
  <c r="L100" i="2"/>
  <c r="AE25" i="3"/>
  <c r="AE25" i="2" s="1"/>
  <c r="AE26" i="2"/>
  <c r="N25" i="3"/>
  <c r="N25" i="2" s="1"/>
  <c r="N26" i="2"/>
  <c r="AM25" i="3"/>
  <c r="AM25" i="2" s="1"/>
  <c r="AM26" i="2"/>
  <c r="H99" i="3"/>
  <c r="H99" i="2" s="1"/>
  <c r="H100" i="2"/>
  <c r="AK139" i="3"/>
  <c r="AK139" i="2" s="1"/>
  <c r="AK140" i="2"/>
  <c r="AP139" i="3"/>
  <c r="AP139" i="2" s="1"/>
  <c r="AP140" i="2"/>
  <c r="U219" i="2"/>
  <c r="F219" i="2"/>
  <c r="Z52" i="3"/>
  <c r="Z52" i="2" s="1"/>
  <c r="Z53" i="2"/>
  <c r="G99" i="3"/>
  <c r="G99" i="2" s="1"/>
  <c r="G100" i="2"/>
  <c r="L219" i="2"/>
  <c r="AP99" i="3"/>
  <c r="AP99" i="2" s="1"/>
  <c r="AP100" i="2"/>
  <c r="AM99" i="3"/>
  <c r="AM99" i="2" s="1"/>
  <c r="AM100" i="2"/>
  <c r="O120" i="3"/>
  <c r="O120" i="2" s="1"/>
  <c r="O121" i="2"/>
  <c r="AN219" i="2"/>
  <c r="X39" i="3"/>
  <c r="X39" i="2" s="1"/>
  <c r="X40" i="2"/>
  <c r="T99" i="3"/>
  <c r="T99" i="2" s="1"/>
  <c r="T100" i="2"/>
  <c r="L39" i="3"/>
  <c r="L39" i="2" s="1"/>
  <c r="L40" i="2"/>
  <c r="R25" i="3"/>
  <c r="R25" i="2" s="1"/>
  <c r="R26" i="2"/>
  <c r="U120" i="3"/>
  <c r="U120" i="2" s="1"/>
  <c r="U121" i="2"/>
  <c r="N39" i="3"/>
  <c r="N39" i="2" s="1"/>
  <c r="N40" i="2"/>
  <c r="AC120" i="3"/>
  <c r="AC120" i="2" s="1"/>
  <c r="AC121" i="2"/>
  <c r="AK25" i="3"/>
  <c r="AK25" i="2" s="1"/>
  <c r="AK26" i="2"/>
  <c r="AR52" i="3"/>
  <c r="AR52" i="2" s="1"/>
  <c r="AR53" i="2"/>
  <c r="AH120" i="3"/>
  <c r="AH120" i="2" s="1"/>
  <c r="AH121" i="2"/>
  <c r="V120" i="3"/>
  <c r="V120" i="2" s="1"/>
  <c r="V121" i="2"/>
  <c r="V52" i="3"/>
  <c r="V52" i="2" s="1"/>
  <c r="V53" i="2"/>
  <c r="AJ219" i="2"/>
  <c r="AJ39" i="3"/>
  <c r="AJ39" i="2" s="1"/>
  <c r="AJ40" i="2"/>
  <c r="AD52" i="3"/>
  <c r="AD52" i="2" s="1"/>
  <c r="AD53" i="2"/>
  <c r="Y39" i="3"/>
  <c r="Y39" i="2" s="1"/>
  <c r="Y40" i="2"/>
  <c r="J139" i="3"/>
  <c r="J139" i="2" s="1"/>
  <c r="J140" i="2"/>
  <c r="AO99" i="3"/>
  <c r="AO99" i="2" s="1"/>
  <c r="AO100" i="2"/>
  <c r="AC219" i="2"/>
  <c r="AQ39" i="3"/>
  <c r="AQ39" i="2" s="1"/>
  <c r="AQ40" i="2"/>
  <c r="AA99" i="3"/>
  <c r="AA99" i="2" s="1"/>
  <c r="AA100" i="2"/>
  <c r="J219" i="2"/>
  <c r="J39" i="3"/>
  <c r="J39" i="2" s="1"/>
  <c r="J40" i="2"/>
  <c r="AN39" i="3"/>
  <c r="AN39" i="2" s="1"/>
  <c r="AN40" i="2"/>
  <c r="AF39" i="3"/>
  <c r="AF39" i="2" s="1"/>
  <c r="AF40" i="2"/>
  <c r="M39" i="3"/>
  <c r="M39" i="2" s="1"/>
  <c r="M40" i="2"/>
  <c r="L25" i="3"/>
  <c r="L25" i="2" s="1"/>
  <c r="L26" i="2"/>
  <c r="AQ99" i="3"/>
  <c r="AQ99" i="2" s="1"/>
  <c r="AQ100" i="2"/>
  <c r="AC39" i="3"/>
  <c r="AC39" i="2" s="1"/>
  <c r="AC40" i="2"/>
  <c r="AP39" i="3"/>
  <c r="AP39" i="2" s="1"/>
  <c r="AP40" i="2"/>
  <c r="U99" i="3"/>
  <c r="U99" i="2" s="1"/>
  <c r="U100" i="2"/>
  <c r="AO139" i="3"/>
  <c r="AO139" i="2" s="1"/>
  <c r="AO140" i="2"/>
  <c r="F120" i="3"/>
  <c r="F120" i="2" s="1"/>
  <c r="F121" i="2"/>
  <c r="T52" i="3"/>
  <c r="T52" i="2" s="1"/>
  <c r="T53" i="2"/>
  <c r="J25" i="3"/>
  <c r="J25" i="2" s="1"/>
  <c r="J26" i="2"/>
  <c r="AK219" i="2"/>
  <c r="Q139" i="3"/>
  <c r="Q139" i="2" s="1"/>
  <c r="Q140" i="2"/>
  <c r="U39" i="3"/>
  <c r="U39" i="2" s="1"/>
  <c r="U40" i="2"/>
  <c r="AI25" i="3"/>
  <c r="AI25" i="2" s="1"/>
  <c r="AI26" i="2"/>
  <c r="AA120" i="3"/>
  <c r="AA120" i="2" s="1"/>
  <c r="AA121" i="2"/>
  <c r="Q120" i="3"/>
  <c r="Q120" i="2" s="1"/>
  <c r="Q121" i="2"/>
  <c r="L139" i="3"/>
  <c r="L139" i="2" s="1"/>
  <c r="L140" i="2"/>
  <c r="AR120" i="3"/>
  <c r="AR120" i="2" s="1"/>
  <c r="AR121" i="2"/>
  <c r="AI219" i="2"/>
  <c r="V139" i="3"/>
  <c r="V139" i="2" s="1"/>
  <c r="V140" i="2"/>
  <c r="AO39" i="3"/>
  <c r="AO39" i="2" s="1"/>
  <c r="AO40" i="2"/>
  <c r="Q25" i="3"/>
  <c r="Q25" i="2" s="1"/>
  <c r="Q26" i="2"/>
  <c r="AL139" i="3"/>
  <c r="AL139" i="2" s="1"/>
  <c r="AL140" i="2"/>
  <c r="H120" i="3"/>
  <c r="H120" i="2" s="1"/>
  <c r="H121" i="2"/>
  <c r="P120" i="3"/>
  <c r="P120" i="2" s="1"/>
  <c r="P121" i="2"/>
  <c r="AB39" i="3"/>
  <c r="AB39" i="2" s="1"/>
  <c r="AB40" i="2"/>
  <c r="M25" i="3"/>
  <c r="M25" i="2" s="1"/>
  <c r="M26" i="2"/>
  <c r="AG139" i="3"/>
  <c r="AG139" i="2" s="1"/>
  <c r="AG140" i="2"/>
  <c r="M120" i="3"/>
  <c r="M120" i="2" s="1"/>
  <c r="M121" i="2"/>
  <c r="S120" i="3"/>
  <c r="S120" i="2" s="1"/>
  <c r="S121" i="2"/>
  <c r="Z25" i="3"/>
  <c r="Z25" i="2" s="1"/>
  <c r="Z26" i="2"/>
  <c r="AS39" i="3"/>
  <c r="AS39" i="2" s="1"/>
  <c r="AS40" i="2"/>
  <c r="AD99" i="3"/>
  <c r="AD99" i="2" s="1"/>
  <c r="AD100" i="2"/>
  <c r="AJ120" i="3"/>
  <c r="AJ120" i="2" s="1"/>
  <c r="AJ121" i="2"/>
  <c r="Z219" i="2"/>
  <c r="W139" i="3"/>
  <c r="W139" i="2" s="1"/>
  <c r="W140" i="2"/>
  <c r="R219" i="2"/>
  <c r="AL99" i="3"/>
  <c r="AL99" i="2" s="1"/>
  <c r="AL100" i="2"/>
  <c r="AD139" i="3"/>
  <c r="AD139" i="2" s="1"/>
  <c r="AD140" i="2"/>
  <c r="AS25" i="3"/>
  <c r="AS25" i="2" s="1"/>
  <c r="AS26" i="2"/>
  <c r="H139" i="3"/>
  <c r="H139" i="2" s="1"/>
  <c r="H140" i="2"/>
  <c r="H219" i="2"/>
  <c r="AR99" i="3"/>
  <c r="AR99" i="2" s="1"/>
  <c r="AR100" i="2"/>
  <c r="AK52" i="3"/>
  <c r="AK52" i="2" s="1"/>
  <c r="AK53" i="2"/>
  <c r="AC52" i="3"/>
  <c r="AC52" i="2" s="1"/>
  <c r="AC53" i="2"/>
  <c r="P219" i="2"/>
  <c r="Z120" i="3"/>
  <c r="Z120" i="2" s="1"/>
  <c r="Z121" i="2"/>
  <c r="AL39" i="3"/>
  <c r="AL39" i="2" s="1"/>
  <c r="AL40" i="2"/>
  <c r="O99" i="3"/>
  <c r="O99" i="2" s="1"/>
  <c r="O100" i="2"/>
  <c r="W99" i="3"/>
  <c r="W99" i="2" s="1"/>
  <c r="W100" i="2"/>
  <c r="L52" i="3"/>
  <c r="L52" i="2" s="1"/>
  <c r="L53" i="2"/>
  <c r="AH25" i="3"/>
  <c r="AH25" i="2" s="1"/>
  <c r="AH26" i="2"/>
  <c r="AN25" i="3"/>
  <c r="AN25" i="2" s="1"/>
  <c r="AN26" i="2"/>
  <c r="R39" i="3"/>
  <c r="R39" i="2" s="1"/>
  <c r="R40" i="2"/>
  <c r="O52" i="3"/>
  <c r="O52" i="2" s="1"/>
  <c r="O53" i="2"/>
  <c r="AH99" i="3"/>
  <c r="AH99" i="2" s="1"/>
  <c r="AH100" i="2"/>
  <c r="AP25" i="3"/>
  <c r="AP25" i="2" s="1"/>
  <c r="AP26" i="2"/>
  <c r="AI52" i="3"/>
  <c r="AI52" i="2" s="1"/>
  <c r="AI53" i="2"/>
  <c r="AI120" i="3"/>
  <c r="AI120" i="2" s="1"/>
  <c r="AI121" i="2"/>
  <c r="AR219" i="2"/>
  <c r="AD120" i="3"/>
  <c r="AD120" i="2" s="1"/>
  <c r="AD121" i="2"/>
  <c r="G52" i="3"/>
  <c r="G52" i="2" s="1"/>
  <c r="G53" i="2"/>
  <c r="I39" i="3"/>
  <c r="I39" i="2" s="1"/>
  <c r="I40" i="2"/>
  <c r="AI99" i="3"/>
  <c r="AI99" i="2" s="1"/>
  <c r="AI100" i="2"/>
  <c r="W219" i="2"/>
  <c r="AF120" i="3"/>
  <c r="AF120" i="2" s="1"/>
  <c r="AF121" i="2"/>
  <c r="V99" i="3"/>
  <c r="V99" i="2" s="1"/>
  <c r="V100" i="2"/>
  <c r="AN52" i="3"/>
  <c r="AN52" i="2" s="1"/>
  <c r="AN53" i="2"/>
  <c r="V25" i="3"/>
  <c r="V25" i="2" s="1"/>
  <c r="V26" i="2"/>
  <c r="AG99" i="3"/>
  <c r="AG99" i="2" s="1"/>
  <c r="AG100" i="2"/>
  <c r="AA39" i="3"/>
  <c r="AA39" i="2" s="1"/>
  <c r="AA40" i="2"/>
  <c r="X52" i="3"/>
  <c r="X52" i="2" s="1"/>
  <c r="X53" i="2"/>
  <c r="P99" i="3"/>
  <c r="P99" i="2" s="1"/>
  <c r="P100" i="2"/>
  <c r="AM219" i="2"/>
  <c r="AE39" i="3"/>
  <c r="AE39" i="2" s="1"/>
  <c r="AE40" i="2"/>
  <c r="I219" i="2"/>
  <c r="AC139" i="3"/>
  <c r="AC139" i="2" s="1"/>
  <c r="AC140" i="2"/>
  <c r="AE52" i="3"/>
  <c r="AE52" i="2" s="1"/>
  <c r="AE53" i="2"/>
  <c r="AH39" i="3"/>
  <c r="AH39" i="2" s="1"/>
  <c r="AH40" i="2"/>
  <c r="Y25" i="3"/>
  <c r="Y25" i="2" s="1"/>
  <c r="Y26" i="2"/>
  <c r="K39" i="3"/>
  <c r="K39" i="2" s="1"/>
  <c r="K40" i="2"/>
  <c r="T25" i="3"/>
  <c r="T25" i="2" s="1"/>
  <c r="T26" i="2"/>
  <c r="G39" i="3"/>
  <c r="G39" i="2" s="1"/>
  <c r="G40" i="2"/>
  <c r="O139" i="3"/>
  <c r="O139" i="2" s="1"/>
  <c r="O140" i="2"/>
  <c r="K99" i="3"/>
  <c r="K99" i="2" s="1"/>
  <c r="K100" i="2"/>
  <c r="F99" i="3"/>
  <c r="F99" i="2" s="1"/>
  <c r="F100" i="2"/>
  <c r="S99" i="3"/>
  <c r="S99" i="2" s="1"/>
  <c r="S100" i="2"/>
  <c r="P39" i="3"/>
  <c r="P39" i="2" s="1"/>
  <c r="P40" i="2"/>
  <c r="AJ25" i="3"/>
  <c r="AJ25" i="2" s="1"/>
  <c r="AJ26" i="2"/>
  <c r="Z139" i="3"/>
  <c r="Z139" i="2" s="1"/>
  <c r="Z140" i="2"/>
  <c r="AF219" i="2"/>
  <c r="X139" i="3"/>
  <c r="X139" i="2" s="1"/>
  <c r="X140" i="2"/>
  <c r="Y84" i="3"/>
  <c r="V84" i="3"/>
  <c r="J84" i="3"/>
  <c r="R84" i="3"/>
  <c r="W84" i="3"/>
  <c r="AG84" i="3"/>
  <c r="AL84" i="3"/>
  <c r="AJ84" i="3"/>
  <c r="AQ84" i="3"/>
  <c r="X84" i="3"/>
  <c r="AH84" i="3"/>
  <c r="S84" i="3"/>
  <c r="AO84" i="3"/>
  <c r="AD84" i="3"/>
  <c r="AS84" i="3"/>
  <c r="AP84" i="3"/>
  <c r="AC84" i="3"/>
  <c r="H84" i="3"/>
  <c r="P84" i="3"/>
  <c r="AM84" i="3"/>
  <c r="Q84" i="3"/>
  <c r="T84" i="3"/>
  <c r="AR84" i="3"/>
  <c r="G84" i="3"/>
  <c r="I84" i="3"/>
  <c r="K84" i="3"/>
  <c r="AB84" i="3"/>
  <c r="AA84" i="3"/>
  <c r="AE84" i="3"/>
  <c r="M84" i="3"/>
  <c r="N84" i="3"/>
  <c r="U84" i="3"/>
  <c r="L84" i="3"/>
  <c r="AN84" i="3"/>
  <c r="AK84" i="3"/>
  <c r="AI84" i="3"/>
  <c r="Z84" i="3"/>
  <c r="AF84" i="3"/>
  <c r="O84" i="3"/>
  <c r="F84" i="3"/>
  <c r="F84" i="2" l="1"/>
  <c r="O84" i="2"/>
  <c r="AF84" i="2"/>
  <c r="Z84" i="2"/>
  <c r="AI84" i="2"/>
  <c r="AK84" i="2"/>
  <c r="AN84" i="2"/>
  <c r="L84" i="2"/>
  <c r="U84" i="2"/>
  <c r="N84" i="2"/>
  <c r="M84" i="2"/>
  <c r="AE84" i="2"/>
  <c r="AA84" i="2"/>
  <c r="AB84" i="2"/>
  <c r="K84" i="2"/>
  <c r="I84" i="2"/>
  <c r="G84" i="2"/>
  <c r="AR84" i="2"/>
  <c r="T84" i="2"/>
  <c r="Q84" i="2"/>
  <c r="AM84" i="2"/>
  <c r="P84" i="2"/>
  <c r="H84" i="2"/>
  <c r="AC84" i="2"/>
  <c r="AP84" i="2"/>
  <c r="AS84" i="2"/>
  <c r="AD84" i="2"/>
  <c r="AO84" i="2"/>
  <c r="S84" i="2"/>
  <c r="AH84" i="2"/>
  <c r="X84" i="2"/>
  <c r="AQ84" i="2"/>
  <c r="AJ84" i="2"/>
  <c r="AL84" i="2"/>
  <c r="AG84" i="2"/>
  <c r="W84" i="2"/>
  <c r="R84" i="2"/>
  <c r="J84" i="2"/>
  <c r="V84" i="2"/>
  <c r="Y84" i="2"/>
  <c r="AH5" i="3"/>
  <c r="AH5" i="2" s="1"/>
  <c r="AH6" i="2"/>
  <c r="L5" i="3"/>
  <c r="L5" i="2" s="1"/>
  <c r="L6" i="2"/>
  <c r="K72" i="3"/>
  <c r="K72" i="2" s="1"/>
  <c r="K73" i="2"/>
  <c r="AD5" i="3"/>
  <c r="AD5" i="2" s="1"/>
  <c r="AD6" i="2"/>
  <c r="X72" i="3"/>
  <c r="X72" i="2" s="1"/>
  <c r="X73" i="2"/>
  <c r="L72" i="3"/>
  <c r="L72" i="2" s="1"/>
  <c r="L73" i="2"/>
  <c r="AL5" i="3"/>
  <c r="AL5" i="2" s="1"/>
  <c r="AL6" i="2"/>
  <c r="AA72" i="3"/>
  <c r="AA72" i="2" s="1"/>
  <c r="AA73" i="2"/>
  <c r="R5" i="3"/>
  <c r="R5" i="2" s="1"/>
  <c r="R6" i="2"/>
  <c r="AQ5" i="3"/>
  <c r="AQ5" i="2" s="1"/>
  <c r="AQ6" i="2"/>
  <c r="S72" i="3"/>
  <c r="S72" i="2" s="1"/>
  <c r="S73" i="2"/>
  <c r="P5" i="3"/>
  <c r="P5" i="2" s="1"/>
  <c r="P6" i="2"/>
  <c r="AO72" i="3"/>
  <c r="AO72" i="2" s="1"/>
  <c r="AO73" i="2"/>
  <c r="AP5" i="3"/>
  <c r="AP5" i="2" s="1"/>
  <c r="AP6" i="2"/>
  <c r="Y72" i="3"/>
  <c r="Y72" i="2" s="1"/>
  <c r="Y73" i="2"/>
  <c r="AF72" i="3"/>
  <c r="AF72" i="2" s="1"/>
  <c r="AF73" i="2"/>
  <c r="AH72" i="3"/>
  <c r="AH72" i="2" s="1"/>
  <c r="AH73" i="2"/>
  <c r="AQ72" i="3"/>
  <c r="AQ72" i="2" s="1"/>
  <c r="AQ73" i="2"/>
  <c r="AS72" i="3"/>
  <c r="AS72" i="2" s="1"/>
  <c r="AS73" i="2"/>
  <c r="AG5" i="3"/>
  <c r="AG5" i="2" s="1"/>
  <c r="AG6" i="2"/>
  <c r="V72" i="3"/>
  <c r="V72" i="2" s="1"/>
  <c r="V73" i="2"/>
  <c r="R72" i="3"/>
  <c r="R72" i="2" s="1"/>
  <c r="R73" i="2"/>
  <c r="AP72" i="3"/>
  <c r="AP72" i="2" s="1"/>
  <c r="AP73" i="2"/>
  <c r="AK72" i="3"/>
  <c r="AK72" i="2" s="1"/>
  <c r="AK73" i="2"/>
  <c r="N5" i="3"/>
  <c r="N5" i="2" s="1"/>
  <c r="N6" i="2"/>
  <c r="AL72" i="3"/>
  <c r="AL72" i="2" s="1"/>
  <c r="AL73" i="2"/>
  <c r="P72" i="3"/>
  <c r="P72" i="2" s="1"/>
  <c r="P73" i="2"/>
  <c r="H5" i="3"/>
  <c r="H5" i="2" s="1"/>
  <c r="H6" i="2"/>
  <c r="AM72" i="3"/>
  <c r="AM72" i="2" s="1"/>
  <c r="AM73" i="2"/>
  <c r="Z5" i="3"/>
  <c r="Z5" i="2" s="1"/>
  <c r="Z6" i="2"/>
  <c r="AK5" i="3"/>
  <c r="AK5" i="2" s="1"/>
  <c r="AK6" i="2"/>
  <c r="AO5" i="3"/>
  <c r="AO5" i="2" s="1"/>
  <c r="AO6" i="2"/>
  <c r="AN5" i="3"/>
  <c r="AN5" i="2" s="1"/>
  <c r="AN6" i="2"/>
  <c r="F72" i="3"/>
  <c r="F72" i="2" s="1"/>
  <c r="F73" i="2"/>
  <c r="AI72" i="3"/>
  <c r="AI72" i="2" s="1"/>
  <c r="AI73" i="2"/>
  <c r="F5" i="3"/>
  <c r="F5" i="2" s="1"/>
  <c r="F6" i="2"/>
  <c r="Q72" i="3"/>
  <c r="Q72" i="2" s="1"/>
  <c r="Q73" i="2"/>
  <c r="T72" i="3"/>
  <c r="T72" i="2" s="1"/>
  <c r="T73" i="2"/>
  <c r="AJ5" i="3"/>
  <c r="AJ5" i="2" s="1"/>
  <c r="AJ6" i="2"/>
  <c r="Q5" i="3"/>
  <c r="Q5" i="2" s="1"/>
  <c r="Q6" i="2"/>
  <c r="AE72" i="3"/>
  <c r="AE72" i="2" s="1"/>
  <c r="AE73" i="2"/>
  <c r="AB5" i="3"/>
  <c r="AB5" i="2" s="1"/>
  <c r="AB6" i="2"/>
  <c r="G72" i="3"/>
  <c r="G72" i="2" s="1"/>
  <c r="G73" i="2"/>
  <c r="W5" i="3"/>
  <c r="W5" i="2" s="1"/>
  <c r="W6" i="2"/>
  <c r="AA5" i="3"/>
  <c r="AA5" i="2" s="1"/>
  <c r="AA6" i="2"/>
  <c r="AD72" i="3"/>
  <c r="AD72" i="2" s="1"/>
  <c r="AD73" i="2"/>
  <c r="W72" i="3"/>
  <c r="W72" i="2" s="1"/>
  <c r="W73" i="2"/>
  <c r="AC5" i="3"/>
  <c r="AC5" i="2" s="1"/>
  <c r="AC6" i="2"/>
  <c r="S5" i="3"/>
  <c r="S5" i="2" s="1"/>
  <c r="S6" i="2"/>
  <c r="AF5" i="3"/>
  <c r="AF5" i="2" s="1"/>
  <c r="AF6" i="2"/>
  <c r="AS5" i="3"/>
  <c r="AS5" i="2" s="1"/>
  <c r="AS6" i="2"/>
  <c r="AN72" i="3"/>
  <c r="AN72" i="2" s="1"/>
  <c r="AN73" i="2"/>
  <c r="M5" i="3"/>
  <c r="M5" i="2" s="1"/>
  <c r="M6" i="2"/>
  <c r="AG72" i="3"/>
  <c r="AG72" i="2" s="1"/>
  <c r="AG73" i="2"/>
  <c r="N72" i="3"/>
  <c r="N72" i="2" s="1"/>
  <c r="N73" i="2"/>
  <c r="AR72" i="3"/>
  <c r="AR72" i="2" s="1"/>
  <c r="AR73" i="2"/>
  <c r="AC72" i="3"/>
  <c r="AC72" i="2" s="1"/>
  <c r="AC73" i="2"/>
  <c r="AE5" i="3"/>
  <c r="AE5" i="2" s="1"/>
  <c r="AE6" i="2"/>
  <c r="AM5" i="3"/>
  <c r="AM5" i="2" s="1"/>
  <c r="AM6" i="2"/>
  <c r="V5" i="3"/>
  <c r="V5" i="2" s="1"/>
  <c r="V6" i="2"/>
  <c r="K5" i="3"/>
  <c r="K5" i="2" s="1"/>
  <c r="K6" i="2"/>
  <c r="AB72" i="3"/>
  <c r="AB72" i="2" s="1"/>
  <c r="AB73" i="2"/>
  <c r="J5" i="3"/>
  <c r="J5" i="2" s="1"/>
  <c r="J6" i="2"/>
  <c r="H72" i="3"/>
  <c r="H72" i="2" s="1"/>
  <c r="H73" i="2"/>
  <c r="Y5" i="3"/>
  <c r="Y5" i="2" s="1"/>
  <c r="Y6" i="2"/>
  <c r="T5" i="3"/>
  <c r="T5" i="2" s="1"/>
  <c r="T6" i="2"/>
  <c r="U72" i="3"/>
  <c r="U72" i="2" s="1"/>
  <c r="U73" i="2"/>
  <c r="I72" i="3"/>
  <c r="I72" i="2" s="1"/>
  <c r="I73" i="2"/>
  <c r="U5" i="3"/>
  <c r="U5" i="2" s="1"/>
  <c r="U6" i="2"/>
  <c r="I5" i="3"/>
  <c r="I5" i="2" s="1"/>
  <c r="I6" i="2"/>
  <c r="X5" i="3"/>
  <c r="X5" i="2" s="1"/>
  <c r="X6" i="2"/>
  <c r="O5" i="3"/>
  <c r="O5" i="2" s="1"/>
  <c r="O6" i="2"/>
  <c r="J72" i="3"/>
  <c r="J72" i="2" s="1"/>
  <c r="J73" i="2"/>
  <c r="M72" i="3"/>
  <c r="M72" i="2" s="1"/>
  <c r="M73" i="2"/>
  <c r="Z72" i="3"/>
  <c r="Z72" i="2" s="1"/>
  <c r="Z73" i="2"/>
  <c r="AR5" i="3"/>
  <c r="AR5" i="2" s="1"/>
  <c r="AR6" i="2"/>
  <c r="AJ72" i="3"/>
  <c r="AJ72" i="2" s="1"/>
  <c r="AJ73" i="2"/>
  <c r="O72" i="3"/>
  <c r="O72" i="2" s="1"/>
  <c r="O73" i="2"/>
  <c r="AI5" i="3"/>
  <c r="AI5" i="2" s="1"/>
  <c r="AI6" i="2"/>
  <c r="G5" i="3"/>
  <c r="G5" i="2" s="1"/>
  <c r="G6" i="2"/>
</calcChain>
</file>

<file path=xl/sharedStrings.xml><?xml version="1.0" encoding="utf-8"?>
<sst xmlns="http://schemas.openxmlformats.org/spreadsheetml/2006/main" count="263" uniqueCount="29">
  <si>
    <t>**IMPORTANT NOTE**</t>
  </si>
  <si>
    <t>This document, the information contained herein and any derived information created therefrom are for the exclusive use of UWB IT at UNIVERSITY OF WASHIN.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</si>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</sst>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/>
        <stp/>
        <stp>##V3_BDHV12</stp>
        <stp>7202 JP Equity</stp>
        <stp>X1701</stp>
        <stp>-40CM</stp>
        <stp>12/4/2017</stp>
        <stp>[NA Truck Market Shares.xlsx]ReferenceData!R353C6</stp>
        <stp>Per=CM</stp>
        <stp>Dts=H</stp>
        <stp>Dir=H</stp>
        <stp>Points=40</stp>
        <stp>Sort=R</stp>
        <stp>Days=A</stp>
        <stp>Fill=B</stp>
        <stp>DZ665=25574533</stp>
        <stp>X0012=CLASS 6-7</stp>
        <stp>X0001=NACA</stp>
        <stp>DS276=Y</stp>
        <stp>FX=USD</stp>
        <stp>cols=40;rows=1</stp>
        <tr r="F353" s="3"/>
      </tp>
      <tp t="s">
        <v/>
        <stp/>
        <stp>##V3_BDHV12</stp>
        <stp>PCAR US Equity</stp>
        <stp>X1701</stp>
        <stp>-40CM</stp>
        <stp>12/4/2017</stp>
        <stp>[NA Truck Market Shares.xlsx]ReferenceData!R345C6</stp>
        <stp>Per=CM</stp>
        <stp>Dts=H</stp>
        <stp>Dir=H</stp>
        <stp>Points=40</stp>
        <stp>Sort=R</stp>
        <stp>Days=A</stp>
        <stp>Fill=B</stp>
        <stp>DZ665=267317</stp>
        <stp>X0012=Class 6-7</stp>
        <stp>X0001=NACA</stp>
        <stp>FX=USD</stp>
        <stp>cols=40;rows=1</stp>
        <tr r="F345" s="3"/>
      </tp>
      <tp t="s">
        <v/>
        <stp/>
        <stp>##V3_BDHV12</stp>
        <stp>DAI GR Equity</stp>
        <stp>X1701</stp>
        <stp>-40CM</stp>
        <stp>12/4/2017</stp>
        <stp>[NA Truck Market Shares.xlsx]ReferenceData!R359C6</stp>
        <stp>Per=CM</stp>
        <stp>Dts=H</stp>
        <stp>Dir=H</stp>
        <stp>Points=40</stp>
        <stp>Sort=R</stp>
        <stp>Days=A</stp>
        <stp>Fill=B</stp>
        <stp>DZ665=246397</stp>
        <stp>X0012=Class 6-7</stp>
        <stp>X0001=NAMX</stp>
        <stp>FX=USD</stp>
        <stp>cols=40;rows=1</stp>
        <tr r="F359" s="3"/>
      </tp>
      <tp t="s">
        <v/>
        <stp/>
        <stp>##V3_BDHV12</stp>
        <stp>PCAR US Equity</stp>
        <stp>X1701</stp>
        <stp>-40CM</stp>
        <stp>12/4/2017</stp>
        <stp>[NA Truck Market Shares.xlsx]ReferenceData!R346C6</stp>
        <stp>Per=CM</stp>
        <stp>Dts=H</stp>
        <stp>Dir=H</stp>
        <stp>Points=40</stp>
        <stp>Sort=R</stp>
        <stp>Days=A</stp>
        <stp>Fill=B</stp>
        <stp>DZ665=267319</stp>
        <stp>X0012=Class 6-7</stp>
        <stp>X0001=NACA</stp>
        <stp>FX=USD</stp>
        <stp>cols=40;rows=1</stp>
        <tr r="F346" s="3"/>
      </tp>
      <tp t="s">
        <v/>
        <stp/>
        <stp>##V3_BDHV12</stp>
        <stp>NAV US Equity</stp>
        <stp>X1701</stp>
        <stp>-40CM</stp>
        <stp>12/4/2017</stp>
        <stp>[NA Truck Market Shares.xlsx]ReferenceData!R344C6</stp>
        <stp>Per=CM</stp>
        <stp>Dts=H</stp>
        <stp>Dir=H</stp>
        <stp>Points=40</stp>
        <stp>Sort=R</stp>
        <stp>Days=A</stp>
        <stp>Fill=B</stp>
        <stp>DZ665=377405</stp>
        <stp>X0012=Class 6-7</stp>
        <stp>X0001=NACA</stp>
        <stp>FX=USD</stp>
        <stp>cols=40;rows=1</stp>
        <tr r="F344" s="3"/>
      </tp>
      <tp t="s">
        <v/>
        <stp/>
        <stp>##V3_BDHV12</stp>
        <stp>VOLVB SS Equity</stp>
        <stp>X1701</stp>
        <stp>-40CM</stp>
        <stp>12/4/2017</stp>
        <stp>[NA Truck Market Shares.xlsx]ReferenceData!R338C6</stp>
        <stp>Per=CM</stp>
        <stp>Dts=H</stp>
        <stp>Dir=H</stp>
        <stp>Points=40</stp>
        <stp>Sort=R</stp>
        <stp>Days=A</stp>
        <stp>Fill=B</stp>
        <stp>DZ665=20497958</stp>
        <stp>X0012=Class 6-7</stp>
        <stp>X0001=NAUS</stp>
        <stp>FX=USD</stp>
        <tr r="F338" s="3"/>
      </tp>
      <tp t="s">
        <v/>
        <stp/>
        <stp>##V3_BDHV12</stp>
        <stp>PCAR US Equity</stp>
        <stp>X1701</stp>
        <stp>-40CM</stp>
        <stp>12/4/2017</stp>
        <stp>[NA Truck Market Shares.xlsx]ReferenceData!R365C6</stp>
        <stp>Per=CM</stp>
        <stp>Dts=H</stp>
        <stp>Dir=H</stp>
        <stp>Points=40</stp>
        <stp>Sort=R</stp>
        <stp>Days=A</stp>
        <stp>Fill=B</stp>
        <stp>DZ665=267317</stp>
        <stp>X0012=Class 6-7</stp>
        <stp>X0001=NAMX</stp>
        <stp>FX=USD</stp>
        <stp>cols=40;rows=1</stp>
        <tr r="F365" s="3"/>
      </tp>
      <tp t="s">
        <v>#N/A N/A</v>
        <stp/>
        <stp>##V3_BDHV12</stp>
        <stp>TRCKUS8S Index</stp>
        <stp>PR005</stp>
        <stp>-40CM</stp>
        <stp>12/4/2017</stp>
        <stp>[NA Truck Market Shares.xlsx]ReferenceData!R393C3</stp>
        <stp>PER=CM</stp>
        <stp>Dts=S</stp>
        <stp>DtFmt=FI</stp>
        <stp>rows=2</stp>
        <stp>Dir=H</stp>
        <stp>Points=40</stp>
        <stp>Sort=R</stp>
        <stp>Days=A</stp>
        <stp>Fill=B</stp>
        <stp>FX=USD</stp>
        <stp>cols=40;rows=2</stp>
        <tr r="C393" s="3"/>
      </tp>
      <tp t="s">
        <v>#N/A N/A</v>
        <stp/>
        <stp>##V3_BDHV12</stp>
        <stp>TRCKNA8S Index</stp>
        <stp>PR005</stp>
        <stp>-40CM</stp>
        <stp>12/4/2017</stp>
        <stp>[NA Truck Market Shares.xlsx]ReferenceData!R391C3</stp>
        <stp>PER=CM</stp>
        <stp>Dts=S</stp>
        <stp>DtFmt=FI</stp>
        <stp>rows=2</stp>
        <stp>Dir=H</stp>
        <stp>Points=40</stp>
        <stp>Sort=R</stp>
        <stp>Days=A</stp>
        <stp>Fill=B</stp>
        <stp>FX=USD</stp>
        <stp>cols=40;rows=2</stp>
        <tr r="C391" s="3"/>
      </tp>
      <tp t="s">
        <v/>
        <stp/>
        <stp>##V3_BDHV12</stp>
        <stp>VOLVB SS Equity</stp>
        <stp>X1701</stp>
        <stp>-40CM</stp>
        <stp>12/4/2017</stp>
        <stp>[NA Truck Market Shares.xlsx]ReferenceData!R356C6</stp>
        <stp>Per=CM</stp>
        <stp>Dts=H</stp>
        <stp>Dir=H</stp>
        <stp>Points=40</stp>
        <stp>Sort=R</stp>
        <stp>Days=A</stp>
        <stp>Fill=B</stp>
        <stp>DZ665=20497958</stp>
        <stp>X0012=Class 6-7</stp>
        <stp>X0001=NACA</stp>
        <stp>FX=USD</stp>
        <tr r="F356" s="3"/>
      </tp>
      <tp t="s">
        <v/>
        <stp/>
        <stp>##V3_BDHV12</stp>
        <stp>NAV US Equity</stp>
        <stp>X1701</stp>
        <stp>-40CM</stp>
        <stp>12/4/2017</stp>
        <stp>[NA Truck Market Shares.xlsx]ReferenceData!R361C6</stp>
        <stp>Per=CM</stp>
        <stp>Dts=H</stp>
        <stp>Dir=H</stp>
        <stp>Points=40</stp>
        <stp>Sort=R</stp>
        <stp>Days=A</stp>
        <stp>Fill=B</stp>
        <stp>DZ665=377405</stp>
        <stp>X0012=Class 6-7</stp>
        <stp>X0001=NAMX</stp>
        <stp>FX=USD</stp>
        <stp>cols=40;rows=1</stp>
        <tr r="F361" s="3"/>
      </tp>
      <tp t="s">
        <v/>
        <stp/>
        <stp>##V3_BDHV12</stp>
        <stp>PCAR US Equity</stp>
        <stp>X1701</stp>
        <stp>-40CM</stp>
        <stp>12/4/2017</stp>
        <stp>[NA Truck Market Shares.xlsx]ReferenceData!R335C6</stp>
        <stp>Per=CM</stp>
        <stp>Dts=H</stp>
        <stp>Dir=H</stp>
        <stp>Points=40</stp>
        <stp>Sort=R</stp>
        <stp>Days=A</stp>
        <stp>Fill=B</stp>
        <stp>DZ665=267319</stp>
        <stp>X0012=Class 6-7</stp>
        <stp>X0001=NAUS</stp>
        <stp>FX=USD</stp>
        <stp>cols=40;rows=1</stp>
        <tr r="F335" s="3"/>
      </tp>
      <tp t="s">
        <v/>
        <stp/>
        <stp>##V3_BDHV12</stp>
        <stp>VOLVB SS Equity</stp>
        <stp>X1701</stp>
        <stp>-40CM</stp>
        <stp>12/4/2017</stp>
        <stp>[NA Truck Market Shares.xlsx]ReferenceData!R339C6</stp>
        <stp>Per=CM</stp>
        <stp>Dts=H</stp>
        <stp>Dir=H</stp>
        <stp>Points=40</stp>
        <stp>Sort=R</stp>
        <stp>Days=A</stp>
        <stp>Fill=B</stp>
        <stp>DZ665=20497962</stp>
        <stp>X0012=Class 6-7</stp>
        <stp>X0001=NAUS</stp>
        <stp>FX=USD</stp>
        <tr r="F339" s="3"/>
      </tp>
      <tp t="s">
        <v/>
        <stp/>
        <stp>##V3_BDHV12</stp>
        <stp>PCAR US Equity</stp>
        <stp>X1701</stp>
        <stp>-40CM</stp>
        <stp>12/4/2017</stp>
        <stp>[NA Truck Market Shares.xlsx]ReferenceData!R334C6</stp>
        <stp>Per=CM</stp>
        <stp>Dts=H</stp>
        <stp>Dir=H</stp>
        <stp>Points=40</stp>
        <stp>Sort=R</stp>
        <stp>Days=A</stp>
        <stp>Fill=B</stp>
        <stp>DZ665=267317</stp>
        <stp>X0012=Class 6-7</stp>
        <stp>X0001=NAUS</stp>
        <stp>FX=USD</stp>
        <stp>cols=40;rows=1</stp>
        <tr r="F334" s="3"/>
      </tp>
      <tp t="s">
        <v/>
        <stp/>
        <stp>##V3_BDHV12</stp>
        <stp>VOLVB SS Equity</stp>
        <stp>X1701</stp>
        <stp>-40CM</stp>
        <stp>12/4/2017</stp>
        <stp>[NA Truck Market Shares.xlsx]ReferenceData!R366C6</stp>
        <stp>Per=CM</stp>
        <stp>Dts=H</stp>
        <stp>Dir=H</stp>
        <stp>Points=40</stp>
        <stp>Sort=R</stp>
        <stp>Days=A</stp>
        <stp>Fill=B</stp>
        <stp>DZ665=20497950</stp>
        <stp>X0012=Class 6-7</stp>
        <stp>X0001=NAMX</stp>
        <stp>FX=USD</stp>
        <tr r="F366" s="3"/>
      </tp>
      <tp t="s">
        <v/>
        <stp/>
        <stp>##V3_BDHV12</stp>
        <stp>VOW GR Equity</stp>
        <stp>X1701</stp>
        <stp>-40CM</stp>
        <stp>12/4/2017</stp>
        <stp>[NA Truck Market Shares.xlsx]ReferenceData!R369C6</stp>
        <stp>Per=CM</stp>
        <stp>Dts=H</stp>
        <stp>Dir=H</stp>
        <stp>Points=40</stp>
        <stp>Sort=R</stp>
        <stp>Days=A</stp>
        <stp>Fill=B</stp>
        <stp>DZ665=246930</stp>
        <stp>X0012=Class 6-7</stp>
        <stp>X0001=NAMX</stp>
        <stp>FX=USD</stp>
        <stp>cols=40;rows=1</stp>
        <tr r="F369" s="3"/>
      </tp>
      <tp t="s">
        <v/>
        <stp/>
        <stp>##V3_BDHV12</stp>
        <stp>8128757Z MM Equity</stp>
        <stp>X1701</stp>
        <stp>-40CM</stp>
        <stp>12/4/2017</stp>
        <stp>[NA Truck Market Shares.xlsx]ReferenceData!R323C6</stp>
        <stp>Per=CM</stp>
        <stp>Dts=H</stp>
        <stp>Dir=H</stp>
        <stp>Points=40</stp>
        <stp>Sort=R</stp>
        <stp>Days=A</stp>
        <stp>Fill=B</stp>
        <stp>DZ665=25574537</stp>
        <stp>X0012=Class 8</stp>
        <stp>X0001=NAMX</stp>
        <stp>FX=USD</stp>
        <stp>cols=40;rows=1</stp>
        <tr r="F323" s="3"/>
      </tp>
      <tp t="s">
        <v/>
        <stp/>
        <stp>##V3_BDHV12</stp>
        <stp>NAV US Equity</stp>
        <stp>X1701</stp>
        <stp>-40CM</stp>
        <stp>12/4/2017</stp>
        <stp>[NA Truck Market Shares.xlsx]ReferenceData!R333C6</stp>
        <stp>Per=CM</stp>
        <stp>Dts=H</stp>
        <stp>Dir=H</stp>
        <stp>Points=40</stp>
        <stp>Sort=R</stp>
        <stp>Days=A</stp>
        <stp>Fill=B</stp>
        <stp>DZ665=377405</stp>
        <stp>X0012=Class 6-7</stp>
        <stp>X0001=NAUS</stp>
        <stp>FX=USD</stp>
        <stp>cols=40;rows=1</stp>
        <tr r="F333" s="3"/>
      </tp>
      <tp t="s">
        <v/>
        <stp/>
        <stp>##V3_BDHV12</stp>
        <stp>SCVB SS Equity</stp>
        <stp>X1701</stp>
        <stp>-40CM</stp>
        <stp>12/4/2017</stp>
        <stp>[NA Truck Market Shares.xlsx]ReferenceData!R370C6</stp>
        <stp>Per=CM</stp>
        <stp>Dts=H</stp>
        <stp>Dir=H</stp>
        <stp>Points=40</stp>
        <stp>Sort=R</stp>
        <stp>Days=A</stp>
        <stp>Fill=B</stp>
        <stp>DZ665=31781074</stp>
        <stp>X0012=Class 6-7</stp>
        <stp>X0001=NAMX</stp>
        <stp>FX=USD</stp>
        <tr r="F370" s="3"/>
      </tp>
    </main>
    <main first="bloomberg.rtd">
      <tp t="s">
        <v/>
        <stp/>
        <stp>##V3_BDHV12</stp>
        <stp>SCVB SS Equity</stp>
        <stp>X1701</stp>
        <stp>-40CM</stp>
        <stp>12/4/2017</stp>
        <stp>[NA Truck Market Shares.xlsx]ReferenceData!R326C6</stp>
        <stp>Per=CM</stp>
        <stp>Dts=H</stp>
        <stp>Dir=H</stp>
        <stp>Points=40</stp>
        <stp>Sort=R</stp>
        <stp>Days=A</stp>
        <stp>Fill=B</stp>
        <stp>DZ665=31781074</stp>
        <stp>X0012=Class 8</stp>
        <stp>X0001=NAMX</stp>
        <stp>FX=USD</stp>
        <stp>cols=40;rows=1</stp>
        <tr r="F326" s="3"/>
      </tp>
      <tp t="s">
        <v/>
        <stp/>
        <stp>##V3_BDHV12</stp>
        <stp>PCAR US Equity</stp>
        <stp>X1701</stp>
        <stp>-40CM</stp>
        <stp>12/4/2017</stp>
        <stp>[NA Truck Market Shares.xlsx]ReferenceData!R302C6</stp>
        <stp>Per=CM</stp>
        <stp>Dts=H</stp>
        <stp>Dir=H</stp>
        <stp>Points=40</stp>
        <stp>Sort=R</stp>
        <stp>Days=A</stp>
        <stp>Fill=B</stp>
        <stp>DZ665=267319</stp>
        <stp>X0012=Class 8</stp>
        <stp>X0001=NAUS</stp>
        <stp>FX=USD</stp>
        <stp>cols=40;rows=1</stp>
        <tr r="F302" s="3"/>
      </tp>
      <tp t="s">
        <v/>
        <stp/>
        <stp>##V3_BDHV12</stp>
        <stp>PCAR US Equity</stp>
        <stp>X1701</stp>
        <stp>-40CM</stp>
        <stp>12/4/2017</stp>
        <stp>[NA Truck Market Shares.xlsx]ReferenceData!R301C6</stp>
        <stp>Per=CM</stp>
        <stp>Dts=H</stp>
        <stp>Dir=H</stp>
        <stp>Points=40</stp>
        <stp>Sort=R</stp>
        <stp>Days=A</stp>
        <stp>Fill=B</stp>
        <stp>DZ665=267317</stp>
        <stp>X0012=Class 8</stp>
        <stp>X0001=NAUS</stp>
        <stp>FX=USD</stp>
        <stp>cols=40;rows=1</stp>
        <tr r="F301" s="3"/>
      </tp>
      <tp t="s">
        <v/>
        <stp/>
        <stp>##V3_BDHV12</stp>
        <stp>DAI GR Equity</stp>
        <stp>X1701</stp>
        <stp>-40CM</stp>
        <stp>12/4/2017</stp>
        <stp>[NA Truck Market Shares.xlsx]ReferenceData!R299C6</stp>
        <stp>Per=CM</stp>
        <stp>Dts=H</stp>
        <stp>Dir=H</stp>
        <stp>Points=40</stp>
        <stp>Sort=R</stp>
        <stp>Days=A</stp>
        <stp>Fill=B</stp>
        <stp>DZ665=16578421</stp>
        <stp>X0012=Class 8</stp>
        <stp>X0001=NAUS</stp>
        <stp>FX=USD</stp>
        <stp>cols=40;rows=1</stp>
        <tr r="F299" s="3"/>
      </tp>
      <tp t="s">
        <v/>
        <stp/>
        <stp>##V3_BDHV12</stp>
        <stp>DAI GR Equity</stp>
        <stp>X1701</stp>
        <stp>-40CM</stp>
        <stp>12/4/2017</stp>
        <stp>[NA Truck Market Shares.xlsx]ReferenceData!R298C6</stp>
        <stp>Per=CM</stp>
        <stp>Dts=H</stp>
        <stp>Dir=H</stp>
        <stp>Points=40</stp>
        <stp>Sort=R</stp>
        <stp>Days=A</stp>
        <stp>Fill=B</stp>
        <stp>DZ665=16578413</stp>
        <stp>X0012=Class 8</stp>
        <stp>X0001=NAUS</stp>
        <stp>FX=USD</stp>
        <stp>cols=40;rows=1</stp>
        <tr r="F298" s="3"/>
      </tp>
      <tp t="s">
        <v/>
        <stp/>
        <stp>##V3_BDHV12</stp>
        <stp>VOLVB SS Equity</stp>
        <stp>X1701</stp>
        <stp>-40CM</stp>
        <stp>12/4/2017</stp>
        <stp>[NA Truck Market Shares.xlsx]ReferenceData!R312C6</stp>
        <stp>Per=CM</stp>
        <stp>Dts=H</stp>
        <stp>Dir=H</stp>
        <stp>Points=40</stp>
        <stp>Sort=R</stp>
        <stp>Days=A</stp>
        <stp>Fill=B</stp>
        <stp>DZ665=20497950</stp>
        <stp>X0012=Class 8</stp>
        <stp>X0001=NACA</stp>
        <stp>FX=USD</stp>
        <stp>cols=40;rows=1</stp>
        <tr r="F312" s="3"/>
      </tp>
      <tp t="s">
        <v>#N/A N/A</v>
        <stp/>
        <stp>##V3_BDHV12</stp>
        <stp>TRCKNA8S Index</stp>
        <stp>PR005</stp>
        <stp>-40CM</stp>
        <stp>12/4/2017</stp>
        <stp>[BI_MACHG_1_4x053pag.xlsx]ReferenceData!R383C3</stp>
        <stp>PER=CM</stp>
        <stp>Dts=S</stp>
        <stp>DtFmt=FI</stp>
        <stp>rows=2</stp>
        <stp>Dir=H</stp>
        <stp>Points=40</stp>
        <stp>Sort=R</stp>
        <stp>Days=A</stp>
        <stp>Fill=B</stp>
        <stp>FX=USD</stp>
        <stp>cols=40;rows=2</stp>
        <tr r="C383" s="3"/>
      </tp>
      <tp t="s">
        <v/>
        <stp/>
        <stp>##V3_BDHV12</stp>
        <stp>VOLVB SS Equity</stp>
        <stp>X1701</stp>
        <stp>-40CM</stp>
        <stp>12/4/2017</stp>
        <stp>[NA Truck Market Shares.xlsx]ReferenceData!R313C6</stp>
        <stp>Per=CM</stp>
        <stp>Dts=H</stp>
        <stp>Dir=H</stp>
        <stp>Points=40</stp>
        <stp>Sort=R</stp>
        <stp>Days=A</stp>
        <stp>Fill=B</stp>
        <stp>DZ665=20497958</stp>
        <stp>X0012=Class 8</stp>
        <stp>X0001=NACA</stp>
        <stp>FX=USD</stp>
        <stp>cols=40;rows=1</stp>
        <tr r="F313" s="3"/>
      </tp>
      <tp t="s">
        <v/>
        <stp/>
        <stp>##V3_BDHV12</stp>
        <stp>DAI GR Equity</stp>
        <stp>X1701</stp>
        <stp>-40CM</stp>
        <stp>12/4/2017</stp>
        <stp>[NA Truck Market Shares.xlsx]ReferenceData!R347C6</stp>
        <stp>Per=CM</stp>
        <stp>Dts=H</stp>
        <stp>Dir=H</stp>
        <stp>Points=40</stp>
        <stp>Sort=R</stp>
        <stp>Days=A</stp>
        <stp>Fill=B</stp>
        <stp>DZ665=16578413</stp>
        <stp>X0012=Class 6-7</stp>
        <stp>X0001=NACA</stp>
        <stp>FX=USD</stp>
        <stp>cols=40;rows=1</stp>
        <tr r="F347" s="3"/>
      </tp>
      <tp t="s">
        <v/>
        <stp/>
        <stp>##V3_BDHV12</stp>
        <stp>DAI GR Equity</stp>
        <stp>X1701</stp>
        <stp>-40CM</stp>
        <stp>12/4/2017</stp>
        <stp>[NA Truck Market Shares.xlsx]ReferenceData!R318C6</stp>
        <stp>Per=CM</stp>
        <stp>Dts=H</stp>
        <stp>Dir=H</stp>
        <stp>Points=40</stp>
        <stp>Sort=R</stp>
        <stp>Days=A</stp>
        <stp>Fill=B</stp>
        <stp>DZ665=16578413</stp>
        <stp>X0012=Class 8</stp>
        <stp>X0001=NAMX</stp>
        <stp>FX=USD</stp>
        <stp>cols=40;rows=1</stp>
        <tr r="F318" s="3"/>
      </tp>
      <tp t="s">
        <v/>
        <stp/>
        <stp>##V3_BDHV12</stp>
        <stp>PCAR US Equity</stp>
        <stp>X1701</stp>
        <stp>-40CM</stp>
        <stp>12/4/2017</stp>
        <stp>[NA Truck Market Shares.xlsx]ReferenceData!R316C6</stp>
        <stp>Per=CM</stp>
        <stp>Dts=H</stp>
        <stp>Dir=H</stp>
        <stp>Points=40</stp>
        <stp>Sort=R</stp>
        <stp>Days=A</stp>
        <stp>Fill=B</stp>
        <stp>DZ665=267317</stp>
        <stp>X0012=Class 8</stp>
        <stp>X0001=NAMX</stp>
        <stp>FX=USD</stp>
        <stp>cols=40;rows=1</stp>
        <tr r="F316" s="3"/>
      </tp>
    </main>
    <main first="bloomberg.ccyreader">
      <tp>
        <v>0</v>
        <stp/>
        <stp>#track</stp>
        <stp>DBG</stp>
        <stp>BIHITX</stp>
        <stp>1.0</stp>
        <stp>RepeatHit</stp>
        <tr r="A288" s="3"/>
      </tp>
    </main>
    <main first="bloomberg.rtd">
      <tp t="s">
        <v/>
        <stp/>
        <stp>##V3_BDHV12</stp>
        <stp>DAI GR Equity</stp>
        <stp>X1701</stp>
        <stp>-40CM</stp>
        <stp>12/4/2017</stp>
        <stp>[NA Truck Market Shares.xlsx]ReferenceData!R319C6</stp>
        <stp>Per=CM</stp>
        <stp>Dts=H</stp>
        <stp>Dir=H</stp>
        <stp>Points=40</stp>
        <stp>Sort=R</stp>
        <stp>Days=A</stp>
        <stp>Fill=B</stp>
        <stp>DZ665=246397</stp>
        <stp>X0012=Class 8</stp>
        <stp>X0001=NAMX</stp>
        <stp>FX=USD</stp>
        <stp>cols=40;rows=1</stp>
        <tr r="F319" s="3"/>
      </tp>
      <tp t="s">
        <v/>
        <stp/>
        <stp>##V3_BDHV12</stp>
        <stp>NAV US Equity</stp>
        <stp>X1701</stp>
        <stp>-40CM</stp>
        <stp>12/4/2017</stp>
        <stp>[NA Truck Market Shares.xlsx]ReferenceData!R314C6</stp>
        <stp>Per=CM</stp>
        <stp>Dts=H</stp>
        <stp>Dir=H</stp>
        <stp>Points=40</stp>
        <stp>Sort=R</stp>
        <stp>Days=A</stp>
        <stp>Fill=B</stp>
        <stp>DZ665=377405</stp>
        <stp>X0012=Class 8</stp>
        <stp>X0001=NACA</stp>
        <stp>FX=USD</stp>
        <stp>cols=40;rows=1</stp>
        <tr r="F314" s="3"/>
      </tp>
      <tp t="s">
        <v/>
        <stp/>
        <stp>##V3_BDHV12</stp>
        <stp>PCAR US Equity</stp>
        <stp>X1701</stp>
        <stp>-40CM</stp>
        <stp>12/4/2017</stp>
        <stp>[NA Truck Market Shares.xlsx]ReferenceData!R311C6</stp>
        <stp>Per=CM</stp>
        <stp>Dts=H</stp>
        <stp>Dir=H</stp>
        <stp>Points=40</stp>
        <stp>Sort=R</stp>
        <stp>Days=A</stp>
        <stp>Fill=B</stp>
        <stp>DZ665=267319</stp>
        <stp>X0012=Class 8</stp>
        <stp>X0001=NACA</stp>
        <stp>FX=USD</stp>
        <stp>cols=40;rows=1</stp>
        <tr r="F311" s="3"/>
      </tp>
      <tp t="s">
        <v/>
        <stp/>
        <stp>##V3_BDHV12</stp>
        <stp>PCAR US Equity</stp>
        <stp>X1701</stp>
        <stp>-40CM</stp>
        <stp>12/4/2017</stp>
        <stp>[NA Truck Market Shares.xlsx]ReferenceData!R310C6</stp>
        <stp>Per=CM</stp>
        <stp>Dts=H</stp>
        <stp>Dir=H</stp>
        <stp>Points=40</stp>
        <stp>Sort=R</stp>
        <stp>Days=A</stp>
        <stp>Fill=B</stp>
        <stp>DZ665=267317</stp>
        <stp>X0012=Class 8</stp>
        <stp>X0001=NACA</stp>
        <stp>FX=USD</stp>
        <stp>cols=40;rows=1</stp>
        <tr r="F310" s="3"/>
      </tp>
      <tp t="s">
        <v/>
        <stp/>
        <stp>##V3_BDHV12</stp>
        <stp>VOLVB SS Equity</stp>
        <stp>X1701</stp>
        <stp>-40CM</stp>
        <stp>12/4/2017</stp>
        <stp>[NA Truck Market Shares.xlsx]ReferenceData!R304C6</stp>
        <stp>Per=CM</stp>
        <stp>Dts=H</stp>
        <stp>Dir=H</stp>
        <stp>Points=40</stp>
        <stp>Sort=R</stp>
        <stp>Days=A</stp>
        <stp>Fill=B</stp>
        <stp>DZ665=20497958</stp>
        <stp>X0012=Class 8</stp>
        <stp>X0001=NAUS</stp>
        <stp>FX=USD</stp>
        <stp>cols=40;rows=1</stp>
        <tr r="F304" s="3"/>
      </tp>
      <tp t="s">
        <v/>
        <stp/>
        <stp>##V3_BDHV12</stp>
        <stp>DAI GR Equity</stp>
        <stp>X1701</stp>
        <stp>-40CM</stp>
        <stp>12/4/2017</stp>
        <stp>[NA Truck Market Shares.xlsx]ReferenceData!R308C6</stp>
        <stp>Per=CM</stp>
        <stp>Dts=H</stp>
        <stp>Dir=H</stp>
        <stp>Points=40</stp>
        <stp>Sort=R</stp>
        <stp>Days=A</stp>
        <stp>Fill=B</stp>
        <stp>DZ665=16578421</stp>
        <stp>X0012=Class 8</stp>
        <stp>X0001=NACA</stp>
        <stp>FX=USD</stp>
        <stp>cols=40;rows=1</stp>
        <tr r="F308" s="3"/>
      </tp>
      <tp t="s">
        <v/>
        <stp/>
        <stp>##V3_BDHV12</stp>
        <stp>DAI GR Equity</stp>
        <stp>X1701</stp>
        <stp>-40CM</stp>
        <stp>12/4/2017</stp>
        <stp>[NA Truck Market Shares.xlsx]ReferenceData!R329C6</stp>
        <stp>Per=CM</stp>
        <stp>Dts=H</stp>
        <stp>Dir=H</stp>
        <stp>Points=40</stp>
        <stp>Sort=R</stp>
        <stp>Days=A</stp>
        <stp>Fill=B</stp>
        <stp>DZ665=16578413</stp>
        <stp>X0012=Class 6-7</stp>
        <stp>X0001=NAUS</stp>
        <stp>FX=USD</stp>
        <stp>cols=40;rows=1</stp>
        <tr r="F329" s="3"/>
      </tp>
      <tp t="s">
        <v/>
        <stp/>
        <stp>##V3_BDHV12</stp>
        <stp>7202 JP Equity</stp>
        <stp>X1701</stp>
        <stp>-40CM</stp>
        <stp>12/4/2017</stp>
        <stp>[NA Truck Market Shares.xlsx]ReferenceData!R342C6</stp>
        <stp>Per=CM</stp>
        <stp>Dts=H</stp>
        <stp>Dir=H</stp>
        <stp>Points=40</stp>
        <stp>Sort=R</stp>
        <stp>Days=A</stp>
        <stp>Fill=B</stp>
        <stp>DZ665=25574533</stp>
        <stp>X0012=Class 6-7</stp>
        <stp>X0001=NAUS</stp>
        <stp>DS276=Y</stp>
        <stp>FX=USD</stp>
        <stp>cols=40;rows=1</stp>
        <tr r="F342" s="3"/>
      </tp>
      <tp t="s">
        <v/>
        <stp/>
        <stp>##V3_BDHV12</stp>
        <stp>VOW GR Equity</stp>
        <stp>X1701</stp>
        <stp>-40CM</stp>
        <stp>12/4/2017</stp>
        <stp>[NA Truck Market Shares.xlsx]ReferenceData!R324C6</stp>
        <stp>Per=CM</stp>
        <stp>Dts=H</stp>
        <stp>Dir=H</stp>
        <stp>Points=40</stp>
        <stp>Sort=R</stp>
        <stp>Days=A</stp>
        <stp>Fill=B</stp>
        <stp>DZ665=25574541</stp>
        <stp>X0012=Class 8</stp>
        <stp>X0001=NAMX</stp>
        <stp>FX=USD</stp>
        <stp>cols=40;rows=1</stp>
        <tr r="F324" s="3"/>
      </tp>
      <tp t="s">
        <v/>
        <stp/>
        <stp>##V3_BDHV12</stp>
        <stp>NAV US Equity</stp>
        <stp>X1701</stp>
        <stp>-40CM</stp>
        <stp>12/4/2017</stp>
        <stp>[NA Truck Market Shares.xlsx]ReferenceData!R317C6</stp>
        <stp>Per=CM</stp>
        <stp>Dts=H</stp>
        <stp>Dir=H</stp>
        <stp>Points=40</stp>
        <stp>Sort=R</stp>
        <stp>Days=A</stp>
        <stp>Fill=B</stp>
        <stp>DZ665=377405</stp>
        <stp>X0012=Class 8</stp>
        <stp>X0001=NAMX</stp>
        <stp>FX=USD</stp>
        <stp>cols=40;rows=1</stp>
        <tr r="F317" s="3"/>
      </tp>
      <tp t="s">
        <v/>
        <stp/>
        <stp>##V3_BDHV12</stp>
        <stp>VOLVB SS Equity</stp>
        <stp>X1701</stp>
        <stp>-40CM</stp>
        <stp>12/4/2017</stp>
        <stp>[NA Truck Market Shares.xlsx]ReferenceData!R303C6</stp>
        <stp>Per=CM</stp>
        <stp>Dts=H</stp>
        <stp>Dir=H</stp>
        <stp>Points=40</stp>
        <stp>Sort=R</stp>
        <stp>Days=A</stp>
        <stp>Fill=B</stp>
        <stp>DZ665=20497950</stp>
        <stp>X0012=Class 8</stp>
        <stp>X0001=NAUS</stp>
        <stp>FX=USD</stp>
        <stp>cols=40;rows=1</stp>
        <tr r="F303" s="3"/>
      </tp>
      <tp t="s">
        <v/>
        <stp/>
        <stp>##V3_BDHV12</stp>
        <stp>DAI GR Equity</stp>
        <stp>X1701</stp>
        <stp>-40CM</stp>
        <stp>12/4/2017</stp>
        <stp>[NA Truck Market Shares.xlsx]ReferenceData!R330C6</stp>
        <stp>Per=CM</stp>
        <stp>Dts=H</stp>
        <stp>Dir=H</stp>
        <stp>Points=40</stp>
        <stp>Sort=R</stp>
        <stp>Days=A</stp>
        <stp>Fill=B</stp>
        <stp>DZ665=16578437</stp>
        <stp>X0012=Class 6-7</stp>
        <stp>X0001=NAUS</stp>
        <stp>FX=USD</stp>
        <stp>cols=40;rows=1</stp>
        <tr r="F330" s="3"/>
      </tp>
      <tp t="s">
        <v>#N/A N/A</v>
        <stp/>
        <stp>##V3_BDHV12</stp>
        <stp>TRCKUS8S Index</stp>
        <stp>PR005</stp>
        <stp>-40CM</stp>
        <stp>12/4/2017</stp>
        <stp>[BI_MACHG_1_4x053pag.xlsx]ReferenceData!R385C3</stp>
        <stp>PER=CM</stp>
        <stp>Dts=S</stp>
        <stp>DtFmt=FI</stp>
        <stp>rows=2</stp>
        <stp>Dir=H</stp>
        <stp>Points=40</stp>
        <stp>Sort=R</stp>
        <stp>Days=A</stp>
        <stp>Fill=B</stp>
        <stp>FX=USD</stp>
        <stp>cols=40;rows=2</stp>
        <tr r="C385" s="3"/>
      </tp>
      <tp t="s">
        <v/>
        <stp/>
        <stp>##V3_BDHV12</stp>
        <stp>VOLVB SS Equity</stp>
        <stp>X1701</stp>
        <stp>-40CM</stp>
        <stp>12/4/2017</stp>
        <stp>[NA Truck Market Shares.xlsx]ReferenceData!R322C6</stp>
        <stp>Per=CM</stp>
        <stp>Dts=H</stp>
        <stp>Dir=H</stp>
        <stp>Points=40</stp>
        <stp>Sort=R</stp>
        <stp>Days=A</stp>
        <stp>Fill=B</stp>
        <stp>DZ665=20497958</stp>
        <stp>X0012=Class 8</stp>
        <stp>X0001=NAMX</stp>
        <stp>FX=USD</stp>
        <stp>cols=40;rows=1</stp>
        <tr r="F322" s="3"/>
      </tp>
      <tp t="s">
        <v/>
        <stp/>
        <stp>##V3_BDHV12</stp>
        <stp>NAV US Equity</stp>
        <stp>X1701</stp>
        <stp>-40CM</stp>
        <stp>12/4/2017</stp>
        <stp>[NA Truck Market Shares.xlsx]ReferenceData!R305C6</stp>
        <stp>Per=CM</stp>
        <stp>Dts=H</stp>
        <stp>Dir=H</stp>
        <stp>Points=40</stp>
        <stp>Sort=R</stp>
        <stp>Days=A</stp>
        <stp>Fill=B</stp>
        <stp>DZ665=377405</stp>
        <stp>X0012=Class 8</stp>
        <stp>X0001=NAUS</stp>
        <stp>FX=USD</stp>
        <stp>cols=40;rows=1</stp>
        <tr r="F305" s="3"/>
      </tp>
      <tp t="s">
        <v/>
        <stp/>
        <stp>##V3_BDHV12</stp>
        <stp>VOLVB SS Equity</stp>
        <stp>X1701</stp>
        <stp>-40CM</stp>
        <stp>12/4/2017</stp>
        <stp>[NA Truck Market Shares.xlsx]ReferenceData!R321C6</stp>
        <stp>Per=CM</stp>
        <stp>Dts=H</stp>
        <stp>Dir=H</stp>
        <stp>Points=40</stp>
        <stp>Sort=R</stp>
        <stp>Days=A</stp>
        <stp>Fill=B</stp>
        <stp>DZ665=20497950</stp>
        <stp>X0012=Class 8</stp>
        <stp>X0001=NAMX</stp>
        <stp>FX=USD</stp>
        <stp>cols=40;rows=1</stp>
        <tr r="F321" s="3"/>
      </tp>
      <tp t="s">
        <v/>
        <stp/>
        <stp>##V3_BDHV12</stp>
        <stp>DAI GR Equity</stp>
        <stp>X1701</stp>
        <stp>-40CM</stp>
        <stp>12/4/2017</stp>
        <stp>[NA Truck Market Shares.xlsx]ReferenceData!R358C6</stp>
        <stp>Per=CM</stp>
        <stp>Dts=H</stp>
        <stp>Dir=H</stp>
        <stp>Points=40</stp>
        <stp>Sort=R</stp>
        <stp>Days=A</stp>
        <stp>Fill=B</stp>
        <stp>DZ665=16578413</stp>
        <stp>X0012=Class 6-7</stp>
        <stp>X0001=NAMX</stp>
        <stp>FX=USD</stp>
        <stp>cols=40;rows=1</stp>
        <tr r="F358" s="3"/>
      </tp>
      <tp t="s">
        <v/>
        <stp/>
        <stp>##V3_BDHV12</stp>
        <stp>7202 JP Equity</stp>
        <stp>X1701</stp>
        <stp>-40CM</stp>
        <stp>12/4/2017</stp>
        <stp>[NA Truck Market Shares.xlsx]ReferenceData!R362C6</stp>
        <stp>Per=CM</stp>
        <stp>Dts=H</stp>
        <stp>Dir=H</stp>
        <stp>Points=40</stp>
        <stp>Sort=R</stp>
        <stp>Days=A</stp>
        <stp>Fill=B</stp>
        <stp>DZ665=25574533</stp>
        <stp>X0012=Class 6-7</stp>
        <stp>X0001=NAMX</stp>
        <stp>DS276=Y</stp>
        <stp>FX=USD</stp>
        <stp>cols=40;rows=1</stp>
        <tr r="F362" s="3"/>
      </tp>
      <tp t="s">
        <v/>
        <stp/>
        <stp>##V3_BDHV12</stp>
        <stp>DAI GR Equity</stp>
        <stp>X1701</stp>
        <stp>-40CM</stp>
        <stp>12/4/2017</stp>
        <stp>[NA Truck Market Shares.xlsx]ReferenceData!R307C6</stp>
        <stp>Per=CM</stp>
        <stp>Dts=H</stp>
        <stp>Dir=H</stp>
        <stp>Points=40</stp>
        <stp>Sort=R</stp>
        <stp>Days=A</stp>
        <stp>Fill=B</stp>
        <stp>DZ665=16578413</stp>
        <stp>X0012=Class 8</stp>
        <stp>X0001=NACA</stp>
        <stp>FX=USD</stp>
        <stp>cols=40;rows=1</stp>
        <tr r="F307" s="3"/>
      </tp>
      <tp t="s">
        <v/>
        <stp/>
        <stp>##V3_BDHV12</stp>
        <stp>F US Equity</stp>
        <stp>X1701</stp>
        <stp>-40CM</stp>
        <stp>12/4/2017</stp>
        <stp>[NA Truck Market Shares.xlsx]ReferenceData!R336C6</stp>
        <stp>Per=CM</stp>
        <stp>Dts=H</stp>
        <stp>Dir=H</stp>
        <stp>Points=40</stp>
        <stp>Sort=R</stp>
        <stp>Days=A</stp>
        <stp>Fill=B</stp>
        <stp>DZ665=260940</stp>
        <stp>X0012=Class 6-7</stp>
        <stp>X0001=NAUS</stp>
        <stp>FX=USD</stp>
        <stp>cols=40;rows=1</stp>
        <tr r="F336" s="3"/>
      </tp>
      <tp t="s">
        <v/>
        <stp/>
        <stp>##V3_BDHV12</stp>
        <stp>MTLQQ US Equity</stp>
        <stp>X1701</stp>
        <stp>-40CM</stp>
        <stp>12/4/2017</stp>
        <stp>[NA Truck Market Shares.xlsx]ReferenceData!R341C6</stp>
        <stp>Per=CM</stp>
        <stp>Dts=H</stp>
        <stp>Dir=H</stp>
        <stp>Points=40</stp>
        <stp>Sort=R</stp>
        <stp>Days=A</stp>
        <stp>Fill=B</stp>
        <stp>DZ665=261172</stp>
        <stp>X0012=Class 6-7</stp>
        <stp>X0001=NAUS</stp>
        <stp>FX=USD</stp>
        <tr r="F341" s="3"/>
      </tp>
      <tp t="s">
        <v/>
        <stp/>
        <stp>##V3_BDHV12</stp>
        <stp>MTLQQ US Equity</stp>
        <stp>X1701</stp>
        <stp>-40CM</stp>
        <stp>12/4/2017</stp>
        <stp>[NA Truck Market Shares.xlsx]ReferenceData!R355C6</stp>
        <stp>Per=CM</stp>
        <stp>Dts=H</stp>
        <stp>Dir=H</stp>
        <stp>Points=40</stp>
        <stp>Sort=R</stp>
        <stp>Days=A</stp>
        <stp>Fill=B</stp>
        <stp>DZ665=261172</stp>
        <stp>X0012=Class 6-7</stp>
        <stp>X0001=NACA</stp>
        <stp>FX=USD</stp>
        <tr r="F355" s="3"/>
      </tp>
      <tp t="s">
        <v/>
        <stp/>
        <stp>##V3_BDHV12</stp>
        <stp>MTLQQ US Equity</stp>
        <stp>X1701</stp>
        <stp>-40CM</stp>
        <stp>12/4/2017</stp>
        <stp>[NA Truck Market Shares.xlsx]ReferenceData!R367C6</stp>
        <stp>Per=CM</stp>
        <stp>Dts=H</stp>
        <stp>Dir=H</stp>
        <stp>Points=40</stp>
        <stp>Sort=R</stp>
        <stp>Days=A</stp>
        <stp>Fill=B</stp>
        <stp>DZ665=261172</stp>
        <stp>X0012=Class 6-7</stp>
        <stp>X0001=NAMX</stp>
        <stp>FX=USD</stp>
        <tr r="F367" s="3"/>
      </tp>
      <tp t="s">
        <v/>
        <stp/>
        <stp>##V3_BDHV12</stp>
        <stp>TRCKUS6S Index</stp>
        <stp>PR005</stp>
        <stp>-40CM</stp>
        <stp>12/4/2017</stp>
        <stp>[NA Truck Market Shares.xlsx]ReferenceData!R328C6</stp>
        <stp>Per=CM</stp>
        <stp>Dts=H</stp>
        <stp>Dir=H</stp>
        <stp>Points=40</stp>
        <stp>Sort=R</stp>
        <stp>Days=A</stp>
        <stp>Fill=B</stp>
        <stp>FX=USD</stp>
        <stp>cols=40;rows=1</stp>
        <tr r="F328" s="3"/>
      </tp>
      <tp t="s">
        <v/>
        <stp/>
        <stp>##V3_BDHV12</stp>
        <stp>7205 JP Equity</stp>
        <stp>X1701</stp>
        <stp>-40CM</stp>
        <stp>12/4/2017</stp>
        <stp>[NA Truck Market Shares.xlsx]ReferenceData!R337C6</stp>
        <stp>Per=CM</stp>
        <stp>Dts=H</stp>
        <stp>Dir=H</stp>
        <stp>Points=40</stp>
        <stp>Sort=R</stp>
        <stp>Days=A</stp>
        <stp>Fill=B</stp>
        <stp>DZ665=1727201</stp>
        <stp>X0012=Class 6-7</stp>
        <stp>X0001=NAUS</stp>
        <stp>DS276=Y</stp>
        <stp>FX=USD</stp>
        <stp>cols=40;rows=1</stp>
        <tr r="F337" s="3"/>
      </tp>
      <tp t="s">
        <v/>
        <stp/>
        <stp>##V3_BDHV12</stp>
        <stp>MTLQQ US Equity</stp>
        <stp>X1701</stp>
        <stp>-40CM</stp>
        <stp>12/4/2017</stp>
        <stp>[NA Truck Market Shares.xlsx]ReferenceData!R340C6</stp>
        <stp>Per=CM</stp>
        <stp>Dts=H</stp>
        <stp>Dir=H</stp>
        <stp>Points=40</stp>
        <stp>Sort=R</stp>
        <stp>Days=A</stp>
        <stp>Fill=B</stp>
        <stp>DZ665=261177</stp>
        <stp>X0012=Class 6-7</stp>
        <stp>X0001=NAUS</stp>
        <stp>FX=USD</stp>
        <tr r="F340" s="3"/>
      </tp>
      <tp t="s">
        <v/>
        <stp/>
        <stp>##V3_BDHV12</stp>
        <stp>MTLQQ US Equity</stp>
        <stp>X1701</stp>
        <stp>-40CM</stp>
        <stp>12/4/2017</stp>
        <stp>[NA Truck Market Shares.xlsx]ReferenceData!R354C6</stp>
        <stp>Per=CM</stp>
        <stp>Dts=H</stp>
        <stp>Dir=H</stp>
        <stp>Points=40</stp>
        <stp>Sort=R</stp>
        <stp>Days=A</stp>
        <stp>Fill=B</stp>
        <stp>DZ665=261177</stp>
        <stp>X0012=Class 6-7</stp>
        <stp>X0001=NACA</stp>
        <stp>FX=USD</stp>
        <tr r="F354" s="3"/>
      </tp>
      <tp t="s">
        <v/>
        <stp/>
        <stp>##V3_BDHV12</stp>
        <stp>TRCKMX8S Index</stp>
        <stp>PR005</stp>
        <stp>-40CM</stp>
        <stp>12/4/2017</stp>
        <stp>[NA Truck Market Shares.xlsx]ReferenceData!R315C6</stp>
        <stp>Per=CM</stp>
        <stp>Dts=H</stp>
        <stp>Dir=H</stp>
        <stp>Points=40</stp>
        <stp>Sort=R</stp>
        <stp>Days=A</stp>
        <stp>Fill=B</stp>
        <stp>FX=USD</stp>
        <stp>cols=40;rows=1</stp>
        <tr r="F315" s="3"/>
      </tp>
      <tp t="s">
        <v/>
        <stp/>
        <stp>##V3_BDHV12</stp>
        <stp>TRCKCA8S Index</stp>
        <stp>PR005</stp>
        <stp>-40CM</stp>
        <stp>12/4/2017</stp>
        <stp>[NA Truck Market Shares.xlsx]ReferenceData!R306C6</stp>
        <stp>Per=CM</stp>
        <stp>Dts=H</stp>
        <stp>Dir=H</stp>
        <stp>Points=40</stp>
        <stp>Sort=R</stp>
        <stp>Days=A</stp>
        <stp>Fill=B</stp>
        <stp>FX=USD</stp>
        <stp>cols=40;rows=1</stp>
        <tr r="F306" s="3"/>
      </tp>
      <tp t="s">
        <v/>
        <stp/>
        <stp>##V3_BDHV12</stp>
        <stp>TRCKNA8S Index</stp>
        <stp>PR005</stp>
        <stp>-40CM</stp>
        <stp>12/4/2017</stp>
        <stp>[NA Truck Market Shares.xlsx]ReferenceData!R296C6</stp>
        <stp>Per=CM</stp>
        <stp>Dts=H</stp>
        <stp>Dir=H</stp>
        <stp>Points=40</stp>
        <stp>Sort=R</stp>
        <stp>Days=A</stp>
        <stp>Fill=B</stp>
        <stp>FX=USD</stp>
        <stp>cols=40;rows=1</stp>
        <tr r="F296" s="3"/>
      </tp>
      <tp t="s">
        <v/>
        <stp/>
        <stp>##V3_BDHV12</stp>
        <stp>TRCKMX6S Index</stp>
        <stp>PR005</stp>
        <stp>-40CM</stp>
        <stp>12/4/2017</stp>
        <stp>[NA Truck Market Shares.xlsx]ReferenceData!R357C6</stp>
        <stp>Per=CM</stp>
        <stp>Dts=H</stp>
        <stp>Dir=H</stp>
        <stp>Points=40</stp>
        <stp>Sort=R</stp>
        <stp>Days=A</stp>
        <stp>Fill=B</stp>
        <stp>FX=USD</stp>
        <stp>cols=40;rows=1</stp>
        <tr r="F357" s="3"/>
      </tp>
      <tp t="s">
        <v/>
        <stp/>
        <stp>##V3_BDHV12</stp>
        <stp>TRCKNA6S Index</stp>
        <stp>PR005</stp>
        <stp>-40CM</stp>
        <stp>12/4/2017</stp>
        <stp>[NA Truck Market Shares.xlsx]ReferenceData!R327C6</stp>
        <stp>Per=CM</stp>
        <stp>Dts=H</stp>
        <stp>Dir=H</stp>
        <stp>Points=40</stp>
        <stp>Sort=R</stp>
        <stp>Days=A</stp>
        <stp>Fill=B</stp>
        <stp>FX=USD</stp>
        <stp>cols=40;rows=1</stp>
        <tr r="F327" s="3"/>
      </tp>
      <tp t="s">
        <v/>
        <stp/>
        <stp>##V3_BDHV12</stp>
        <stp>TRCKUS8S Index</stp>
        <stp>PR005</stp>
        <stp>-40CM</stp>
        <stp>12/4/2017</stp>
        <stp>[NA Truck Market Shares.xlsx]ReferenceData!R297C6</stp>
        <stp>Per=CM</stp>
        <stp>Dts=H</stp>
        <stp>Dir=H</stp>
        <stp>Points=40</stp>
        <stp>Sort=R</stp>
        <stp>Days=A</stp>
        <stp>Fill=B</stp>
        <stp>FX=USD</stp>
        <stp>cols=40;rows=1</stp>
        <tr r="F297" s="3"/>
      </tp>
      <tp t="s">
        <v/>
        <stp/>
        <stp>##V3_BDHV12</stp>
        <stp>DAI GR Equity</stp>
        <stp>X1701</stp>
        <stp>-40CM</stp>
        <stp>12/4/2017</stp>
        <stp>[NA Truck Market Shares.xlsx]ReferenceData!R300C6</stp>
        <stp>Per=CM</stp>
        <stp>Dts=H</stp>
        <stp>Dir=H</stp>
        <stp>Points=40</stp>
        <stp>Sort=R</stp>
        <stp>Days=A</stp>
        <stp>Fill=B</stp>
        <stp>DZ665=25574529</stp>
        <stp>X0012=Class 8</stp>
        <stp>X0001=NAUS</stp>
        <stp>FX=USD</stp>
        <tr r="F300" s="3"/>
      </tp>
      <tp t="s">
        <v/>
        <stp/>
        <stp>##V3_BDHV12</stp>
        <stp>DAI GR Equity</stp>
        <stp>X1701</stp>
        <stp>-40CM</stp>
        <stp>12/4/2017</stp>
        <stp>[NA Truck Market Shares.xlsx]ReferenceData!R320C6</stp>
        <stp>Per=CM</stp>
        <stp>Dts=H</stp>
        <stp>Dir=H</stp>
        <stp>Points=40</stp>
        <stp>Sort=R</stp>
        <stp>Days=A</stp>
        <stp>Fill=B</stp>
        <stp>DZ665=25574529</stp>
        <stp>X0012=Class 8</stp>
        <stp>X0001=NAMX</stp>
        <stp>FX=USD</stp>
        <tr r="F320" s="3"/>
      </tp>
      <tp t="s">
        <v/>
        <stp/>
        <stp>##V3_BDHV12</stp>
        <stp>DAI GR Equity</stp>
        <stp>X1701</stp>
        <stp>-40CM</stp>
        <stp>12/4/2017</stp>
        <stp>[NA Truck Market Shares.xlsx]ReferenceData!R309C6</stp>
        <stp>Per=CM</stp>
        <stp>Dts=H</stp>
        <stp>Dir=H</stp>
        <stp>Points=40</stp>
        <stp>Sort=R</stp>
        <stp>Days=A</stp>
        <stp>Fill=B</stp>
        <stp>DZ665=25574529</stp>
        <stp>X0012=Class 8</stp>
        <stp>X0001=NACA</stp>
        <stp>FX=USD</stp>
        <tr r="F309" s="3"/>
      </tp>
      <tp t="s">
        <v/>
        <stp/>
        <stp>##V3_BDHV12</stp>
        <stp>TRCKCA6S Index</stp>
        <stp>PR005</stp>
        <stp>-40CM</stp>
        <stp>12/4/2017</stp>
        <stp>[NA Truck Market Shares.xlsx]ReferenceData!R343C6</stp>
        <stp>Per=CM</stp>
        <stp>Dts=H</stp>
        <stp>Dir=H</stp>
        <stp>Points=40</stp>
        <stp>Sort=R</stp>
        <stp>Days=A</stp>
        <stp>Fill=B</stp>
        <stp>FX=USD</stp>
        <stp>cols=40;rows=1</stp>
        <tr r="F343" s="3"/>
      </tp>
      <tp t="s">
        <v/>
        <stp/>
        <stp>##V3_BDHV12</stp>
        <stp>7205 JP Equity</stp>
        <stp>X1701</stp>
        <stp>-40CM</stp>
        <stp>12/4/2017</stp>
        <stp>[NA Truck Market Shares.xlsx]ReferenceData!R363C6</stp>
        <stp>Per=CM</stp>
        <stp>Dts=H</stp>
        <stp>Dir=H</stp>
        <stp>Points=40</stp>
        <stp>Sort=R</stp>
        <stp>Days=A</stp>
        <stp>Fill=B</stp>
        <stp>DZ665=1727201</stp>
        <stp>X0012=Class 6-7</stp>
        <stp>X0001=NAMX</stp>
        <stp>DS276=Y</stp>
        <stp>FX=USD</stp>
        <stp>cols=40;rows=1</stp>
        <tr r="F363" s="3"/>
      </tp>
      <tp t="s">
        <v/>
        <stp/>
        <stp>##V3_BDHV12</stp>
        <stp>VOW GR Equity</stp>
        <stp>X1701</stp>
        <stp>-40CM</stp>
        <stp>12/4/2017</stp>
        <stp>[NA Truck Market Shares.xlsx]ReferenceData!R368C6</stp>
        <stp>Per=CM</stp>
        <stp>Dts=H</stp>
        <stp>Dir=H</stp>
        <stp>Points=40</stp>
        <stp>Sort=R</stp>
        <stp>Days=A</stp>
        <stp>Fill=B</stp>
        <stp>DZ665=25574541</stp>
        <stp>X0012=Class 6-7</stp>
        <stp>X0001=NAMX</stp>
        <stp>FX=USD</stp>
        <tr r="F368" s="3"/>
      </tp>
      <tp t="s">
        <v/>
        <stp/>
        <stp>##V3_BDHV12</stp>
        <stp>DAI GR Equity</stp>
        <stp>X1701</stp>
        <stp>-40CM</stp>
        <stp>12/4/2017</stp>
        <stp>[NA Truck Market Shares.xlsx]ReferenceData!R332C6</stp>
        <stp>Per=CM</stp>
        <stp>Dts=H</stp>
        <stp>Dir=H</stp>
        <stp>Points=40</stp>
        <stp>Sort=R</stp>
        <stp>Days=A</stp>
        <stp>Fill=B</stp>
        <stp>DZ665=25574529</stp>
        <stp>X0012=Class 6-7</stp>
        <stp>X0001=NAUS</stp>
        <stp>FX=USD</stp>
        <tr r="F332" s="3"/>
      </tp>
      <tp t="s">
        <v/>
        <stp/>
        <stp>##V3_BDHV12</stp>
        <stp>DAI GR Equity</stp>
        <stp>X1701</stp>
        <stp>-40CM</stp>
        <stp>12/4/2017</stp>
        <stp>[NA Truck Market Shares.xlsx]ReferenceData!R349C6</stp>
        <stp>Per=CM</stp>
        <stp>Dts=H</stp>
        <stp>Dir=H</stp>
        <stp>Points=40</stp>
        <stp>Sort=R</stp>
        <stp>Days=A</stp>
        <stp>Fill=B</stp>
        <stp>DZ665=25574529</stp>
        <stp>X0012=Class 6-7</stp>
        <stp>X0001=NACA</stp>
        <stp>FX=USD</stp>
        <tr r="F349" s="3"/>
      </tp>
      <tp t="s">
        <v/>
        <stp/>
        <stp>##V3_BDHV12</stp>
        <stp>F US Equity</stp>
        <stp>X1701</stp>
        <stp>-40CM</stp>
        <stp>12/4/2017</stp>
        <stp>[NA Truck Market Shares.xlsx]ReferenceData!R352C6</stp>
        <stp>Per=CM</stp>
        <stp>Dts=H</stp>
        <stp>Dir=H</stp>
        <stp>Points=40</stp>
        <stp>Sort=R</stp>
        <stp>Days=A</stp>
        <stp>Fill=B</stp>
        <stp>DZ665=260940</stp>
        <stp>X0012=Class 6-7</stp>
        <stp>X0001=NACA</stp>
        <stp>FX=USD</stp>
        <stp>cols=40;rows=1</stp>
        <tr r="F352" s="3"/>
      </tp>
      <tp t="s">
        <v/>
        <stp/>
        <stp>##V3_BDHV12</stp>
        <stp>DAI GR Equity</stp>
        <stp>X1701</stp>
        <stp>-40CM</stp>
        <stp>12/4/2017</stp>
        <stp>[NA Truck Market Shares.xlsx]ReferenceData!R360C6</stp>
        <stp>Per=CM</stp>
        <stp>Dts=H</stp>
        <stp>Dir=H</stp>
        <stp>Points=40</stp>
        <stp>Sort=R</stp>
        <stp>Days=A</stp>
        <stp>Fill=B</stp>
        <stp>DZ665=25574529</stp>
        <stp>X0012=Class 6-7</stp>
        <stp>X0001=NAMX</stp>
        <stp>FX=USD</stp>
        <tr r="F360" s="3"/>
      </tp>
      <tp t="s">
        <v/>
        <stp/>
        <stp>##V3_BDHV12</stp>
        <stp>7205 JP Equity</stp>
        <stp>X1701</stp>
        <stp>-40CM</stp>
        <stp>12/4/2017</stp>
        <stp>[NA Truck Market Shares.xlsx]ReferenceData!R351C6</stp>
        <stp>Per=CM</stp>
        <stp>Dts=H</stp>
        <stp>Dir=H</stp>
        <stp>Points=40</stp>
        <stp>Sort=R</stp>
        <stp>Days=A</stp>
        <stp>Fill=B</stp>
        <stp>DZ665=1727201</stp>
        <stp>X0012=Class 6-7</stp>
        <stp>X0001=NACA</stp>
        <stp>DS276=Y</stp>
        <stp>FX=USD</stp>
        <stp>cols=40;rows=1</stp>
        <tr r="F351" s="3"/>
      </tp>
      <tp t="s">
        <v>#N/A N/A</v>
        <stp/>
        <stp>##V3_BDHV12</stp>
        <stp>DAI GR Equity</stp>
        <stp>X1701</stp>
        <stp>-40CM</stp>
        <stp>12/4/2017</stp>
        <stp>[BI_MACHG_1_4x053pag.xlsx]ReferenceData!R387C3</stp>
        <stp>PER=CM</stp>
        <stp>Dts=S</stp>
        <stp>DtFmt=FI</stp>
        <stp>rows=2</stp>
        <stp>Dir=H</stp>
        <stp>Points=40</stp>
        <stp>Sort=R</stp>
        <stp>Days=A</stp>
        <stp>Fill=B</stp>
        <stp>DZ665=16578413</stp>
        <stp>X0012=Class 8</stp>
        <stp>X0001=NAUS</stp>
        <stp>FX=USD</stp>
        <stp>cols=40;rows=2</stp>
        <tr r="C387" s="3"/>
      </tp>
      <tp t="s">
        <v/>
        <stp/>
        <stp>##V3_BDHV12</stp>
        <stp>DAI GR Equity</stp>
        <stp>X1701</stp>
        <stp>-40CM</stp>
        <stp>12/4/2017</stp>
        <stp>[NA Truck Market Shares.xlsx]ReferenceData!R348C6</stp>
        <stp>Per=CM</stp>
        <stp>Dts=H</stp>
        <stp>Dir=H</stp>
        <stp>Points=40</stp>
        <stp>Sort=R</stp>
        <stp>Days=A</stp>
        <stp>Fill=B</stp>
        <stp>DZ665=16578437</stp>
        <stp>X0012=Class 6-7</stp>
        <stp>X0001=NACA</stp>
        <stp>FX=USD</stp>
        <tr r="F348" s="3"/>
      </tp>
      <tp t="s">
        <v/>
        <stp/>
        <stp>##V3_BDHV12</stp>
        <stp>DAI GR Equity</stp>
        <stp>X1701</stp>
        <stp>-40CM</stp>
        <stp>12/4/2017</stp>
        <stp>[NA Truck Market Shares.xlsx]ReferenceData!R331C6</stp>
        <stp>Per=CM</stp>
        <stp>Dts=H</stp>
        <stp>Dir=H</stp>
        <stp>Points=40</stp>
        <stp>Sort=R</stp>
        <stp>Days=A</stp>
        <stp>Fill=B</stp>
        <stp>DZ665=16578421</stp>
        <stp>X0012=Class 6-7</stp>
        <stp>X0001=NAUS</stp>
        <stp>FX=USD</stp>
        <tr r="F331" s="3"/>
      </tp>
      <tp t="s">
        <v/>
        <stp/>
        <stp>##V3_BDHV12</stp>
        <stp>DAI GR Equity</stp>
        <stp>X1701</stp>
        <stp>-40CM</stp>
        <stp>12/4/2017</stp>
        <stp>[NA Truck Market Shares.xlsx]ReferenceData!R350C6</stp>
        <stp>Per=CM</stp>
        <stp>Dts=H</stp>
        <stp>Dir=H</stp>
        <stp>Points=40</stp>
        <stp>Sort=R</stp>
        <stp>Days=A</stp>
        <stp>Fill=B</stp>
        <stp>DZ665=16578421</stp>
        <stp>X0012=Class 6-7</stp>
        <stp>X0001=NACA</stp>
        <stp>FX=USD</stp>
        <tr r="F350" s="3"/>
      </tp>
      <tp t="s">
        <v/>
        <stp/>
        <stp>##V3_BDHV12</stp>
        <stp>8128757Z MM Equity</stp>
        <stp>X1701</stp>
        <stp>-40CM</stp>
        <stp>12/4/2017</stp>
        <stp>[NA Truck Market Shares.xlsx]ReferenceData!R364C6</stp>
        <stp>Per=CM</stp>
        <stp>Dts=H</stp>
        <stp>Dir=H</stp>
        <stp>Points=40</stp>
        <stp>Sort=R</stp>
        <stp>Days=A</stp>
        <stp>Fill=B</stp>
        <stp>DZ665=25574537</stp>
        <stp>X0012=Class 6-7</stp>
        <stp>X0001=NAMX</stp>
        <stp>FX=USD</stp>
        <stp>cols=40;rows=1</stp>
        <tr r="F364" s="3"/>
      </tp>
      <tp t="s">
        <v/>
        <stp/>
        <stp>##V3_BDHV12</stp>
        <stp>VOW GR Equity</stp>
        <stp>X1701</stp>
        <stp>-40CM</stp>
        <stp>12/4/2017</stp>
        <stp>[NA Truck Market Shares.xlsx]ReferenceData!R325C6</stp>
        <stp>Per=CM</stp>
        <stp>Dts=H</stp>
        <stp>Dir=H</stp>
        <stp>Points=40</stp>
        <stp>Sort=R</stp>
        <stp>Days=A</stp>
        <stp>Fill=B</stp>
        <stp>DZ665=246930</stp>
        <stp>X0012=Class 8</stp>
        <stp>X0001=NAMX</stp>
        <stp>FX=USD</stp>
        <tr r="F325" s="3"/>
      </tp>
      <tp t="s">
        <v>#N/A N/A</v>
        <stp/>
        <stp>##V3_BDHV12</stp>
        <stp>DAI GR Equity</stp>
        <stp>X1701</stp>
        <stp>-40CM</stp>
        <stp>12/4/2017</stp>
        <stp>[NA Truck Market Shares.xlsx]ReferenceData!R395C3</stp>
        <stp>PER=CM</stp>
        <stp>Dts=S</stp>
        <stp>DtFmt=FI</stp>
        <stp>rows=2</stp>
        <stp>Dir=H</stp>
        <stp>Points=40</stp>
        <stp>Sort=R</stp>
        <stp>Days=A</stp>
        <stp>Fill=B</stp>
        <stp>DZ665=16578413</stp>
        <stp>X0012=Class 8</stp>
        <stp>X0001=NAUS</stp>
        <stp>FX=USD</stp>
        <stp>cols=40;rows=2</stp>
        <tr r="C395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78"/>
  <sheetViews>
    <sheetView tabSelected="1" workbookViewId="0">
      <selection activeCell="G7" sqref="G7"/>
    </sheetView>
  </sheetViews>
  <sheetFormatPr defaultRowHeight="15" x14ac:dyDescent="0.25"/>
  <cols>
    <col min="1" max="1" width="56.28515625" customWidth="1"/>
    <col min="2" max="2" width="15.85546875" customWidth="1"/>
    <col min="3" max="45" width="9.140625" bestFit="1" customWidth="1"/>
  </cols>
  <sheetData>
    <row r="1" spans="1:4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t="str">
        <f>IFERROR(IF(0=LEN(ReferenceData!$A$2),"",ReferenceData!$A$2),"")</f>
        <v>Description</v>
      </c>
      <c r="B2" t="str">
        <f>IFERROR(IF(0=LEN(ReferenceData!$B$2),"",ReferenceData!$B$2),"")</f>
        <v>Ticker</v>
      </c>
      <c r="C2" t="str">
        <f>IFERROR(IF(0=LEN(ReferenceData!$C$2),"",ReferenceData!$C$2),"")</f>
        <v>Field ID</v>
      </c>
      <c r="D2" t="str">
        <f>IFERROR(IF(0=LEN(ReferenceData!$D$2),"",ReferenceData!$D$2),"")</f>
        <v>Field Mnemonic</v>
      </c>
      <c r="E2" t="str">
        <f>IFERROR(IF(0=LEN(ReferenceData!$E$2),"",ReferenceData!$E$2),"")</f>
        <v>Data State</v>
      </c>
      <c r="F2" t="str">
        <f>IFERROR(IF(0=LEN(ReferenceData!$F$2),"",ReferenceData!$F$2),"")</f>
        <v>10/2017</v>
      </c>
      <c r="G2" t="str">
        <f>IFERROR(IF(0=LEN(ReferenceData!$G$2),"",ReferenceData!$G$2),"")</f>
        <v>9/2017</v>
      </c>
      <c r="H2" t="str">
        <f>IFERROR(IF(0=LEN(ReferenceData!$H$2),"",ReferenceData!$H$2),"")</f>
        <v>8/2017</v>
      </c>
      <c r="I2" t="str">
        <f>IFERROR(IF(0=LEN(ReferenceData!$I$2),"",ReferenceData!$I$2),"")</f>
        <v>7/2017</v>
      </c>
      <c r="J2" t="str">
        <f>IFERROR(IF(0=LEN(ReferenceData!$J$2),"",ReferenceData!$J$2),"")</f>
        <v>6/2017</v>
      </c>
      <c r="K2" t="str">
        <f>IFERROR(IF(0=LEN(ReferenceData!$K$2),"",ReferenceData!$K$2),"")</f>
        <v>5/2017</v>
      </c>
      <c r="L2" t="str">
        <f>IFERROR(IF(0=LEN(ReferenceData!$L$2),"",ReferenceData!$L$2),"")</f>
        <v>4/2017</v>
      </c>
      <c r="M2" t="str">
        <f>IFERROR(IF(0=LEN(ReferenceData!$M$2),"",ReferenceData!$M$2),"")</f>
        <v>3/2017</v>
      </c>
      <c r="N2" t="str">
        <f>IFERROR(IF(0=LEN(ReferenceData!$N$2),"",ReferenceData!$N$2),"")</f>
        <v>2/2017</v>
      </c>
      <c r="O2" t="str">
        <f>IFERROR(IF(0=LEN(ReferenceData!$O$2),"",ReferenceData!$O$2),"")</f>
        <v>1/2017</v>
      </c>
      <c r="P2" t="str">
        <f>IFERROR(IF(0=LEN(ReferenceData!$P$2),"",ReferenceData!$P$2),"")</f>
        <v>12/2016</v>
      </c>
      <c r="Q2" t="str">
        <f>IFERROR(IF(0=LEN(ReferenceData!$Q$2),"",ReferenceData!$Q$2),"")</f>
        <v>11/2016</v>
      </c>
      <c r="R2" t="str">
        <f>IFERROR(IF(0=LEN(ReferenceData!$R$2),"",ReferenceData!$R$2),"")</f>
        <v>10/2016</v>
      </c>
      <c r="S2" t="str">
        <f>IFERROR(IF(0=LEN(ReferenceData!$S$2),"",ReferenceData!$S$2),"")</f>
        <v>9/2016</v>
      </c>
      <c r="T2" t="str">
        <f>IFERROR(IF(0=LEN(ReferenceData!$T$2),"",ReferenceData!$T$2),"")</f>
        <v>8/2016</v>
      </c>
      <c r="U2" t="str">
        <f>IFERROR(IF(0=LEN(ReferenceData!$U$2),"",ReferenceData!$U$2),"")</f>
        <v>7/2016</v>
      </c>
      <c r="V2" t="str">
        <f>IFERROR(IF(0=LEN(ReferenceData!$V$2),"",ReferenceData!$V$2),"")</f>
        <v>6/2016</v>
      </c>
      <c r="W2" t="str">
        <f>IFERROR(IF(0=LEN(ReferenceData!$W$2),"",ReferenceData!$W$2),"")</f>
        <v>5/2016</v>
      </c>
      <c r="X2" t="str">
        <f>IFERROR(IF(0=LEN(ReferenceData!$X$2),"",ReferenceData!$X$2),"")</f>
        <v>4/2016</v>
      </c>
      <c r="Y2" t="str">
        <f>IFERROR(IF(0=LEN(ReferenceData!$Y$2),"",ReferenceData!$Y$2),"")</f>
        <v>3/2016</v>
      </c>
      <c r="Z2" t="str">
        <f>IFERROR(IF(0=LEN(ReferenceData!$Z$2),"",ReferenceData!$Z$2),"")</f>
        <v>2/2016</v>
      </c>
      <c r="AA2" t="str">
        <f>IFERROR(IF(0=LEN(ReferenceData!$AA$2),"",ReferenceData!$AA$2),"")</f>
        <v>1/2016</v>
      </c>
      <c r="AB2" t="str">
        <f>IFERROR(IF(0=LEN(ReferenceData!$AB$2),"",ReferenceData!$AB$2),"")</f>
        <v>12/2015</v>
      </c>
      <c r="AC2" t="str">
        <f>IFERROR(IF(0=LEN(ReferenceData!$AC$2),"",ReferenceData!$AC$2),"")</f>
        <v>11/2015</v>
      </c>
      <c r="AD2" t="str">
        <f>IFERROR(IF(0=LEN(ReferenceData!$AD$2),"",ReferenceData!$AD$2),"")</f>
        <v>10/2015</v>
      </c>
      <c r="AE2" t="str">
        <f>IFERROR(IF(0=LEN(ReferenceData!$AE$2),"",ReferenceData!$AE$2),"")</f>
        <v>9/2015</v>
      </c>
      <c r="AF2" t="str">
        <f>IFERROR(IF(0=LEN(ReferenceData!$AF$2),"",ReferenceData!$AF$2),"")</f>
        <v>8/2015</v>
      </c>
      <c r="AG2" t="str">
        <f>IFERROR(IF(0=LEN(ReferenceData!$AG$2),"",ReferenceData!$AG$2),"")</f>
        <v>7/2015</v>
      </c>
      <c r="AH2" t="str">
        <f>IFERROR(IF(0=LEN(ReferenceData!$AH$2),"",ReferenceData!$AH$2),"")</f>
        <v>6/2015</v>
      </c>
      <c r="AI2" t="str">
        <f>IFERROR(IF(0=LEN(ReferenceData!$AI$2),"",ReferenceData!$AI$2),"")</f>
        <v>5/2015</v>
      </c>
      <c r="AJ2" t="str">
        <f>IFERROR(IF(0=LEN(ReferenceData!$AJ$2),"",ReferenceData!$AJ$2),"")</f>
        <v>4/2015</v>
      </c>
      <c r="AK2" t="str">
        <f>IFERROR(IF(0=LEN(ReferenceData!$AK$2),"",ReferenceData!$AK$2),"")</f>
        <v>3/2015</v>
      </c>
      <c r="AL2" t="str">
        <f>IFERROR(IF(0=LEN(ReferenceData!$AL$2),"",ReferenceData!$AL$2),"")</f>
        <v>2/2015</v>
      </c>
      <c r="AM2" t="str">
        <f>IFERROR(IF(0=LEN(ReferenceData!$AM$2),"",ReferenceData!$AM$2),"")</f>
        <v>1/2015</v>
      </c>
      <c r="AN2" t="str">
        <f>IFERROR(IF(0=LEN(ReferenceData!$AN$2),"",ReferenceData!$AN$2),"")</f>
        <v>12/2014</v>
      </c>
      <c r="AO2" t="str">
        <f>IFERROR(IF(0=LEN(ReferenceData!$AO$2),"",ReferenceData!$AO$2),"")</f>
        <v>11/2014</v>
      </c>
      <c r="AP2" t="str">
        <f>IFERROR(IF(0=LEN(ReferenceData!$AP$2),"",ReferenceData!$AP$2),"")</f>
        <v>10/2014</v>
      </c>
      <c r="AQ2" t="str">
        <f>IFERROR(IF(0=LEN(ReferenceData!$AQ$2),"",ReferenceData!$AQ$2),"")</f>
        <v>9/2014</v>
      </c>
      <c r="AR2" t="str">
        <f>IFERROR(IF(0=LEN(ReferenceData!$AR$2),"",ReferenceData!$AR$2),"")</f>
        <v>8/2014</v>
      </c>
      <c r="AS2" t="str">
        <f>IFERROR(IF(0=LEN(ReferenceData!$AS$2),"",ReferenceData!$AS$2),"")</f>
        <v>7/2014</v>
      </c>
    </row>
    <row r="3" spans="1:45" x14ac:dyDescent="0.25">
      <c r="A3" t="str">
        <f>IFERROR(IF(0=LEN(ReferenceData!$A$3),"",ReferenceData!$A$3),"")</f>
        <v>North American Retail Sales - Market Share</v>
      </c>
      <c r="B3" t="str">
        <f>IFERROR(IF(0=LEN(ReferenceData!$B$3),"",ReferenceData!$B$3),"")</f>
        <v/>
      </c>
      <c r="C3" t="str">
        <f>IFERROR(IF(0=LEN(ReferenceData!$C$3),"",ReferenceData!$C$3),"")</f>
        <v/>
      </c>
      <c r="D3" t="str">
        <f>IFERROR(IF(0=LEN(ReferenceData!$D$3),"",ReferenceData!$D$3),"")</f>
        <v/>
      </c>
      <c r="E3" t="str">
        <f>IFERROR(IF(0=LEN(ReferenceData!$E$3),"",ReferenceData!$E$3),"")</f>
        <v>Heading</v>
      </c>
      <c r="F3" t="str">
        <f>IFERROR(IF(0=LEN(ReferenceData!$F$3),"",ReferenceData!$F$3),"")</f>
        <v/>
      </c>
      <c r="G3" t="str">
        <f>IFERROR(IF(0=LEN(ReferenceData!$G$3),"",ReferenceData!$G$3),"")</f>
        <v/>
      </c>
      <c r="H3" t="str">
        <f>IFERROR(IF(0=LEN(ReferenceData!$H$3),"",ReferenceData!$H$3),"")</f>
        <v/>
      </c>
      <c r="I3" t="str">
        <f>IFERROR(IF(0=LEN(ReferenceData!$I$3),"",ReferenceData!$I$3),"")</f>
        <v/>
      </c>
      <c r="J3" t="str">
        <f>IFERROR(IF(0=LEN(ReferenceData!$J$3),"",ReferenceData!$J$3),"")</f>
        <v/>
      </c>
      <c r="K3" t="str">
        <f>IFERROR(IF(0=LEN(ReferenceData!$K$3),"",ReferenceData!$K$3),"")</f>
        <v/>
      </c>
      <c r="L3" t="str">
        <f>IFERROR(IF(0=LEN(ReferenceData!$L$3),"",ReferenceData!$L$3),"")</f>
        <v/>
      </c>
      <c r="M3" t="str">
        <f>IFERROR(IF(0=LEN(ReferenceData!$M$3),"",ReferenceData!$M$3),"")</f>
        <v/>
      </c>
      <c r="N3" t="str">
        <f>IFERROR(IF(0=LEN(ReferenceData!$N$3),"",ReferenceData!$N$3),"")</f>
        <v/>
      </c>
      <c r="O3" t="str">
        <f>IFERROR(IF(0=LEN(ReferenceData!$O$3),"",ReferenceData!$O$3),"")</f>
        <v/>
      </c>
      <c r="P3" t="str">
        <f>IFERROR(IF(0=LEN(ReferenceData!$P$3),"",ReferenceData!$P$3),"")</f>
        <v/>
      </c>
      <c r="Q3" t="str">
        <f>IFERROR(IF(0=LEN(ReferenceData!$Q$3),"",ReferenceData!$Q$3),"")</f>
        <v/>
      </c>
      <c r="R3" t="str">
        <f>IFERROR(IF(0=LEN(ReferenceData!$R$3),"",ReferenceData!$R$3),"")</f>
        <v/>
      </c>
      <c r="S3" t="str">
        <f>IFERROR(IF(0=LEN(ReferenceData!$S$3),"",ReferenceData!$S$3),"")</f>
        <v/>
      </c>
      <c r="T3" t="str">
        <f>IFERROR(IF(0=LEN(ReferenceData!$T$3),"",ReferenceData!$T$3),"")</f>
        <v/>
      </c>
      <c r="U3" t="str">
        <f>IFERROR(IF(0=LEN(ReferenceData!$U$3),"",ReferenceData!$U$3),"")</f>
        <v/>
      </c>
      <c r="V3" t="str">
        <f>IFERROR(IF(0=LEN(ReferenceData!$V$3),"",ReferenceData!$V$3),"")</f>
        <v/>
      </c>
      <c r="W3" t="str">
        <f>IFERROR(IF(0=LEN(ReferenceData!$W$3),"",ReferenceData!$W$3),"")</f>
        <v/>
      </c>
      <c r="X3" t="str">
        <f>IFERROR(IF(0=LEN(ReferenceData!$X$3),"",ReferenceData!$X$3),"")</f>
        <v/>
      </c>
      <c r="Y3" t="str">
        <f>IFERROR(IF(0=LEN(ReferenceData!$Y$3),"",ReferenceData!$Y$3),"")</f>
        <v/>
      </c>
      <c r="Z3" t="str">
        <f>IFERROR(IF(0=LEN(ReferenceData!$Z$3),"",ReferenceData!$Z$3),"")</f>
        <v/>
      </c>
      <c r="AA3" t="str">
        <f>IFERROR(IF(0=LEN(ReferenceData!$AA$3),"",ReferenceData!$AA$3),"")</f>
        <v/>
      </c>
      <c r="AB3" t="str">
        <f>IFERROR(IF(0=LEN(ReferenceData!$AB$3),"",ReferenceData!$AB$3),"")</f>
        <v/>
      </c>
      <c r="AC3" t="str">
        <f>IFERROR(IF(0=LEN(ReferenceData!$AC$3),"",ReferenceData!$AC$3),"")</f>
        <v/>
      </c>
      <c r="AD3" t="str">
        <f>IFERROR(IF(0=LEN(ReferenceData!$AD$3),"",ReferenceData!$AD$3),"")</f>
        <v/>
      </c>
      <c r="AE3" t="str">
        <f>IFERROR(IF(0=LEN(ReferenceData!$AE$3),"",ReferenceData!$AE$3),"")</f>
        <v/>
      </c>
      <c r="AF3" t="str">
        <f>IFERROR(IF(0=LEN(ReferenceData!$AF$3),"",ReferenceData!$AF$3),"")</f>
        <v/>
      </c>
      <c r="AG3" t="str">
        <f>IFERROR(IF(0=LEN(ReferenceData!$AG$3),"",ReferenceData!$AG$3),"")</f>
        <v/>
      </c>
      <c r="AH3" t="str">
        <f>IFERROR(IF(0=LEN(ReferenceData!$AH$3),"",ReferenceData!$AH$3),"")</f>
        <v/>
      </c>
      <c r="AI3" t="str">
        <f>IFERROR(IF(0=LEN(ReferenceData!$AI$3),"",ReferenceData!$AI$3),"")</f>
        <v/>
      </c>
      <c r="AJ3" t="str">
        <f>IFERROR(IF(0=LEN(ReferenceData!$AJ$3),"",ReferenceData!$AJ$3),"")</f>
        <v/>
      </c>
      <c r="AK3" t="str">
        <f>IFERROR(IF(0=LEN(ReferenceData!$AK$3),"",ReferenceData!$AK$3),"")</f>
        <v/>
      </c>
      <c r="AL3" t="str">
        <f>IFERROR(IF(0=LEN(ReferenceData!$AL$3),"",ReferenceData!$AL$3),"")</f>
        <v/>
      </c>
      <c r="AM3" t="str">
        <f>IFERROR(IF(0=LEN(ReferenceData!$AM$3),"",ReferenceData!$AM$3),"")</f>
        <v/>
      </c>
      <c r="AN3" t="str">
        <f>IFERROR(IF(0=LEN(ReferenceData!$AN$3),"",ReferenceData!$AN$3),"")</f>
        <v/>
      </c>
      <c r="AO3" t="str">
        <f>IFERROR(IF(0=LEN(ReferenceData!$AO$3),"",ReferenceData!$AO$3),"")</f>
        <v/>
      </c>
      <c r="AP3" t="str">
        <f>IFERROR(IF(0=LEN(ReferenceData!$AP$3),"",ReferenceData!$AP$3),"")</f>
        <v/>
      </c>
      <c r="AQ3" t="str">
        <f>IFERROR(IF(0=LEN(ReferenceData!$AQ$3),"",ReferenceData!$AQ$3),"")</f>
        <v/>
      </c>
      <c r="AR3" t="str">
        <f>IFERROR(IF(0=LEN(ReferenceData!$AR$3),"",ReferenceData!$AR$3),"")</f>
        <v/>
      </c>
      <c r="AS3" t="str">
        <f>IFERROR(IF(0=LEN(ReferenceData!$AS$3),"",ReferenceData!$AS$3),"")</f>
        <v/>
      </c>
    </row>
    <row r="4" spans="1:45" x14ac:dyDescent="0.25">
      <c r="A4" t="str">
        <f>IFERROR(IF(0=LEN(ReferenceData!$A$4),"",ReferenceData!$A$4),"")</f>
        <v>Class 8 (Heavy-Duty):</v>
      </c>
      <c r="B4" t="str">
        <f>IFERROR(IF(0=LEN(ReferenceData!$B$4),"",ReferenceData!$B$4),"")</f>
        <v/>
      </c>
      <c r="C4" t="str">
        <f>IFERROR(IF(0=LEN(ReferenceData!$C$4),"",ReferenceData!$C$4),"")</f>
        <v/>
      </c>
      <c r="D4" t="str">
        <f>IFERROR(IF(0=LEN(ReferenceData!$D$4),"",ReferenceData!$D$4),"")</f>
        <v/>
      </c>
      <c r="E4" t="str">
        <f>IFERROR(IF(0=LEN(ReferenceData!$E$4),"",ReferenceData!$E$4),"")</f>
        <v>Heading</v>
      </c>
      <c r="F4" t="str">
        <f>IFERROR(IF(0=LEN(ReferenceData!$F$4),"",ReferenceData!$F$4),"")</f>
        <v/>
      </c>
      <c r="G4" t="str">
        <f>IFERROR(IF(0=LEN(ReferenceData!$G$4),"",ReferenceData!$G$4),"")</f>
        <v/>
      </c>
      <c r="H4" t="str">
        <f>IFERROR(IF(0=LEN(ReferenceData!$H$4),"",ReferenceData!$H$4),"")</f>
        <v/>
      </c>
      <c r="I4" t="str">
        <f>IFERROR(IF(0=LEN(ReferenceData!$I$4),"",ReferenceData!$I$4),"")</f>
        <v/>
      </c>
      <c r="J4" t="str">
        <f>IFERROR(IF(0=LEN(ReferenceData!$J$4),"",ReferenceData!$J$4),"")</f>
        <v/>
      </c>
      <c r="K4" t="str">
        <f>IFERROR(IF(0=LEN(ReferenceData!$K$4),"",ReferenceData!$K$4),"")</f>
        <v/>
      </c>
      <c r="L4" t="str">
        <f>IFERROR(IF(0=LEN(ReferenceData!$L$4),"",ReferenceData!$L$4),"")</f>
        <v/>
      </c>
      <c r="M4" t="str">
        <f>IFERROR(IF(0=LEN(ReferenceData!$M$4),"",ReferenceData!$M$4),"")</f>
        <v/>
      </c>
      <c r="N4" t="str">
        <f>IFERROR(IF(0=LEN(ReferenceData!$N$4),"",ReferenceData!$N$4),"")</f>
        <v/>
      </c>
      <c r="O4" t="str">
        <f>IFERROR(IF(0=LEN(ReferenceData!$O$4),"",ReferenceData!$O$4),"")</f>
        <v/>
      </c>
      <c r="P4" t="str">
        <f>IFERROR(IF(0=LEN(ReferenceData!$P$4),"",ReferenceData!$P$4),"")</f>
        <v/>
      </c>
      <c r="Q4" t="str">
        <f>IFERROR(IF(0=LEN(ReferenceData!$Q$4),"",ReferenceData!$Q$4),"")</f>
        <v/>
      </c>
      <c r="R4" t="str">
        <f>IFERROR(IF(0=LEN(ReferenceData!$R$4),"",ReferenceData!$R$4),"")</f>
        <v/>
      </c>
      <c r="S4" t="str">
        <f>IFERROR(IF(0=LEN(ReferenceData!$S$4),"",ReferenceData!$S$4),"")</f>
        <v/>
      </c>
      <c r="T4" t="str">
        <f>IFERROR(IF(0=LEN(ReferenceData!$T$4),"",ReferenceData!$T$4),"")</f>
        <v/>
      </c>
      <c r="U4" t="str">
        <f>IFERROR(IF(0=LEN(ReferenceData!$U$4),"",ReferenceData!$U$4),"")</f>
        <v/>
      </c>
      <c r="V4" t="str">
        <f>IFERROR(IF(0=LEN(ReferenceData!$V$4),"",ReferenceData!$V$4),"")</f>
        <v/>
      </c>
      <c r="W4" t="str">
        <f>IFERROR(IF(0=LEN(ReferenceData!$W$4),"",ReferenceData!$W$4),"")</f>
        <v/>
      </c>
      <c r="X4" t="str">
        <f>IFERROR(IF(0=LEN(ReferenceData!$X$4),"",ReferenceData!$X$4),"")</f>
        <v/>
      </c>
      <c r="Y4" t="str">
        <f>IFERROR(IF(0=LEN(ReferenceData!$Y$4),"",ReferenceData!$Y$4),"")</f>
        <v/>
      </c>
      <c r="Z4" t="str">
        <f>IFERROR(IF(0=LEN(ReferenceData!$Z$4),"",ReferenceData!$Z$4),"")</f>
        <v/>
      </c>
      <c r="AA4" t="str">
        <f>IFERROR(IF(0=LEN(ReferenceData!$AA$4),"",ReferenceData!$AA$4),"")</f>
        <v/>
      </c>
      <c r="AB4" t="str">
        <f>IFERROR(IF(0=LEN(ReferenceData!$AB$4),"",ReferenceData!$AB$4),"")</f>
        <v/>
      </c>
      <c r="AC4" t="str">
        <f>IFERROR(IF(0=LEN(ReferenceData!$AC$4),"",ReferenceData!$AC$4),"")</f>
        <v/>
      </c>
      <c r="AD4" t="str">
        <f>IFERROR(IF(0=LEN(ReferenceData!$AD$4),"",ReferenceData!$AD$4),"")</f>
        <v/>
      </c>
      <c r="AE4" t="str">
        <f>IFERROR(IF(0=LEN(ReferenceData!$AE$4),"",ReferenceData!$AE$4),"")</f>
        <v/>
      </c>
      <c r="AF4" t="str">
        <f>IFERROR(IF(0=LEN(ReferenceData!$AF$4),"",ReferenceData!$AF$4),"")</f>
        <v/>
      </c>
      <c r="AG4" t="str">
        <f>IFERROR(IF(0=LEN(ReferenceData!$AG$4),"",ReferenceData!$AG$4),"")</f>
        <v/>
      </c>
      <c r="AH4" t="str">
        <f>IFERROR(IF(0=LEN(ReferenceData!$AH$4),"",ReferenceData!$AH$4),"")</f>
        <v/>
      </c>
      <c r="AI4" t="str">
        <f>IFERROR(IF(0=LEN(ReferenceData!$AI$4),"",ReferenceData!$AI$4),"")</f>
        <v/>
      </c>
      <c r="AJ4" t="str">
        <f>IFERROR(IF(0=LEN(ReferenceData!$AJ$4),"",ReferenceData!$AJ$4),"")</f>
        <v/>
      </c>
      <c r="AK4" t="str">
        <f>IFERROR(IF(0=LEN(ReferenceData!$AK$4),"",ReferenceData!$AK$4),"")</f>
        <v/>
      </c>
      <c r="AL4" t="str">
        <f>IFERROR(IF(0=LEN(ReferenceData!$AL$4),"",ReferenceData!$AL$4),"")</f>
        <v/>
      </c>
      <c r="AM4" t="str">
        <f>IFERROR(IF(0=LEN(ReferenceData!$AM$4),"",ReferenceData!$AM$4),"")</f>
        <v/>
      </c>
      <c r="AN4" t="str">
        <f>IFERROR(IF(0=LEN(ReferenceData!$AN$4),"",ReferenceData!$AN$4),"")</f>
        <v/>
      </c>
      <c r="AO4" t="str">
        <f>IFERROR(IF(0=LEN(ReferenceData!$AO$4),"",ReferenceData!$AO$4),"")</f>
        <v/>
      </c>
      <c r="AP4" t="str">
        <f>IFERROR(IF(0=LEN(ReferenceData!$AP$4),"",ReferenceData!$AP$4),"")</f>
        <v/>
      </c>
      <c r="AQ4" t="str">
        <f>IFERROR(IF(0=LEN(ReferenceData!$AQ$4),"",ReferenceData!$AQ$4),"")</f>
        <v/>
      </c>
      <c r="AR4" t="str">
        <f>IFERROR(IF(0=LEN(ReferenceData!$AR$4),"",ReferenceData!$AR$4),"")</f>
        <v/>
      </c>
      <c r="AS4" t="str">
        <f>IFERROR(IF(0=LEN(ReferenceData!$AS$4),"",ReferenceData!$AS$4),"")</f>
        <v/>
      </c>
    </row>
    <row r="5" spans="1:45" x14ac:dyDescent="0.25">
      <c r="A5" t="str">
        <f>IFERROR(IF(0=LEN(ReferenceData!$A$5),"",ReferenceData!$A$5),"")</f>
        <v>Total North America (Class 8)</v>
      </c>
      <c r="B5" t="str">
        <f>IFERROR(IF(0=LEN(ReferenceData!$B$5),"",ReferenceData!$B$5),"")</f>
        <v>TRCKNA8S Index</v>
      </c>
      <c r="C5" t="str">
        <f>IFERROR(IF(0=LEN(ReferenceData!$C$5),"",ReferenceData!$C$5),"")</f>
        <v/>
      </c>
      <c r="D5" t="str">
        <f>IFERROR(IF(0=LEN(ReferenceData!$D$5),"",ReferenceData!$D$5),"")</f>
        <v/>
      </c>
      <c r="E5" t="str">
        <f>IFERROR(IF(0=LEN(ReferenceData!$E$5),"",ReferenceData!$E$5),"")</f>
        <v>Sum</v>
      </c>
      <c r="F5">
        <f ca="1">IFERROR(IF(0=LEN(ReferenceData!$F$5),"",ReferenceData!$F$5),"")</f>
        <v>99.999999996000014</v>
      </c>
      <c r="G5">
        <f ca="1">IFERROR(IF(0=LEN(ReferenceData!$G$5),"",ReferenceData!$G$5),"")</f>
        <v>99.999999989000003</v>
      </c>
      <c r="H5">
        <f ca="1">IFERROR(IF(0=LEN(ReferenceData!$H$5),"",ReferenceData!$H$5),"")</f>
        <v>100.00000000799999</v>
      </c>
      <c r="I5">
        <f ca="1">IFERROR(IF(0=LEN(ReferenceData!$I$5),"",ReferenceData!$I$5),"")</f>
        <v>99.999999996</v>
      </c>
      <c r="J5">
        <f ca="1">IFERROR(IF(0=LEN(ReferenceData!$J$5),"",ReferenceData!$J$5),"")</f>
        <v>99.999999997000003</v>
      </c>
      <c r="K5">
        <f ca="1">IFERROR(IF(0=LEN(ReferenceData!$K$5),"",ReferenceData!$K$5),"")</f>
        <v>100.000000007</v>
      </c>
      <c r="L5">
        <f ca="1">IFERROR(IF(0=LEN(ReferenceData!$L$5),"",ReferenceData!$L$5),"")</f>
        <v>100.00000000499999</v>
      </c>
      <c r="M5">
        <f ca="1">IFERROR(IF(0=LEN(ReferenceData!$M$5),"",ReferenceData!$M$5),"")</f>
        <v>100.00000000599999</v>
      </c>
      <c r="N5">
        <f ca="1">IFERROR(IF(0=LEN(ReferenceData!$N$5),"",ReferenceData!$N$5),"")</f>
        <v>100.000000004</v>
      </c>
      <c r="O5">
        <f ca="1">IFERROR(IF(0=LEN(ReferenceData!$O$5),"",ReferenceData!$O$5),"")</f>
        <v>99.99999999500001</v>
      </c>
      <c r="P5">
        <f ca="1">IFERROR(IF(0=LEN(ReferenceData!$P$5),"",ReferenceData!$P$5),"")</f>
        <v>99.999999992000014</v>
      </c>
      <c r="Q5">
        <f ca="1">IFERROR(IF(0=LEN(ReferenceData!$Q$5),"",ReferenceData!$Q$5),"")</f>
        <v>99.999999997999993</v>
      </c>
      <c r="R5">
        <f ca="1">IFERROR(IF(0=LEN(ReferenceData!$R$5),"",ReferenceData!$R$5),"")</f>
        <v>99.99999999100001</v>
      </c>
      <c r="S5">
        <f ca="1">IFERROR(IF(0=LEN(ReferenceData!$S$5),"",ReferenceData!$S$5),"")</f>
        <v>99.999999991999999</v>
      </c>
      <c r="T5">
        <f ca="1">IFERROR(IF(0=LEN(ReferenceData!$T$5),"",ReferenceData!$T$5),"")</f>
        <v>99.999999998000007</v>
      </c>
      <c r="U5">
        <f ca="1">IFERROR(IF(0=LEN(ReferenceData!$U$5),"",ReferenceData!$U$5),"")</f>
        <v>100.000000004</v>
      </c>
      <c r="V5">
        <f ca="1">IFERROR(IF(0=LEN(ReferenceData!$V$5),"",ReferenceData!$V$5),"")</f>
        <v>100.00000000599998</v>
      </c>
      <c r="W5">
        <f ca="1">IFERROR(IF(0=LEN(ReferenceData!$W$5),"",ReferenceData!$W$5),"")</f>
        <v>100.00000000200001</v>
      </c>
      <c r="X5">
        <f ca="1">IFERROR(IF(0=LEN(ReferenceData!$X$5),"",ReferenceData!$X$5),"")</f>
        <v>100.00000001000001</v>
      </c>
      <c r="Y5">
        <f ca="1">IFERROR(IF(0=LEN(ReferenceData!$Y$5),"",ReferenceData!$Y$5),"")</f>
        <v>99.999999994000007</v>
      </c>
      <c r="Z5">
        <f ca="1">IFERROR(IF(0=LEN(ReferenceData!$Z$5),"",ReferenceData!$Z$5),"")</f>
        <v>99.999999990999981</v>
      </c>
      <c r="AA5">
        <f ca="1">IFERROR(IF(0=LEN(ReferenceData!$AA$5),"",ReferenceData!$AA$5),"")</f>
        <v>100.000000017</v>
      </c>
      <c r="AB5">
        <f ca="1">IFERROR(IF(0=LEN(ReferenceData!$AB$5),"",ReferenceData!$AB$5),"")</f>
        <v>99.999999994999982</v>
      </c>
      <c r="AC5">
        <f ca="1">IFERROR(IF(0=LEN(ReferenceData!$AC$5),"",ReferenceData!$AC$5),"")</f>
        <v>99.999999997000003</v>
      </c>
      <c r="AD5">
        <f ca="1">IFERROR(IF(0=LEN(ReferenceData!$AD$5),"",ReferenceData!$AD$5),"")</f>
        <v>99.999999991999985</v>
      </c>
      <c r="AE5">
        <f ca="1">IFERROR(IF(0=LEN(ReferenceData!$AE$5),"",ReferenceData!$AE$5),"")</f>
        <v>100.00000001400001</v>
      </c>
      <c r="AF5">
        <f ca="1">IFERROR(IF(0=LEN(ReferenceData!$AF$5),"",ReferenceData!$AF$5),"")</f>
        <v>100.00000000599999</v>
      </c>
      <c r="AG5">
        <f ca="1">IFERROR(IF(0=LEN(ReferenceData!$AG$5),"",ReferenceData!$AG$5),"")</f>
        <v>100.00000000200001</v>
      </c>
      <c r="AH5">
        <f ca="1">IFERROR(IF(0=LEN(ReferenceData!$AH$5),"",ReferenceData!$AH$5),"")</f>
        <v>99.999999990000006</v>
      </c>
      <c r="AI5">
        <f ca="1">IFERROR(IF(0=LEN(ReferenceData!$AI$5),"",ReferenceData!$AI$5),"")</f>
        <v>99.999999994999996</v>
      </c>
      <c r="AJ5">
        <f ca="1">IFERROR(IF(0=LEN(ReferenceData!$AJ$5),"",ReferenceData!$AJ$5),"")</f>
        <v>100.00000000700001</v>
      </c>
      <c r="AK5">
        <f ca="1">IFERROR(IF(0=LEN(ReferenceData!$AK$5),"",ReferenceData!$AK$5),"")</f>
        <v>100.00000000100002</v>
      </c>
      <c r="AL5">
        <f ca="1">IFERROR(IF(0=LEN(ReferenceData!$AL$5),"",ReferenceData!$AL$5),"")</f>
        <v>99.99999999500001</v>
      </c>
      <c r="AM5">
        <f ca="1">IFERROR(IF(0=LEN(ReferenceData!$AM$5),"",ReferenceData!$AM$5),"")</f>
        <v>99.999999994999982</v>
      </c>
      <c r="AN5">
        <f ca="1">IFERROR(IF(0=LEN(ReferenceData!$AN$5),"",ReferenceData!$AN$5),"")</f>
        <v>100.00000000599999</v>
      </c>
      <c r="AO5">
        <f ca="1">IFERROR(IF(0=LEN(ReferenceData!$AO$5),"",ReferenceData!$AO$5),"")</f>
        <v>100.00000001499998</v>
      </c>
      <c r="AP5">
        <f ca="1">IFERROR(IF(0=LEN(ReferenceData!$AP$5),"",ReferenceData!$AP$5),"")</f>
        <v>100.000000009</v>
      </c>
      <c r="AQ5">
        <f ca="1">IFERROR(IF(0=LEN(ReferenceData!$AQ$5),"",ReferenceData!$AQ$5),"")</f>
        <v>100.000000008</v>
      </c>
      <c r="AR5">
        <f ca="1">IFERROR(IF(0=LEN(ReferenceData!$AR$5),"",ReferenceData!$AR$5),"")</f>
        <v>99.999999997000003</v>
      </c>
      <c r="AS5">
        <f ca="1">IFERROR(IF(0=LEN(ReferenceData!$AS$5),"",ReferenceData!$AS$5),"")</f>
        <v>99.999999997000003</v>
      </c>
    </row>
    <row r="6" spans="1:45" x14ac:dyDescent="0.25">
      <c r="A6" t="str">
        <f>IFERROR(IF(0=LEN(ReferenceData!$A$6),"",ReferenceData!$A$6),"")</f>
        <v xml:space="preserve">    Daimler</v>
      </c>
      <c r="B6" t="str">
        <f>IFERROR(IF(0=LEN(ReferenceData!$B$6),"",ReferenceData!$B$6),"")</f>
        <v/>
      </c>
      <c r="C6" t="str">
        <f>IFERROR(IF(0=LEN(ReferenceData!$C$6),"",ReferenceData!$C$6),"")</f>
        <v/>
      </c>
      <c r="D6" t="str">
        <f>IFERROR(IF(0=LEN(ReferenceData!$D$6),"",ReferenceData!$D$6),"")</f>
        <v/>
      </c>
      <c r="E6" t="str">
        <f>IFERROR(IF(0=LEN(ReferenceData!$E$6),"",ReferenceData!$E$6),"")</f>
        <v>Sum</v>
      </c>
      <c r="F6">
        <f ca="1">IFERROR(IF(0=LEN(ReferenceData!$F$6),"",ReferenceData!$F$6),"")</f>
        <v>36.137502162000004</v>
      </c>
      <c r="G6">
        <f ca="1">IFERROR(IF(0=LEN(ReferenceData!$G$6),"",ReferenceData!$G$6),"")</f>
        <v>41.014808554000005</v>
      </c>
      <c r="H6">
        <f ca="1">IFERROR(IF(0=LEN(ReferenceData!$H$6),"",ReferenceData!$H$6),"")</f>
        <v>35.864998385999996</v>
      </c>
      <c r="I6">
        <f ca="1">IFERROR(IF(0=LEN(ReferenceData!$I$6),"",ReferenceData!$I$6),"")</f>
        <v>38.901601829000001</v>
      </c>
      <c r="J6">
        <f ca="1">IFERROR(IF(0=LEN(ReferenceData!$J$6),"",ReferenceData!$J$6),"")</f>
        <v>38.377549179999995</v>
      </c>
      <c r="K6">
        <f ca="1">IFERROR(IF(0=LEN(ReferenceData!$K$6),"",ReferenceData!$K$6),"")</f>
        <v>42.551566078</v>
      </c>
      <c r="L6">
        <f ca="1">IFERROR(IF(0=LEN(ReferenceData!$L$6),"",ReferenceData!$L$6),"")</f>
        <v>38.135026738999997</v>
      </c>
      <c r="M6">
        <f ca="1">IFERROR(IF(0=LEN(ReferenceData!$M$6),"",ReferenceData!$M$6),"")</f>
        <v>37.601196311999999</v>
      </c>
      <c r="N6">
        <f ca="1">IFERROR(IF(0=LEN(ReferenceData!$N$6),"",ReferenceData!$N$6),"")</f>
        <v>39.927541185999999</v>
      </c>
      <c r="O6">
        <f ca="1">IFERROR(IF(0=LEN(ReferenceData!$O$6),"",ReferenceData!$O$6),"")</f>
        <v>39.695886759000004</v>
      </c>
      <c r="P6">
        <f ca="1">IFERROR(IF(0=LEN(ReferenceData!$P$6),"",ReferenceData!$P$6),"")</f>
        <v>32.552239491000002</v>
      </c>
      <c r="Q6">
        <f ca="1">IFERROR(IF(0=LEN(ReferenceData!$Q$6),"",ReferenceData!$Q$6),"")</f>
        <v>41.210886485000003</v>
      </c>
      <c r="R6">
        <f ca="1">IFERROR(IF(0=LEN(ReferenceData!$R$6),"",ReferenceData!$R$6),"")</f>
        <v>34.381267274999999</v>
      </c>
      <c r="S6">
        <f ca="1">IFERROR(IF(0=LEN(ReferenceData!$S$6),"",ReferenceData!$S$6),"")</f>
        <v>36.853807674999999</v>
      </c>
      <c r="T6">
        <f ca="1">IFERROR(IF(0=LEN(ReferenceData!$T$6),"",ReferenceData!$T$6),"")</f>
        <v>39.170213806999996</v>
      </c>
      <c r="U6">
        <f ca="1">IFERROR(IF(0=LEN(ReferenceData!$U$6),"",ReferenceData!$U$6),"")</f>
        <v>37.927514040999995</v>
      </c>
      <c r="V6">
        <f ca="1">IFERROR(IF(0=LEN(ReferenceData!$V$6),"",ReferenceData!$V$6),"")</f>
        <v>38.896502937999998</v>
      </c>
      <c r="W6">
        <f ca="1">IFERROR(IF(0=LEN(ReferenceData!$W$6),"",ReferenceData!$W$6),"")</f>
        <v>43.051995609000002</v>
      </c>
      <c r="X6">
        <f ca="1">IFERROR(IF(0=LEN(ReferenceData!$X$6),"",ReferenceData!$X$6),"")</f>
        <v>40.640252658999998</v>
      </c>
      <c r="Y6">
        <f ca="1">IFERROR(IF(0=LEN(ReferenceData!$Y$6),"",ReferenceData!$Y$6),"")</f>
        <v>44.358719092000001</v>
      </c>
      <c r="Z6">
        <f ca="1">IFERROR(IF(0=LEN(ReferenceData!$Z$6),"",ReferenceData!$Z$6),"")</f>
        <v>42.438404874999996</v>
      </c>
      <c r="AA6">
        <f ca="1">IFERROR(IF(0=LEN(ReferenceData!$AA$6),"",ReferenceData!$AA$6),"")</f>
        <v>45.346738852000001</v>
      </c>
      <c r="AB6">
        <f ca="1">IFERROR(IF(0=LEN(ReferenceData!$AB$6),"",ReferenceData!$AB$6),"")</f>
        <v>35.304847285999998</v>
      </c>
      <c r="AC6">
        <f ca="1">IFERROR(IF(0=LEN(ReferenceData!$AC$6),"",ReferenceData!$AC$6),"")</f>
        <v>47.474531286000001</v>
      </c>
      <c r="AD6">
        <f ca="1">IFERROR(IF(0=LEN(ReferenceData!$AD$6),"",ReferenceData!$AD$6),"")</f>
        <v>41.866755439999999</v>
      </c>
      <c r="AE6">
        <f ca="1">IFERROR(IF(0=LEN(ReferenceData!$AE$6),"",ReferenceData!$AE$6),"")</f>
        <v>39.662120276000003</v>
      </c>
      <c r="AF6">
        <f ca="1">IFERROR(IF(0=LEN(ReferenceData!$AF$6),"",ReferenceData!$AF$6),"")</f>
        <v>37.500474404999999</v>
      </c>
      <c r="AG6">
        <f ca="1">IFERROR(IF(0=LEN(ReferenceData!$AG$6),"",ReferenceData!$AG$6),"")</f>
        <v>39.373976213000006</v>
      </c>
      <c r="AH6">
        <f ca="1">IFERROR(IF(0=LEN(ReferenceData!$AH$6),"",ReferenceData!$AH$6),"")</f>
        <v>38.146191401999999</v>
      </c>
      <c r="AI6">
        <f ca="1">IFERROR(IF(0=LEN(ReferenceData!$AI$6),"",ReferenceData!$AI$6),"")</f>
        <v>38.239158997999994</v>
      </c>
      <c r="AJ6">
        <f ca="1">IFERROR(IF(0=LEN(ReferenceData!$AJ$6),"",ReferenceData!$AJ$6),"")</f>
        <v>34.203592815</v>
      </c>
      <c r="AK6">
        <f ca="1">IFERROR(IF(0=LEN(ReferenceData!$AK$6),"",ReferenceData!$AK$6),"")</f>
        <v>34.717924306</v>
      </c>
      <c r="AL6">
        <f ca="1">IFERROR(IF(0=LEN(ReferenceData!$AL$6),"",ReferenceData!$AL$6),"")</f>
        <v>39.076270012000002</v>
      </c>
      <c r="AM6">
        <f ca="1">IFERROR(IF(0=LEN(ReferenceData!$AM$6),"",ReferenceData!$AM$6),"")</f>
        <v>43.479697829999999</v>
      </c>
      <c r="AN6">
        <f ca="1">IFERROR(IF(0=LEN(ReferenceData!$AN$6),"",ReferenceData!$AN$6),"")</f>
        <v>36.976352540000008</v>
      </c>
      <c r="AO6">
        <f ca="1">IFERROR(IF(0=LEN(ReferenceData!$AO$6),"",ReferenceData!$AO$6),"")</f>
        <v>34.953909508999999</v>
      </c>
      <c r="AP6">
        <f ca="1">IFERROR(IF(0=LEN(ReferenceData!$AP$6),"",ReferenceData!$AP$6),"")</f>
        <v>37.698718658000004</v>
      </c>
      <c r="AQ6">
        <f ca="1">IFERROR(IF(0=LEN(ReferenceData!$AQ$6),"",ReferenceData!$AQ$6),"")</f>
        <v>35.522168093000005</v>
      </c>
      <c r="AR6">
        <f ca="1">IFERROR(IF(0=LEN(ReferenceData!$AR$6),"",ReferenceData!$AR$6),"")</f>
        <v>36.493327200000003</v>
      </c>
      <c r="AS6">
        <f ca="1">IFERROR(IF(0=LEN(ReferenceData!$AS$6),"",ReferenceData!$AS$6),"")</f>
        <v>34.137504796000002</v>
      </c>
    </row>
    <row r="7" spans="1:45" x14ac:dyDescent="0.25">
      <c r="A7" t="str">
        <f>IFERROR(IF(0=LEN(ReferenceData!$A$7),"",ReferenceData!$A$7),"")</f>
        <v xml:space="preserve">        Freightliner</v>
      </c>
      <c r="B7" t="str">
        <f>IFERROR(IF(0=LEN(ReferenceData!$B$7),"",ReferenceData!$B$7),"")</f>
        <v>DAI GR Equity</v>
      </c>
      <c r="C7" t="str">
        <f>IFERROR(IF(0=LEN(ReferenceData!$C$7),"",ReferenceData!$C$7),"")</f>
        <v/>
      </c>
      <c r="D7" t="str">
        <f>IFERROR(IF(0=LEN(ReferenceData!$D$7),"",ReferenceData!$D$7),"")</f>
        <v/>
      </c>
      <c r="E7" t="str">
        <f>IFERROR(IF(0=LEN(ReferenceData!$E$7),"",ReferenceData!$E$7),"")</f>
        <v>Expression</v>
      </c>
      <c r="F7">
        <f ca="1">IFERROR(IF(0=LEN(ReferenceData!$F$7),"",ReferenceData!$F$7),"")</f>
        <v>33.537744000000004</v>
      </c>
      <c r="G7">
        <f ca="1">IFERROR(IF(0=LEN(ReferenceData!$G$7),"",ReferenceData!$G$7),"")</f>
        <v>38.142037620000004</v>
      </c>
      <c r="H7">
        <f ca="1">IFERROR(IF(0=LEN(ReferenceData!$H$7),"",ReferenceData!$H$7),"")</f>
        <v>32.646936609999997</v>
      </c>
      <c r="I7">
        <f ca="1">IFERROR(IF(0=LEN(ReferenceData!$I$7),"",ReferenceData!$I$7),"")</f>
        <v>35.499618609999999</v>
      </c>
      <c r="J7">
        <f ca="1">IFERROR(IF(0=LEN(ReferenceData!$J$7),"",ReferenceData!$J$7),"")</f>
        <v>34.799675149999999</v>
      </c>
      <c r="K7">
        <f ca="1">IFERROR(IF(0=LEN(ReferenceData!$K$7),"",ReferenceData!$K$7),"")</f>
        <v>39.605614969999998</v>
      </c>
      <c r="L7">
        <f ca="1">IFERROR(IF(0=LEN(ReferenceData!$L$7),"",ReferenceData!$L$7),"")</f>
        <v>34.69251337</v>
      </c>
      <c r="M7">
        <f ca="1">IFERROR(IF(0=LEN(ReferenceData!$M$7),"",ReferenceData!$M$7),"")</f>
        <v>34.311349460000002</v>
      </c>
      <c r="N7">
        <f ca="1">IFERROR(IF(0=LEN(ReferenceData!$N$7),"",ReferenceData!$N$7),"")</f>
        <v>37.124888919999997</v>
      </c>
      <c r="O7">
        <f ca="1">IFERROR(IF(0=LEN(ReferenceData!$O$7),"",ReferenceData!$O$7),"")</f>
        <v>36.963071960000001</v>
      </c>
      <c r="P7">
        <f ca="1">IFERROR(IF(0=LEN(ReferenceData!$P$7),"",ReferenceData!$P$7),"")</f>
        <v>28.686747539999999</v>
      </c>
      <c r="Q7">
        <f ca="1">IFERROR(IF(0=LEN(ReferenceData!$Q$7),"",ReferenceData!$Q$7),"")</f>
        <v>37.564645040000002</v>
      </c>
      <c r="R7">
        <f ca="1">IFERROR(IF(0=LEN(ReferenceData!$R$7),"",ReferenceData!$R$7),"")</f>
        <v>31.351292749999999</v>
      </c>
      <c r="S7">
        <f ca="1">IFERROR(IF(0=LEN(ReferenceData!$S$7),"",ReferenceData!$S$7),"")</f>
        <v>33.579261209999999</v>
      </c>
      <c r="T7">
        <f ca="1">IFERROR(IF(0=LEN(ReferenceData!$T$7),"",ReferenceData!$T$7),"")</f>
        <v>36.063408189999997</v>
      </c>
      <c r="U7">
        <f ca="1">IFERROR(IF(0=LEN(ReferenceData!$U$7),"",ReferenceData!$U$7),"")</f>
        <v>34.416652489999997</v>
      </c>
      <c r="V7">
        <f ca="1">IFERROR(IF(0=LEN(ReferenceData!$V$7),"",ReferenceData!$V$7),"")</f>
        <v>35.368495510000002</v>
      </c>
      <c r="W7">
        <f ca="1">IFERROR(IF(0=LEN(ReferenceData!$W$7),"",ReferenceData!$W$7),"")</f>
        <v>39.353716589999998</v>
      </c>
      <c r="X7">
        <f ca="1">IFERROR(IF(0=LEN(ReferenceData!$X$7),"",ReferenceData!$X$7),"")</f>
        <v>36.974830130000001</v>
      </c>
      <c r="Y7">
        <f ca="1">IFERROR(IF(0=LEN(ReferenceData!$Y$7),"",ReferenceData!$Y$7),"")</f>
        <v>41.405342619999999</v>
      </c>
      <c r="Z7">
        <f ca="1">IFERROR(IF(0=LEN(ReferenceData!$Z$7),"",ReferenceData!$Z$7),"")</f>
        <v>39.405638809999999</v>
      </c>
      <c r="AA7">
        <f ca="1">IFERROR(IF(0=LEN(ReferenceData!$AA$7),"",ReferenceData!$AA$7),"")</f>
        <v>42.284093839999997</v>
      </c>
      <c r="AB7">
        <f ca="1">IFERROR(IF(0=LEN(ReferenceData!$AB$7),"",ReferenceData!$AB$7),"")</f>
        <v>31.489890169999999</v>
      </c>
      <c r="AC7">
        <f ca="1">IFERROR(IF(0=LEN(ReferenceData!$AC$7),"",ReferenceData!$AC$7),"")</f>
        <v>44.306994260000003</v>
      </c>
      <c r="AD7">
        <f ca="1">IFERROR(IF(0=LEN(ReferenceData!$AD$7),"",ReferenceData!$AD$7),"")</f>
        <v>38.7915609</v>
      </c>
      <c r="AE7">
        <f ca="1">IFERROR(IF(0=LEN(ReferenceData!$AE$7),"",ReferenceData!$AE$7),"")</f>
        <v>36.663050220000002</v>
      </c>
      <c r="AF7">
        <f ca="1">IFERROR(IF(0=LEN(ReferenceData!$AF$7),"",ReferenceData!$AF$7),"")</f>
        <v>34.98045467</v>
      </c>
      <c r="AG7">
        <f ca="1">IFERROR(IF(0=LEN(ReferenceData!$AG$7),"",ReferenceData!$AG$7),"")</f>
        <v>36.988106260000002</v>
      </c>
      <c r="AH7">
        <f ca="1">IFERROR(IF(0=LEN(ReferenceData!$AH$7),"",ReferenceData!$AH$7),"")</f>
        <v>35.324015250000002</v>
      </c>
      <c r="AI7">
        <f ca="1">IFERROR(IF(0=LEN(ReferenceData!$AI$7),"",ReferenceData!$AI$7),"")</f>
        <v>35.796552519999999</v>
      </c>
      <c r="AJ7">
        <f ca="1">IFERROR(IF(0=LEN(ReferenceData!$AJ$7),"",ReferenceData!$AJ$7),"")</f>
        <v>31.872255490000001</v>
      </c>
      <c r="AK7">
        <f ca="1">IFERROR(IF(0=LEN(ReferenceData!$AK$7),"",ReferenceData!$AK$7),"")</f>
        <v>32.293898280000001</v>
      </c>
      <c r="AL7">
        <f ca="1">IFERROR(IF(0=LEN(ReferenceData!$AL$7),"",ReferenceData!$AL$7),"")</f>
        <v>36.829234530000001</v>
      </c>
      <c r="AM7">
        <f ca="1">IFERROR(IF(0=LEN(ReferenceData!$AM$7),"",ReferenceData!$AM$7),"")</f>
        <v>40.797922569999997</v>
      </c>
      <c r="AN7">
        <f ca="1">IFERROR(IF(0=LEN(ReferenceData!$AN$7),"",ReferenceData!$AN$7),"")</f>
        <v>32.969616170000002</v>
      </c>
      <c r="AO7">
        <f ca="1">IFERROR(IF(0=LEN(ReferenceData!$AO$7),"",ReferenceData!$AO$7),"")</f>
        <v>31.58485799</v>
      </c>
      <c r="AP7">
        <f ca="1">IFERROR(IF(0=LEN(ReferenceData!$AP$7),"",ReferenceData!$AP$7),"")</f>
        <v>34.73950876</v>
      </c>
      <c r="AQ7">
        <f ca="1">IFERROR(IF(0=LEN(ReferenceData!$AQ$7),"",ReferenceData!$AQ$7),"")</f>
        <v>33.311499570000002</v>
      </c>
      <c r="AR7">
        <f ca="1">IFERROR(IF(0=LEN(ReferenceData!$AR$7),"",ReferenceData!$AR$7),"")</f>
        <v>33.761452540000001</v>
      </c>
      <c r="AS7">
        <f ca="1">IFERROR(IF(0=LEN(ReferenceData!$AS$7),"",ReferenceData!$AS$7),"")</f>
        <v>32.253527130000002</v>
      </c>
    </row>
    <row r="8" spans="1:45" x14ac:dyDescent="0.25">
      <c r="A8" t="str">
        <f>IFERROR(IF(0=LEN(ReferenceData!$A$8),"",ReferenceData!$A$8),"")</f>
        <v xml:space="preserve">        Western Star</v>
      </c>
      <c r="B8" t="str">
        <f>IFERROR(IF(0=LEN(ReferenceData!$B$8),"",ReferenceData!$B$8),"")</f>
        <v>DAI GR Equity</v>
      </c>
      <c r="C8" t="str">
        <f>IFERROR(IF(0=LEN(ReferenceData!$C$8),"",ReferenceData!$C$8),"")</f>
        <v/>
      </c>
      <c r="D8" t="str">
        <f>IFERROR(IF(0=LEN(ReferenceData!$D$8),"",ReferenceData!$D$8),"")</f>
        <v/>
      </c>
      <c r="E8" t="str">
        <f>IFERROR(IF(0=LEN(ReferenceData!$E$8),"",ReferenceData!$E$8),"")</f>
        <v>Expression</v>
      </c>
      <c r="F8">
        <f ca="1">IFERROR(IF(0=LEN(ReferenceData!$F$8),"",ReferenceData!$F$8),"")</f>
        <v>2.5997581620000001</v>
      </c>
      <c r="G8">
        <f ca="1">IFERROR(IF(0=LEN(ReferenceData!$G$8),"",ReferenceData!$G$8),"")</f>
        <v>2.8727709340000001</v>
      </c>
      <c r="H8">
        <f ca="1">IFERROR(IF(0=LEN(ReferenceData!$H$8),"",ReferenceData!$H$8),"")</f>
        <v>3.2180617759999999</v>
      </c>
      <c r="I8">
        <f ca="1">IFERROR(IF(0=LEN(ReferenceData!$I$8),"",ReferenceData!$I$8),"")</f>
        <v>3.4019832189999999</v>
      </c>
      <c r="J8">
        <f ca="1">IFERROR(IF(0=LEN(ReferenceData!$J$8),"",ReferenceData!$J$8),"")</f>
        <v>3.5778740299999998</v>
      </c>
      <c r="K8">
        <f ca="1">IFERROR(IF(0=LEN(ReferenceData!$K$8),"",ReferenceData!$K$8),"")</f>
        <v>2.945951108</v>
      </c>
      <c r="L8">
        <f ca="1">IFERROR(IF(0=LEN(ReferenceData!$L$8),"",ReferenceData!$L$8),"")</f>
        <v>3.4425133689999998</v>
      </c>
      <c r="M8">
        <f ca="1">IFERROR(IF(0=LEN(ReferenceData!$M$8),"",ReferenceData!$M$8),"")</f>
        <v>3.2898468520000002</v>
      </c>
      <c r="N8">
        <f ca="1">IFERROR(IF(0=LEN(ReferenceData!$N$8),"",ReferenceData!$N$8),"")</f>
        <v>2.8026522659999999</v>
      </c>
      <c r="O8">
        <f ca="1">IFERROR(IF(0=LEN(ReferenceData!$O$8),"",ReferenceData!$O$8),"")</f>
        <v>2.7328147989999998</v>
      </c>
      <c r="P8">
        <f ca="1">IFERROR(IF(0=LEN(ReferenceData!$P$8),"",ReferenceData!$P$8),"")</f>
        <v>3.2658332950000002</v>
      </c>
      <c r="Q8">
        <f ca="1">IFERROR(IF(0=LEN(ReferenceData!$Q$8),"",ReferenceData!$Q$8),"")</f>
        <v>3.1395288090000002</v>
      </c>
      <c r="R8">
        <f ca="1">IFERROR(IF(0=LEN(ReferenceData!$R$8),"",ReferenceData!$R$8),"")</f>
        <v>2.542143206</v>
      </c>
      <c r="S8">
        <f ca="1">IFERROR(IF(0=LEN(ReferenceData!$S$8),"",ReferenceData!$S$8),"")</f>
        <v>2.8450149069999999</v>
      </c>
      <c r="T8">
        <f ca="1">IFERROR(IF(0=LEN(ReferenceData!$T$8),"",ReferenceData!$T$8),"")</f>
        <v>2.7643231080000001</v>
      </c>
      <c r="U8">
        <f ca="1">IFERROR(IF(0=LEN(ReferenceData!$U$8),"",ReferenceData!$U$8),"")</f>
        <v>3.1762236970000002</v>
      </c>
      <c r="V8">
        <f ca="1">IFERROR(IF(0=LEN(ReferenceData!$V$8),"",ReferenceData!$V$8),"")</f>
        <v>3.227375216</v>
      </c>
      <c r="W8">
        <f ca="1">IFERROR(IF(0=LEN(ReferenceData!$W$8),"",ReferenceData!$W$8),"")</f>
        <v>3.3366898570000001</v>
      </c>
      <c r="X8">
        <f ca="1">IFERROR(IF(0=LEN(ReferenceData!$X$8),"",ReferenceData!$X$8),"")</f>
        <v>3.3017513639999998</v>
      </c>
      <c r="Y8">
        <f ca="1">IFERROR(IF(0=LEN(ReferenceData!$Y$8),"",ReferenceData!$Y$8),"")</f>
        <v>2.6713124270000002</v>
      </c>
      <c r="Z8">
        <f ca="1">IFERROR(IF(0=LEN(ReferenceData!$Z$8),"",ReferenceData!$Z$8),"")</f>
        <v>2.768605537</v>
      </c>
      <c r="AA8">
        <f ca="1">IFERROR(IF(0=LEN(ReferenceData!$AA$8),"",ReferenceData!$AA$8),"")</f>
        <v>2.6759474089999999</v>
      </c>
      <c r="AB8">
        <f ca="1">IFERROR(IF(0=LEN(ReferenceData!$AB$8),"",ReferenceData!$AB$8),"")</f>
        <v>3.1513175769999999</v>
      </c>
      <c r="AC8">
        <f ca="1">IFERROR(IF(0=LEN(ReferenceData!$AC$8),"",ReferenceData!$AC$8),"")</f>
        <v>2.5811146310000002</v>
      </c>
      <c r="AD8">
        <f ca="1">IFERROR(IF(0=LEN(ReferenceData!$AD$8),"",ReferenceData!$AD$8),"")</f>
        <v>2.542549207</v>
      </c>
      <c r="AE8">
        <f ca="1">IFERROR(IF(0=LEN(ReferenceData!$AE$8),"",ReferenceData!$AE$8),"")</f>
        <v>2.5379727220000001</v>
      </c>
      <c r="AF8">
        <f ca="1">IFERROR(IF(0=LEN(ReferenceData!$AF$8),"",ReferenceData!$AF$8),"")</f>
        <v>2.0683896919999998</v>
      </c>
      <c r="AG8">
        <f ca="1">IFERROR(IF(0=LEN(ReferenceData!$AG$8),"",ReferenceData!$AG$8),"")</f>
        <v>1.9122569620000001</v>
      </c>
      <c r="AH8">
        <f ca="1">IFERROR(IF(0=LEN(ReferenceData!$AH$8),"",ReferenceData!$AH$8),"")</f>
        <v>2.6650170530000001</v>
      </c>
      <c r="AI8">
        <f ca="1">IFERROR(IF(0=LEN(ReferenceData!$AI$8),"",ReferenceData!$AI$8),"")</f>
        <v>2.3382546190000002</v>
      </c>
      <c r="AJ8">
        <f ca="1">IFERROR(IF(0=LEN(ReferenceData!$AJ$8),"",ReferenceData!$AJ$8),"")</f>
        <v>2.231536926</v>
      </c>
      <c r="AK8">
        <f ca="1">IFERROR(IF(0=LEN(ReferenceData!$AK$8),"",ReferenceData!$AK$8),"")</f>
        <v>2.4160914070000001</v>
      </c>
      <c r="AL8">
        <f ca="1">IFERROR(IF(0=LEN(ReferenceData!$AL$8),"",ReferenceData!$AL$8),"")</f>
        <v>2.219351267</v>
      </c>
      <c r="AM8">
        <f ca="1">IFERROR(IF(0=LEN(ReferenceData!$AM$8),"",ReferenceData!$AM$8),"")</f>
        <v>2.360717658</v>
      </c>
      <c r="AN8">
        <f ca="1">IFERROR(IF(0=LEN(ReferenceData!$AN$8),"",ReferenceData!$AN$8),"")</f>
        <v>3.2453862889999998</v>
      </c>
      <c r="AO8">
        <f ca="1">IFERROR(IF(0=LEN(ReferenceData!$AO$8),"",ReferenceData!$AO$8),"")</f>
        <v>2.414486922</v>
      </c>
      <c r="AP8">
        <f ca="1">IFERROR(IF(0=LEN(ReferenceData!$AP$8),"",ReferenceData!$AP$8),"")</f>
        <v>2.2028857799999999</v>
      </c>
      <c r="AQ8">
        <f ca="1">IFERROR(IF(0=LEN(ReferenceData!$AQ$8),"",ReferenceData!$AQ$8),"")</f>
        <v>1.9322880419999999</v>
      </c>
      <c r="AR8">
        <f ca="1">IFERROR(IF(0=LEN(ReferenceData!$AR$8),"",ReferenceData!$AR$8),"")</f>
        <v>2.346985734</v>
      </c>
      <c r="AS8">
        <f ca="1">IFERROR(IF(0=LEN(ReferenceData!$AS$8),"",ReferenceData!$AS$8),"")</f>
        <v>1.8157793790000001</v>
      </c>
    </row>
    <row r="9" spans="1:45" x14ac:dyDescent="0.25">
      <c r="A9" t="str">
        <f>IFERROR(IF(0=LEN(ReferenceData!$A$9),"",ReferenceData!$A$9),"")</f>
        <v xml:space="preserve">        Sterling</v>
      </c>
      <c r="B9" t="str">
        <f>IFERROR(IF(0=LEN(ReferenceData!$B$9),"",ReferenceData!$B$9),"")</f>
        <v/>
      </c>
      <c r="C9" t="str">
        <f>IFERROR(IF(0=LEN(ReferenceData!$C$9),"",ReferenceData!$C$9),"")</f>
        <v/>
      </c>
      <c r="D9" t="str">
        <f>IFERROR(IF(0=LEN(ReferenceData!$D$9),"",ReferenceData!$D$9),"")</f>
        <v/>
      </c>
      <c r="E9" t="str">
        <f>IFERROR(IF(0=LEN(ReferenceData!$E$9),"",ReferenceData!$E$9),"")</f>
        <v>Expression</v>
      </c>
      <c r="F9" t="str">
        <f ca="1">IFERROR(IF(0=LEN(ReferenceData!$F$9),"",ReferenceData!$F$9),"")</f>
        <v/>
      </c>
      <c r="G9" t="str">
        <f ca="1">IFERROR(IF(0=LEN(ReferenceData!$G$9),"",ReferenceData!$G$9),"")</f>
        <v/>
      </c>
      <c r="H9" t="str">
        <f ca="1">IFERROR(IF(0=LEN(ReferenceData!$H$9),"",ReferenceData!$H$9),"")</f>
        <v/>
      </c>
      <c r="I9" t="str">
        <f ca="1">IFERROR(IF(0=LEN(ReferenceData!$I$9),"",ReferenceData!$I$9),"")</f>
        <v/>
      </c>
      <c r="J9" t="str">
        <f ca="1">IFERROR(IF(0=LEN(ReferenceData!$J$9),"",ReferenceData!$J$9),"")</f>
        <v/>
      </c>
      <c r="K9" t="str">
        <f ca="1">IFERROR(IF(0=LEN(ReferenceData!$K$9),"",ReferenceData!$K$9),"")</f>
        <v/>
      </c>
      <c r="L9" t="str">
        <f ca="1">IFERROR(IF(0=LEN(ReferenceData!$L$9),"",ReferenceData!$L$9),"")</f>
        <v/>
      </c>
      <c r="M9" t="str">
        <f ca="1">IFERROR(IF(0=LEN(ReferenceData!$M$9),"",ReferenceData!$M$9),"")</f>
        <v/>
      </c>
      <c r="N9" t="str">
        <f ca="1">IFERROR(IF(0=LEN(ReferenceData!$N$9),"",ReferenceData!$N$9),"")</f>
        <v/>
      </c>
      <c r="O9" t="str">
        <f ca="1">IFERROR(IF(0=LEN(ReferenceData!$O$9),"",ReferenceData!$O$9),"")</f>
        <v/>
      </c>
      <c r="P9" t="str">
        <f ca="1">IFERROR(IF(0=LEN(ReferenceData!$P$9),"",ReferenceData!$P$9),"")</f>
        <v/>
      </c>
      <c r="Q9" t="str">
        <f ca="1">IFERROR(IF(0=LEN(ReferenceData!$Q$9),"",ReferenceData!$Q$9),"")</f>
        <v/>
      </c>
      <c r="R9" t="str">
        <f ca="1">IFERROR(IF(0=LEN(ReferenceData!$R$9),"",ReferenceData!$R$9),"")</f>
        <v/>
      </c>
      <c r="S9" t="str">
        <f ca="1">IFERROR(IF(0=LEN(ReferenceData!$S$9),"",ReferenceData!$S$9),"")</f>
        <v/>
      </c>
      <c r="T9" t="str">
        <f ca="1">IFERROR(IF(0=LEN(ReferenceData!$T$9),"",ReferenceData!$T$9),"")</f>
        <v/>
      </c>
      <c r="U9" t="str">
        <f ca="1">IFERROR(IF(0=LEN(ReferenceData!$U$9),"",ReferenceData!$U$9),"")</f>
        <v/>
      </c>
      <c r="V9" t="str">
        <f ca="1">IFERROR(IF(0=LEN(ReferenceData!$V$9),"",ReferenceData!$V$9),"")</f>
        <v/>
      </c>
      <c r="W9" t="str">
        <f ca="1">IFERROR(IF(0=LEN(ReferenceData!$W$9),"",ReferenceData!$W$9),"")</f>
        <v/>
      </c>
      <c r="X9" t="str">
        <f ca="1">IFERROR(IF(0=LEN(ReferenceData!$X$9),"",ReferenceData!$X$9),"")</f>
        <v/>
      </c>
      <c r="Y9" t="str">
        <f ca="1">IFERROR(IF(0=LEN(ReferenceData!$Y$9),"",ReferenceData!$Y$9),"")</f>
        <v/>
      </c>
      <c r="Z9" t="str">
        <f ca="1">IFERROR(IF(0=LEN(ReferenceData!$Z$9),"",ReferenceData!$Z$9),"")</f>
        <v/>
      </c>
      <c r="AA9" t="str">
        <f ca="1">IFERROR(IF(0=LEN(ReferenceData!$AA$9),"",ReferenceData!$AA$9),"")</f>
        <v/>
      </c>
      <c r="AB9" t="str">
        <f ca="1">IFERROR(IF(0=LEN(ReferenceData!$AB$9),"",ReferenceData!$AB$9),"")</f>
        <v/>
      </c>
      <c r="AC9" t="str">
        <f ca="1">IFERROR(IF(0=LEN(ReferenceData!$AC$9),"",ReferenceData!$AC$9),"")</f>
        <v/>
      </c>
      <c r="AD9" t="str">
        <f ca="1">IFERROR(IF(0=LEN(ReferenceData!$AD$9),"",ReferenceData!$AD$9),"")</f>
        <v/>
      </c>
      <c r="AE9" t="str">
        <f ca="1">IFERROR(IF(0=LEN(ReferenceData!$AE$9),"",ReferenceData!$AE$9),"")</f>
        <v/>
      </c>
      <c r="AF9" t="str">
        <f ca="1">IFERROR(IF(0=LEN(ReferenceData!$AF$9),"",ReferenceData!$AF$9),"")</f>
        <v/>
      </c>
      <c r="AG9" t="str">
        <f ca="1">IFERROR(IF(0=LEN(ReferenceData!$AG$9),"",ReferenceData!$AG$9),"")</f>
        <v/>
      </c>
      <c r="AH9" t="str">
        <f ca="1">IFERROR(IF(0=LEN(ReferenceData!$AH$9),"",ReferenceData!$AH$9),"")</f>
        <v/>
      </c>
      <c r="AI9" t="str">
        <f ca="1">IFERROR(IF(0=LEN(ReferenceData!$AI$9),"",ReferenceData!$AI$9),"")</f>
        <v/>
      </c>
      <c r="AJ9" t="str">
        <f ca="1">IFERROR(IF(0=LEN(ReferenceData!$AJ$9),"",ReferenceData!$AJ$9),"")</f>
        <v/>
      </c>
      <c r="AK9" t="str">
        <f ca="1">IFERROR(IF(0=LEN(ReferenceData!$AK$9),"",ReferenceData!$AK$9),"")</f>
        <v/>
      </c>
      <c r="AL9" t="str">
        <f ca="1">IFERROR(IF(0=LEN(ReferenceData!$AL$9),"",ReferenceData!$AL$9),"")</f>
        <v/>
      </c>
      <c r="AM9" t="str">
        <f ca="1">IFERROR(IF(0=LEN(ReferenceData!$AM$9),"",ReferenceData!$AM$9),"")</f>
        <v/>
      </c>
      <c r="AN9" t="str">
        <f ca="1">IFERROR(IF(0=LEN(ReferenceData!$AN$9),"",ReferenceData!$AN$9),"")</f>
        <v/>
      </c>
      <c r="AO9" t="str">
        <f ca="1">IFERROR(IF(0=LEN(ReferenceData!$AO$9),"",ReferenceData!$AO$9),"")</f>
        <v/>
      </c>
      <c r="AP9" t="str">
        <f ca="1">IFERROR(IF(0=LEN(ReferenceData!$AP$9),"",ReferenceData!$AP$9),"")</f>
        <v/>
      </c>
      <c r="AQ9" t="str">
        <f ca="1">IFERROR(IF(0=LEN(ReferenceData!$AQ$9),"",ReferenceData!$AQ$9),"")</f>
        <v/>
      </c>
      <c r="AR9" t="str">
        <f ca="1">IFERROR(IF(0=LEN(ReferenceData!$AR$9),"",ReferenceData!$AR$9),"")</f>
        <v/>
      </c>
      <c r="AS9" t="str">
        <f ca="1">IFERROR(IF(0=LEN(ReferenceData!$AS$9),"",ReferenceData!$AS$9),"")</f>
        <v/>
      </c>
    </row>
    <row r="10" spans="1:45" x14ac:dyDescent="0.25">
      <c r="A10" t="str">
        <f>IFERROR(IF(0=LEN(ReferenceData!$A$10),"",ReferenceData!$A$10),"")</f>
        <v xml:space="preserve">        Mercedes-Benz</v>
      </c>
      <c r="B10" t="str">
        <f>IFERROR(IF(0=LEN(ReferenceData!$B$10),"",ReferenceData!$B$10),"")</f>
        <v/>
      </c>
      <c r="C10" t="str">
        <f>IFERROR(IF(0=LEN(ReferenceData!$C$10),"",ReferenceData!$C$10),"")</f>
        <v/>
      </c>
      <c r="D10" t="str">
        <f>IFERROR(IF(0=LEN(ReferenceData!$D$10),"",ReferenceData!$D$10),"")</f>
        <v/>
      </c>
      <c r="E10" t="str">
        <f>IFERROR(IF(0=LEN(ReferenceData!$E$10),"",ReferenceData!$E$10),"")</f>
        <v>Expression</v>
      </c>
      <c r="F10" t="str">
        <f ca="1">IFERROR(IF(0=LEN(ReferenceData!$F$10),"",ReferenceData!$F$10),"")</f>
        <v/>
      </c>
      <c r="G10" t="str">
        <f ca="1">IFERROR(IF(0=LEN(ReferenceData!$G$10),"",ReferenceData!$G$10),"")</f>
        <v/>
      </c>
      <c r="H10" t="str">
        <f ca="1">IFERROR(IF(0=LEN(ReferenceData!$H$10),"",ReferenceData!$H$10),"")</f>
        <v/>
      </c>
      <c r="I10" t="str">
        <f ca="1">IFERROR(IF(0=LEN(ReferenceData!$I$10),"",ReferenceData!$I$10),"")</f>
        <v/>
      </c>
      <c r="J10" t="str">
        <f ca="1">IFERROR(IF(0=LEN(ReferenceData!$J$10),"",ReferenceData!$J$10),"")</f>
        <v/>
      </c>
      <c r="K10" t="str">
        <f ca="1">IFERROR(IF(0=LEN(ReferenceData!$K$10),"",ReferenceData!$K$10),"")</f>
        <v/>
      </c>
      <c r="L10" t="str">
        <f ca="1">IFERROR(IF(0=LEN(ReferenceData!$L$10),"",ReferenceData!$L$10),"")</f>
        <v/>
      </c>
      <c r="M10" t="str">
        <f ca="1">IFERROR(IF(0=LEN(ReferenceData!$M$10),"",ReferenceData!$M$10),"")</f>
        <v/>
      </c>
      <c r="N10" t="str">
        <f ca="1">IFERROR(IF(0=LEN(ReferenceData!$N$10),"",ReferenceData!$N$10),"")</f>
        <v/>
      </c>
      <c r="O10" t="str">
        <f ca="1">IFERROR(IF(0=LEN(ReferenceData!$O$10),"",ReferenceData!$O$10),"")</f>
        <v/>
      </c>
      <c r="P10">
        <f ca="1">IFERROR(IF(0=LEN(ReferenceData!$P$10),"",ReferenceData!$P$10),"")</f>
        <v>0.59965865600000001</v>
      </c>
      <c r="Q10">
        <f ca="1">IFERROR(IF(0=LEN(ReferenceData!$Q$10),"",ReferenceData!$Q$10),"")</f>
        <v>0.50671263600000005</v>
      </c>
      <c r="R10">
        <f ca="1">IFERROR(IF(0=LEN(ReferenceData!$R$10),"",ReferenceData!$R$10),"")</f>
        <v>0.48783131899999999</v>
      </c>
      <c r="S10">
        <f ca="1">IFERROR(IF(0=LEN(ReferenceData!$S$10),"",ReferenceData!$S$10),"")</f>
        <v>0.42953155799999998</v>
      </c>
      <c r="T10">
        <f ca="1">IFERROR(IF(0=LEN(ReferenceData!$T$10),"",ReferenceData!$T$10),"")</f>
        <v>0.34248250899999999</v>
      </c>
      <c r="U10">
        <f ca="1">IFERROR(IF(0=LEN(ReferenceData!$U$10),"",ReferenceData!$U$10),"")</f>
        <v>0.33463785400000001</v>
      </c>
      <c r="V10">
        <f ca="1">IFERROR(IF(0=LEN(ReferenceData!$V$10),"",ReferenceData!$V$10),"")</f>
        <v>0.30063221200000001</v>
      </c>
      <c r="W10">
        <f ca="1">IFERROR(IF(0=LEN(ReferenceData!$W$10),"",ReferenceData!$W$10),"")</f>
        <v>0.36158916200000002</v>
      </c>
      <c r="X10">
        <f ca="1">IFERROR(IF(0=LEN(ReferenceData!$X$10),"",ReferenceData!$X$10),"")</f>
        <v>0.36367116500000002</v>
      </c>
      <c r="Y10">
        <f ca="1">IFERROR(IF(0=LEN(ReferenceData!$Y$10),"",ReferenceData!$Y$10),"")</f>
        <v>0.28206404499999999</v>
      </c>
      <c r="Z10">
        <f ca="1">IFERROR(IF(0=LEN(ReferenceData!$Z$10),"",ReferenceData!$Z$10),"")</f>
        <v>0.26416052800000001</v>
      </c>
      <c r="AA10">
        <f ca="1">IFERROR(IF(0=LEN(ReferenceData!$AA$10),"",ReferenceData!$AA$10),"")</f>
        <v>0.386697603</v>
      </c>
      <c r="AB10">
        <f ca="1">IFERROR(IF(0=LEN(ReferenceData!$AB$10),"",ReferenceData!$AB$10),"")</f>
        <v>0.66363953899999995</v>
      </c>
      <c r="AC10">
        <f ca="1">IFERROR(IF(0=LEN(ReferenceData!$AC$10),"",ReferenceData!$AC$10),"")</f>
        <v>0.58642239500000004</v>
      </c>
      <c r="AD10">
        <f ca="1">IFERROR(IF(0=LEN(ReferenceData!$AD$10),"",ReferenceData!$AD$10),"")</f>
        <v>0.53264533300000005</v>
      </c>
      <c r="AE10">
        <f ca="1">IFERROR(IF(0=LEN(ReferenceData!$AE$10),"",ReferenceData!$AE$10),"")</f>
        <v>0.46109733400000003</v>
      </c>
      <c r="AF10">
        <f ca="1">IFERROR(IF(0=LEN(ReferenceData!$AF$10),"",ReferenceData!$AF$10),"")</f>
        <v>0.45163004299999998</v>
      </c>
      <c r="AG10">
        <f ca="1">IFERROR(IF(0=LEN(ReferenceData!$AG$10),"",ReferenceData!$AG$10),"")</f>
        <v>0.47361299099999998</v>
      </c>
      <c r="AH10">
        <f ca="1">IFERROR(IF(0=LEN(ReferenceData!$AH$10),"",ReferenceData!$AH$10),"")</f>
        <v>0.157159099</v>
      </c>
      <c r="AI10">
        <f ca="1">IFERROR(IF(0=LEN(ReferenceData!$AI$10),"",ReferenceData!$AI$10),"")</f>
        <v>0.10435185900000001</v>
      </c>
      <c r="AJ10">
        <f ca="1">IFERROR(IF(0=LEN(ReferenceData!$AJ$10),"",ReferenceData!$AJ$10),"")</f>
        <v>9.9800398999999998E-2</v>
      </c>
      <c r="AK10">
        <f ca="1">IFERROR(IF(0=LEN(ReferenceData!$AK$10),"",ReferenceData!$AK$10),"")</f>
        <v>7.9346190000000004E-3</v>
      </c>
      <c r="AL10">
        <f ca="1">IFERROR(IF(0=LEN(ReferenceData!$AL$10),"",ReferenceData!$AL$10),"")</f>
        <v>2.7684215000000002E-2</v>
      </c>
      <c r="AM10">
        <f ca="1">IFERROR(IF(0=LEN(ReferenceData!$AM$10),"",ReferenceData!$AM$10),"")</f>
        <v>0.321057602</v>
      </c>
      <c r="AN10">
        <f ca="1">IFERROR(IF(0=LEN(ReferenceData!$AN$10),"",ReferenceData!$AN$10),"")</f>
        <v>0.76135008100000001</v>
      </c>
      <c r="AO10">
        <f ca="1">IFERROR(IF(0=LEN(ReferenceData!$AO$10),"",ReferenceData!$AO$10),"")</f>
        <v>0.95456459699999996</v>
      </c>
      <c r="AP10">
        <f ca="1">IFERROR(IF(0=LEN(ReferenceData!$AP$10),"",ReferenceData!$AP$10),"")</f>
        <v>0.75632411799999999</v>
      </c>
      <c r="AQ10">
        <f ca="1">IFERROR(IF(0=LEN(ReferenceData!$AQ$10),"",ReferenceData!$AQ$10),"")</f>
        <v>0.27838048100000001</v>
      </c>
      <c r="AR10">
        <f ca="1">IFERROR(IF(0=LEN(ReferenceData!$AR$10),"",ReferenceData!$AR$10),"")</f>
        <v>0.38488892600000002</v>
      </c>
      <c r="AS10">
        <f ca="1">IFERROR(IF(0=LEN(ReferenceData!$AS$10),"",ReferenceData!$AS$10),"")</f>
        <v>6.8198286999999996E-2</v>
      </c>
    </row>
    <row r="11" spans="1:45" x14ac:dyDescent="0.25">
      <c r="A11" t="str">
        <f>IFERROR(IF(0=LEN(ReferenceData!$A$11),"",ReferenceData!$A$11),"")</f>
        <v xml:space="preserve">    PACCAR</v>
      </c>
      <c r="B11" t="str">
        <f>IFERROR(IF(0=LEN(ReferenceData!$B$11),"",ReferenceData!$B$11),"")</f>
        <v/>
      </c>
      <c r="C11" t="str">
        <f>IFERROR(IF(0=LEN(ReferenceData!$C$11),"",ReferenceData!$C$11),"")</f>
        <v/>
      </c>
      <c r="D11" t="str">
        <f>IFERROR(IF(0=LEN(ReferenceData!$D$11),"",ReferenceData!$D$11),"")</f>
        <v/>
      </c>
      <c r="E11" t="str">
        <f>IFERROR(IF(0=LEN(ReferenceData!$E$11),"",ReferenceData!$E$11),"")</f>
        <v>Sum</v>
      </c>
      <c r="F11">
        <f ca="1">IFERROR(IF(0=LEN(ReferenceData!$F$11),"",ReferenceData!$F$11),"")</f>
        <v>31.430298839999999</v>
      </c>
      <c r="G11">
        <f ca="1">IFERROR(IF(0=LEN(ReferenceData!$G$11),"",ReferenceData!$G$11),"")</f>
        <v>30.030684389999998</v>
      </c>
      <c r="H11">
        <f ca="1">IFERROR(IF(0=LEN(ReferenceData!$H$11),"",ReferenceData!$H$11),"")</f>
        <v>30.80012928</v>
      </c>
      <c r="I11">
        <f ca="1">IFERROR(IF(0=LEN(ReferenceData!$I$11),"",ReferenceData!$I$11),"")</f>
        <v>33.012967200000006</v>
      </c>
      <c r="J11">
        <f ca="1">IFERROR(IF(0=LEN(ReferenceData!$J$11),"",ReferenceData!$J$11),"")</f>
        <v>30.450279729999998</v>
      </c>
      <c r="K11">
        <f ca="1">IFERROR(IF(0=LEN(ReferenceData!$K$11),"",ReferenceData!$K$11),"")</f>
        <v>30.12796028</v>
      </c>
      <c r="L11">
        <f ca="1">IFERROR(IF(0=LEN(ReferenceData!$L$11),"",ReferenceData!$L$11),"")</f>
        <v>31.929590019999999</v>
      </c>
      <c r="M11">
        <f ca="1">IFERROR(IF(0=LEN(ReferenceData!$M$11),"",ReferenceData!$M$11),"")</f>
        <v>29.062032700000003</v>
      </c>
      <c r="N11">
        <f ca="1">IFERROR(IF(0=LEN(ReferenceData!$N$11),"",ReferenceData!$N$11),"")</f>
        <v>28.491352800000001</v>
      </c>
      <c r="O11">
        <f ca="1">IFERROR(IF(0=LEN(ReferenceData!$O$11),"",ReferenceData!$O$11),"")</f>
        <v>27.033844860000002</v>
      </c>
      <c r="P11">
        <f ca="1">IFERROR(IF(0=LEN(ReferenceData!$P$11),"",ReferenceData!$P$11),"")</f>
        <v>33.50246782</v>
      </c>
      <c r="Q11">
        <f ca="1">IFERROR(IF(0=LEN(ReferenceData!$Q$11),"",ReferenceData!$Q$11),"")</f>
        <v>29.53037664</v>
      </c>
      <c r="R11">
        <f ca="1">IFERROR(IF(0=LEN(ReferenceData!$R$11),"",ReferenceData!$R$11),"")</f>
        <v>30.24012141</v>
      </c>
      <c r="S11">
        <f ca="1">IFERROR(IF(0=LEN(ReferenceData!$S$11),"",ReferenceData!$S$11),"")</f>
        <v>32.118853900000005</v>
      </c>
      <c r="T11">
        <f ca="1">IFERROR(IF(0=LEN(ReferenceData!$T$11),"",ReferenceData!$T$11),"")</f>
        <v>30.094427320000001</v>
      </c>
      <c r="U11">
        <f ca="1">IFERROR(IF(0=LEN(ReferenceData!$U$11),"",ReferenceData!$U$11),"")</f>
        <v>31.881345359999997</v>
      </c>
      <c r="V11">
        <f ca="1">IFERROR(IF(0=LEN(ReferenceData!$V$11),"",ReferenceData!$V$11),"")</f>
        <v>28.330164910000001</v>
      </c>
      <c r="W11">
        <f ca="1">IFERROR(IF(0=LEN(ReferenceData!$W$11),"",ReferenceData!$W$11),"")</f>
        <v>27.35261809</v>
      </c>
      <c r="X11">
        <f ca="1">IFERROR(IF(0=LEN(ReferenceData!$X$11),"",ReferenceData!$X$11),"")</f>
        <v>28.4524835</v>
      </c>
      <c r="Y11">
        <f ca="1">IFERROR(IF(0=LEN(ReferenceData!$Y$11),"",ReferenceData!$Y$11),"")</f>
        <v>26.609424260000004</v>
      </c>
      <c r="Z11">
        <f ca="1">IFERROR(IF(0=LEN(ReferenceData!$Z$11),"",ReferenceData!$Z$11),"")</f>
        <v>27.919735840000001</v>
      </c>
      <c r="AA11">
        <f ca="1">IFERROR(IF(0=LEN(ReferenceData!$AA$11),"",ReferenceData!$AA$11),"")</f>
        <v>22.8564063</v>
      </c>
      <c r="AB11">
        <f ca="1">IFERROR(IF(0=LEN(ReferenceData!$AB$11),"",ReferenceData!$AB$11),"")</f>
        <v>27.35281561</v>
      </c>
      <c r="AC11">
        <f ca="1">IFERROR(IF(0=LEN(ReferenceData!$AC$11),"",ReferenceData!$AC$11),"")</f>
        <v>24.539851036000002</v>
      </c>
      <c r="AD11">
        <f ca="1">IFERROR(IF(0=LEN(ReferenceData!$AD$11),"",ReferenceData!$AD$11),"")</f>
        <v>26.906911900000001</v>
      </c>
      <c r="AE11">
        <f ca="1">IFERROR(IF(0=LEN(ReferenceData!$AE$11),"",ReferenceData!$AE$11),"")</f>
        <v>29.26611904</v>
      </c>
      <c r="AF11">
        <f ca="1">IFERROR(IF(0=LEN(ReferenceData!$AF$11),"",ReferenceData!$AF$11),"")</f>
        <v>31.056207059999998</v>
      </c>
      <c r="AG11">
        <f ca="1">IFERROR(IF(0=LEN(ReferenceData!$AG$11),"",ReferenceData!$AG$11),"")</f>
        <v>28.50224343</v>
      </c>
      <c r="AH11">
        <f ca="1">IFERROR(IF(0=LEN(ReferenceData!$AH$11),"",ReferenceData!$AH$11),"")</f>
        <v>26.890924890000001</v>
      </c>
      <c r="AI11">
        <f ca="1">IFERROR(IF(0=LEN(ReferenceData!$AI$11),"",ReferenceData!$AI$11),"")</f>
        <v>28.375975879999999</v>
      </c>
      <c r="AJ11">
        <f ca="1">IFERROR(IF(0=LEN(ReferenceData!$AJ$11),"",ReferenceData!$AJ$11),"")</f>
        <v>31.489021960000002</v>
      </c>
      <c r="AK11">
        <f ca="1">IFERROR(IF(0=LEN(ReferenceData!$AK$11),"",ReferenceData!$AK$11),"")</f>
        <v>28.39403317</v>
      </c>
      <c r="AL11">
        <f ca="1">IFERROR(IF(0=LEN(ReferenceData!$AL$11),"",ReferenceData!$AL$11),"")</f>
        <v>29.617496419999998</v>
      </c>
      <c r="AM11">
        <f ca="1">IFERROR(IF(0=LEN(ReferenceData!$AM$11),"",ReferenceData!$AM$11),"")</f>
        <v>26.671388100000001</v>
      </c>
      <c r="AN11">
        <f ca="1">IFERROR(IF(0=LEN(ReferenceData!$AN$11),"",ReferenceData!$AN$11),"")</f>
        <v>28.503262929999998</v>
      </c>
      <c r="AO11">
        <f ca="1">IFERROR(IF(0=LEN(ReferenceData!$AO$11),"",ReferenceData!$AO$11),"")</f>
        <v>32.085536480000002</v>
      </c>
      <c r="AP11">
        <f ca="1">IFERROR(IF(0=LEN(ReferenceData!$AP$11),"",ReferenceData!$AP$11),"")</f>
        <v>28.497999050000001</v>
      </c>
      <c r="AQ11">
        <f ca="1">IFERROR(IF(0=LEN(ReferenceData!$AQ$11),"",ReferenceData!$AQ$11),"")</f>
        <v>28.996602119999999</v>
      </c>
      <c r="AR11">
        <f ca="1">IFERROR(IF(0=LEN(ReferenceData!$AR$11),"",ReferenceData!$AR$11),"")</f>
        <v>28.21403171</v>
      </c>
      <c r="AS11">
        <f ca="1">IFERROR(IF(0=LEN(ReferenceData!$AS$11),"",ReferenceData!$AS$11),"")</f>
        <v>28.336388050000004</v>
      </c>
    </row>
    <row r="12" spans="1:45" x14ac:dyDescent="0.25">
      <c r="A12" t="str">
        <f>IFERROR(IF(0=LEN(ReferenceData!$A$12),"",ReferenceData!$A$12),"")</f>
        <v xml:space="preserve">        Kenworth</v>
      </c>
      <c r="B12" t="str">
        <f>IFERROR(IF(0=LEN(ReferenceData!$B$12),"",ReferenceData!$B$12),"")</f>
        <v/>
      </c>
      <c r="C12" t="str">
        <f>IFERROR(IF(0=LEN(ReferenceData!$C$12),"",ReferenceData!$C$12),"")</f>
        <v/>
      </c>
      <c r="D12" t="str">
        <f>IFERROR(IF(0=LEN(ReferenceData!$D$12),"",ReferenceData!$D$12),"")</f>
        <v/>
      </c>
      <c r="E12" t="str">
        <f>IFERROR(IF(0=LEN(ReferenceData!$E$12),"",ReferenceData!$E$12),"")</f>
        <v>Expression</v>
      </c>
      <c r="F12">
        <f ca="1">IFERROR(IF(0=LEN(ReferenceData!$F$12),"",ReferenceData!$F$12),"")</f>
        <v>17.049576779999999</v>
      </c>
      <c r="G12">
        <f ca="1">IFERROR(IF(0=LEN(ReferenceData!$G$12),"",ReferenceData!$G$12),"")</f>
        <v>17.338906919999999</v>
      </c>
      <c r="H12">
        <f ca="1">IFERROR(IF(0=LEN(ReferenceData!$H$12),"",ReferenceData!$H$12),"")</f>
        <v>16.787478650000001</v>
      </c>
      <c r="I12">
        <f ca="1">IFERROR(IF(0=LEN(ReferenceData!$I$12),"",ReferenceData!$I$12),"")</f>
        <v>18.479532160000002</v>
      </c>
      <c r="J12">
        <f ca="1">IFERROR(IF(0=LEN(ReferenceData!$J$12),"",ReferenceData!$J$12),"")</f>
        <v>16.67569031</v>
      </c>
      <c r="K12">
        <f ca="1">IFERROR(IF(0=LEN(ReferenceData!$K$12),"",ReferenceData!$K$12),"")</f>
        <v>16.992933539999999</v>
      </c>
      <c r="L12">
        <f ca="1">IFERROR(IF(0=LEN(ReferenceData!$L$12),"",ReferenceData!$L$12),"")</f>
        <v>17.94786096</v>
      </c>
      <c r="M12">
        <f ca="1">IFERROR(IF(0=LEN(ReferenceData!$M$12),"",ReferenceData!$M$12),"")</f>
        <v>16.521425260000001</v>
      </c>
      <c r="N12">
        <f ca="1">IFERROR(IF(0=LEN(ReferenceData!$N$12),"",ReferenceData!$N$12),"")</f>
        <v>14.642149160000001</v>
      </c>
      <c r="O12">
        <f ca="1">IFERROR(IF(0=LEN(ReferenceData!$O$12),"",ReferenceData!$O$12),"")</f>
        <v>12.93532338</v>
      </c>
      <c r="P12">
        <f ca="1">IFERROR(IF(0=LEN(ReferenceData!$P$12),"",ReferenceData!$P$12),"")</f>
        <v>22.7778034</v>
      </c>
      <c r="Q12">
        <f ca="1">IFERROR(IF(0=LEN(ReferenceData!$Q$12),"",ReferenceData!$Q$12),"")</f>
        <v>17.698375389999999</v>
      </c>
      <c r="R12">
        <f ca="1">IFERROR(IF(0=LEN(ReferenceData!$R$12),"",ReferenceData!$R$12),"")</f>
        <v>17.72995826</v>
      </c>
      <c r="S12">
        <f ca="1">IFERROR(IF(0=LEN(ReferenceData!$S$12),"",ReferenceData!$S$12),"")</f>
        <v>20.334529280000002</v>
      </c>
      <c r="T12">
        <f ca="1">IFERROR(IF(0=LEN(ReferenceData!$T$12),"",ReferenceData!$T$12),"")</f>
        <v>17.877586969999999</v>
      </c>
      <c r="U12">
        <f ca="1">IFERROR(IF(0=LEN(ReferenceData!$U$12),"",ReferenceData!$U$12),"")</f>
        <v>18.06477228</v>
      </c>
      <c r="V12">
        <f ca="1">IFERROR(IF(0=LEN(ReferenceData!$V$12),"",ReferenceData!$V$12),"")</f>
        <v>16.910561919999999</v>
      </c>
      <c r="W12">
        <f ca="1">IFERROR(IF(0=LEN(ReferenceData!$W$12),"",ReferenceData!$W$12),"")</f>
        <v>15.64902966</v>
      </c>
      <c r="X12">
        <f ca="1">IFERROR(IF(0=LEN(ReferenceData!$X$12),"",ReferenceData!$X$12),"")</f>
        <v>16.436979619999999</v>
      </c>
      <c r="Y12">
        <f ca="1">IFERROR(IF(0=LEN(ReferenceData!$Y$12),"",ReferenceData!$Y$12),"")</f>
        <v>16.222830600000002</v>
      </c>
      <c r="Z12">
        <f ca="1">IFERROR(IF(0=LEN(ReferenceData!$Z$12),"",ReferenceData!$Z$12),"")</f>
        <v>16.2001524</v>
      </c>
      <c r="AA12">
        <f ca="1">IFERROR(IF(0=LEN(ReferenceData!$AA$12),"",ReferenceData!$AA$12),"")</f>
        <v>11.126579019999999</v>
      </c>
      <c r="AB12">
        <f ca="1">IFERROR(IF(0=LEN(ReferenceData!$AB$12),"",ReferenceData!$AB$12),"")</f>
        <v>17.165366550000002</v>
      </c>
      <c r="AC12">
        <f ca="1">IFERROR(IF(0=LEN(ReferenceData!$AC$12),"",ReferenceData!$AC$12),"")</f>
        <v>15.68358873</v>
      </c>
      <c r="AD12">
        <f ca="1">IFERROR(IF(0=LEN(ReferenceData!$AD$12),"",ReferenceData!$AD$12),"")</f>
        <v>16.78248928</v>
      </c>
      <c r="AE12">
        <f ca="1">IFERROR(IF(0=LEN(ReferenceData!$AE$12),"",ReferenceData!$AE$12),"")</f>
        <v>17.335709860000001</v>
      </c>
      <c r="AF12">
        <f ca="1">IFERROR(IF(0=LEN(ReferenceData!$AF$12),"",ReferenceData!$AF$12),"")</f>
        <v>18.47508444</v>
      </c>
      <c r="AG12">
        <f ca="1">IFERROR(IF(0=LEN(ReferenceData!$AG$12),"",ReferenceData!$AG$12),"")</f>
        <v>16.352111669999999</v>
      </c>
      <c r="AH12">
        <f ca="1">IFERROR(IF(0=LEN(ReferenceData!$AH$12),"",ReferenceData!$AH$12),"")</f>
        <v>16.117167120000001</v>
      </c>
      <c r="AI12">
        <f ca="1">IFERROR(IF(0=LEN(ReferenceData!$AI$12),"",ReferenceData!$AI$12),"")</f>
        <v>15.965834429999999</v>
      </c>
      <c r="AJ12">
        <f ca="1">IFERROR(IF(0=LEN(ReferenceData!$AJ$12),"",ReferenceData!$AJ$12),"")</f>
        <v>18.279441120000001</v>
      </c>
      <c r="AK12">
        <f ca="1">IFERROR(IF(0=LEN(ReferenceData!$AK$12),"",ReferenceData!$AK$12),"")</f>
        <v>16.210426089999999</v>
      </c>
      <c r="AL12">
        <f ca="1">IFERROR(IF(0=LEN(ReferenceData!$AL$12),"",ReferenceData!$AL$12),"")</f>
        <v>17.408757439999999</v>
      </c>
      <c r="AM12">
        <f ca="1">IFERROR(IF(0=LEN(ReferenceData!$AM$12),"",ReferenceData!$AM$12),"")</f>
        <v>14.881964119999999</v>
      </c>
      <c r="AN12">
        <f ca="1">IFERROR(IF(0=LEN(ReferenceData!$AN$12),"",ReferenceData!$AN$12),"")</f>
        <v>17.219844219999999</v>
      </c>
      <c r="AO12">
        <f ca="1">IFERROR(IF(0=LEN(ReferenceData!$AO$12),"",ReferenceData!$AO$12),"")</f>
        <v>18.01506715</v>
      </c>
      <c r="AP12">
        <f ca="1">IFERROR(IF(0=LEN(ReferenceData!$AP$12),"",ReferenceData!$AP$12),"")</f>
        <v>15.879135</v>
      </c>
      <c r="AQ12">
        <f ca="1">IFERROR(IF(0=LEN(ReferenceData!$AQ$12),"",ReferenceData!$AQ$12),"")</f>
        <v>16.215662999999999</v>
      </c>
      <c r="AR12">
        <f ca="1">IFERROR(IF(0=LEN(ReferenceData!$AR$12),"",ReferenceData!$AR$12),"")</f>
        <v>15.893402500000001</v>
      </c>
      <c r="AS12">
        <f ca="1">IFERROR(IF(0=LEN(ReferenceData!$AS$12),"",ReferenceData!$AS$12),"")</f>
        <v>16.128894760000001</v>
      </c>
    </row>
    <row r="13" spans="1:45" x14ac:dyDescent="0.25">
      <c r="A13" t="str">
        <f>IFERROR(IF(0=LEN(ReferenceData!$A$13),"",ReferenceData!$A$13),"")</f>
        <v xml:space="preserve">        Peterbilt</v>
      </c>
      <c r="B13" t="str">
        <f>IFERROR(IF(0=LEN(ReferenceData!$B$13),"",ReferenceData!$B$13),"")</f>
        <v/>
      </c>
      <c r="C13" t="str">
        <f>IFERROR(IF(0=LEN(ReferenceData!$C$13),"",ReferenceData!$C$13),"")</f>
        <v/>
      </c>
      <c r="D13" t="str">
        <f>IFERROR(IF(0=LEN(ReferenceData!$D$13),"",ReferenceData!$D$13),"")</f>
        <v/>
      </c>
      <c r="E13" t="str">
        <f>IFERROR(IF(0=LEN(ReferenceData!$E$13),"",ReferenceData!$E$13),"")</f>
        <v>Expression</v>
      </c>
      <c r="F13">
        <f ca="1">IFERROR(IF(0=LEN(ReferenceData!$F$13),"",ReferenceData!$F$13),"")</f>
        <v>14.38072206</v>
      </c>
      <c r="G13">
        <f ca="1">IFERROR(IF(0=LEN(ReferenceData!$G$13),"",ReferenceData!$G$13),"")</f>
        <v>12.69177747</v>
      </c>
      <c r="H13">
        <f ca="1">IFERROR(IF(0=LEN(ReferenceData!$H$13),"",ReferenceData!$H$13),"")</f>
        <v>14.01265063</v>
      </c>
      <c r="I13">
        <f ca="1">IFERROR(IF(0=LEN(ReferenceData!$I$13),"",ReferenceData!$I$13),"")</f>
        <v>14.533435040000001</v>
      </c>
      <c r="J13">
        <f ca="1">IFERROR(IF(0=LEN(ReferenceData!$J$13),"",ReferenceData!$J$13),"")</f>
        <v>13.77458942</v>
      </c>
      <c r="K13">
        <f ca="1">IFERROR(IF(0=LEN(ReferenceData!$K$13),"",ReferenceData!$K$13),"")</f>
        <v>13.135026740000001</v>
      </c>
      <c r="L13">
        <f ca="1">IFERROR(IF(0=LEN(ReferenceData!$L$13),"",ReferenceData!$L$13),"")</f>
        <v>13.981729059999999</v>
      </c>
      <c r="M13">
        <f ca="1">IFERROR(IF(0=LEN(ReferenceData!$M$13),"",ReferenceData!$M$13),"")</f>
        <v>12.54060744</v>
      </c>
      <c r="N13">
        <f ca="1">IFERROR(IF(0=LEN(ReferenceData!$N$13),"",ReferenceData!$N$13),"")</f>
        <v>13.849203640000001</v>
      </c>
      <c r="O13">
        <f ca="1">IFERROR(IF(0=LEN(ReferenceData!$O$13),"",ReferenceData!$O$13),"")</f>
        <v>14.09852148</v>
      </c>
      <c r="P13">
        <f ca="1">IFERROR(IF(0=LEN(ReferenceData!$P$13),"",ReferenceData!$P$13),"")</f>
        <v>10.72466442</v>
      </c>
      <c r="Q13">
        <f ca="1">IFERROR(IF(0=LEN(ReferenceData!$Q$13),"",ReferenceData!$Q$13),"")</f>
        <v>11.832001249999999</v>
      </c>
      <c r="R13">
        <f ca="1">IFERROR(IF(0=LEN(ReferenceData!$R$13),"",ReferenceData!$R$13),"")</f>
        <v>12.51016315</v>
      </c>
      <c r="S13">
        <f ca="1">IFERROR(IF(0=LEN(ReferenceData!$S$13),"",ReferenceData!$S$13),"")</f>
        <v>11.78432462</v>
      </c>
      <c r="T13">
        <f ca="1">IFERROR(IF(0=LEN(ReferenceData!$T$13),"",ReferenceData!$T$13),"")</f>
        <v>12.21684035</v>
      </c>
      <c r="U13">
        <f ca="1">IFERROR(IF(0=LEN(ReferenceData!$U$13),"",ReferenceData!$U$13),"")</f>
        <v>13.81657308</v>
      </c>
      <c r="V13">
        <f ca="1">IFERROR(IF(0=LEN(ReferenceData!$V$13),"",ReferenceData!$V$13),"")</f>
        <v>11.41960299</v>
      </c>
      <c r="W13">
        <f ca="1">IFERROR(IF(0=LEN(ReferenceData!$W$13),"",ReferenceData!$W$13),"")</f>
        <v>11.70358843</v>
      </c>
      <c r="X13">
        <f ca="1">IFERROR(IF(0=LEN(ReferenceData!$X$13),"",ReferenceData!$X$13),"")</f>
        <v>12.015503880000001</v>
      </c>
      <c r="Y13">
        <f ca="1">IFERROR(IF(0=LEN(ReferenceData!$Y$13),"",ReferenceData!$Y$13),"")</f>
        <v>10.386593660000001</v>
      </c>
      <c r="Z13">
        <f ca="1">IFERROR(IF(0=LEN(ReferenceData!$Z$13),"",ReferenceData!$Z$13),"")</f>
        <v>11.719583439999999</v>
      </c>
      <c r="AA13">
        <f ca="1">IFERROR(IF(0=LEN(ReferenceData!$AA$13),"",ReferenceData!$AA$13),"")</f>
        <v>11.72982728</v>
      </c>
      <c r="AB13">
        <f ca="1">IFERROR(IF(0=LEN(ReferenceData!$AB$13),"",ReferenceData!$AB$13),"")</f>
        <v>10.187449060000001</v>
      </c>
      <c r="AC13">
        <f ca="1">IFERROR(IF(0=LEN(ReferenceData!$AC$13),"",ReferenceData!$AC$13),"")</f>
        <v>8.8562623059999996</v>
      </c>
      <c r="AD13">
        <f ca="1">IFERROR(IF(0=LEN(ReferenceData!$AD$13),"",ReferenceData!$AD$13),"")</f>
        <v>10.124422620000001</v>
      </c>
      <c r="AE13">
        <f ca="1">IFERROR(IF(0=LEN(ReferenceData!$AE$13),"",ReferenceData!$AE$13),"")</f>
        <v>11.93040918</v>
      </c>
      <c r="AF13">
        <f ca="1">IFERROR(IF(0=LEN(ReferenceData!$AF$13),"",ReferenceData!$AF$13),"")</f>
        <v>12.58112262</v>
      </c>
      <c r="AG13">
        <f ca="1">IFERROR(IF(0=LEN(ReferenceData!$AG$13),"",ReferenceData!$AG$13),"")</f>
        <v>12.150131760000001</v>
      </c>
      <c r="AH13">
        <f ca="1">IFERROR(IF(0=LEN(ReferenceData!$AH$13),"",ReferenceData!$AH$13),"")</f>
        <v>10.77375777</v>
      </c>
      <c r="AI13">
        <f ca="1">IFERROR(IF(0=LEN(ReferenceData!$AI$13),"",ReferenceData!$AI$13),"")</f>
        <v>12.410141449999999</v>
      </c>
      <c r="AJ13">
        <f ca="1">IFERROR(IF(0=LEN(ReferenceData!$AJ$13),"",ReferenceData!$AJ$13),"")</f>
        <v>13.209580839999999</v>
      </c>
      <c r="AK13">
        <f ca="1">IFERROR(IF(0=LEN(ReferenceData!$AK$13),"",ReferenceData!$AK$13),"")</f>
        <v>12.18360708</v>
      </c>
      <c r="AL13">
        <f ca="1">IFERROR(IF(0=LEN(ReferenceData!$AL$13),"",ReferenceData!$AL$13),"")</f>
        <v>12.20873898</v>
      </c>
      <c r="AM13">
        <f ca="1">IFERROR(IF(0=LEN(ReferenceData!$AM$13),"",ReferenceData!$AM$13),"")</f>
        <v>11.78942398</v>
      </c>
      <c r="AN13">
        <f ca="1">IFERROR(IF(0=LEN(ReferenceData!$AN$13),"",ReferenceData!$AN$13),"")</f>
        <v>11.283418709999999</v>
      </c>
      <c r="AO13">
        <f ca="1">IFERROR(IF(0=LEN(ReferenceData!$AO$13),"",ReferenceData!$AO$13),"")</f>
        <v>14.07046933</v>
      </c>
      <c r="AP13">
        <f ca="1">IFERROR(IF(0=LEN(ReferenceData!$AP$13),"",ReferenceData!$AP$13),"")</f>
        <v>12.618864050000001</v>
      </c>
      <c r="AQ13">
        <f ca="1">IFERROR(IF(0=LEN(ReferenceData!$AQ$13),"",ReferenceData!$AQ$13),"")</f>
        <v>12.780939119999999</v>
      </c>
      <c r="AR13">
        <f ca="1">IFERROR(IF(0=LEN(ReferenceData!$AR$13),"",ReferenceData!$AR$13),"")</f>
        <v>12.32062921</v>
      </c>
      <c r="AS13">
        <f ca="1">IFERROR(IF(0=LEN(ReferenceData!$AS$13),"",ReferenceData!$AS$13),"")</f>
        <v>12.20749329</v>
      </c>
    </row>
    <row r="14" spans="1:45" x14ac:dyDescent="0.25">
      <c r="A14" t="str">
        <f>IFERROR(IF(0=LEN(ReferenceData!$A$14),"",ReferenceData!$A$14),"")</f>
        <v xml:space="preserve">    Navistar</v>
      </c>
      <c r="B14" t="str">
        <f>IFERROR(IF(0=LEN(ReferenceData!$B$14),"",ReferenceData!$B$14),"")</f>
        <v/>
      </c>
      <c r="C14" t="str">
        <f>IFERROR(IF(0=LEN(ReferenceData!$C$14),"",ReferenceData!$C$14),"")</f>
        <v/>
      </c>
      <c r="D14" t="str">
        <f>IFERROR(IF(0=LEN(ReferenceData!$D$14),"",ReferenceData!$D$14),"")</f>
        <v/>
      </c>
      <c r="E14" t="str">
        <f>IFERROR(IF(0=LEN(ReferenceData!$E$14),"",ReferenceData!$E$14),"")</f>
        <v>Sum</v>
      </c>
      <c r="F14">
        <f ca="1">IFERROR(IF(0=LEN(ReferenceData!$F$14),"",ReferenceData!$F$14),"")</f>
        <v>17.770772149999999</v>
      </c>
      <c r="G14">
        <f ca="1">IFERROR(IF(0=LEN(ReferenceData!$G$14),"",ReferenceData!$G$14),"")</f>
        <v>12.20705296</v>
      </c>
      <c r="H14">
        <f ca="1">IFERROR(IF(0=LEN(ReferenceData!$H$14),"",ReferenceData!$H$14),"")</f>
        <v>16.233436449999999</v>
      </c>
      <c r="I14">
        <f ca="1">IFERROR(IF(0=LEN(ReferenceData!$I$14),"",ReferenceData!$I$14),"")</f>
        <v>11.914569029999999</v>
      </c>
      <c r="J14">
        <f ca="1">IFERROR(IF(0=LEN(ReferenceData!$J$14),"",ReferenceData!$J$14),"")</f>
        <v>11.2524815</v>
      </c>
      <c r="K14">
        <f ca="1">IFERROR(IF(0=LEN(ReferenceData!$K$14),"",ReferenceData!$K$14),"")</f>
        <v>10.695187170000001</v>
      </c>
      <c r="L14">
        <f ca="1">IFERROR(IF(0=LEN(ReferenceData!$L$14),"",ReferenceData!$L$14),"")</f>
        <v>13.062611410000001</v>
      </c>
      <c r="M14">
        <f ca="1">IFERROR(IF(0=LEN(ReferenceData!$M$14),"",ReferenceData!$M$14),"")</f>
        <v>11.045222499999999</v>
      </c>
      <c r="N14">
        <f ca="1">IFERROR(IF(0=LEN(ReferenceData!$N$14),"",ReferenceData!$N$14),"")</f>
        <v>12.693964039999999</v>
      </c>
      <c r="O14">
        <f ca="1">IFERROR(IF(0=LEN(ReferenceData!$O$14),"",ReferenceData!$O$14),"")</f>
        <v>13.734146170000001</v>
      </c>
      <c r="P14">
        <f ca="1">IFERROR(IF(0=LEN(ReferenceData!$P$14),"",ReferenceData!$P$14),"")</f>
        <v>9.6545043590000006</v>
      </c>
      <c r="Q14">
        <f ca="1">IFERROR(IF(0=LEN(ReferenceData!$Q$14),"",ReferenceData!$Q$14),"")</f>
        <v>12.24468474</v>
      </c>
      <c r="R14">
        <f ca="1">IFERROR(IF(0=LEN(ReferenceData!$R$14),"",ReferenceData!$R$14),"")</f>
        <v>17.816683829999999</v>
      </c>
      <c r="S14">
        <f ca="1">IFERROR(IF(0=LEN(ReferenceData!$S$14),"",ReferenceData!$S$14),"")</f>
        <v>12.567588049999999</v>
      </c>
      <c r="T14">
        <f ca="1">IFERROR(IF(0=LEN(ReferenceData!$T$14),"",ReferenceData!$T$14),"")</f>
        <v>12.975194480000001</v>
      </c>
      <c r="U14">
        <f ca="1">IFERROR(IF(0=LEN(ReferenceData!$U$14),"",ReferenceData!$U$14),"")</f>
        <v>10.65169304</v>
      </c>
      <c r="V14">
        <f ca="1">IFERROR(IF(0=LEN(ReferenceData!$V$14),"",ReferenceData!$V$14),"")</f>
        <v>10.026968480000001</v>
      </c>
      <c r="W14">
        <f ca="1">IFERROR(IF(0=LEN(ReferenceData!$W$14),"",ReferenceData!$W$14),"")</f>
        <v>11.41980959</v>
      </c>
      <c r="X14">
        <f ca="1">IFERROR(IF(0=LEN(ReferenceData!$X$14),"",ReferenceData!$X$14),"")</f>
        <v>12.98210355</v>
      </c>
      <c r="Y14">
        <f ca="1">IFERROR(IF(0=LEN(ReferenceData!$Y$14),"",ReferenceData!$Y$14),"")</f>
        <v>12.207565949999999</v>
      </c>
      <c r="Z14">
        <f ca="1">IFERROR(IF(0=LEN(ReferenceData!$Z$14),"",ReferenceData!$Z$14),"")</f>
        <v>10.61722123</v>
      </c>
      <c r="AA14">
        <f ca="1">IFERROR(IF(0=LEN(ReferenceData!$AA$14),"",ReferenceData!$AA$14),"")</f>
        <v>17.050786290000001</v>
      </c>
      <c r="AB14">
        <f ca="1">IFERROR(IF(0=LEN(ReferenceData!$AB$14),"",ReferenceData!$AB$14),"")</f>
        <v>10.563899559999999</v>
      </c>
      <c r="AC14">
        <f ca="1">IFERROR(IF(0=LEN(ReferenceData!$AC$14),"",ReferenceData!$AC$14),"")</f>
        <v>8.4367776729999999</v>
      </c>
      <c r="AD14">
        <f ca="1">IFERROR(IF(0=LEN(ReferenceData!$AD$14),"",ReferenceData!$AD$14),"")</f>
        <v>13.15800424</v>
      </c>
      <c r="AE14">
        <f ca="1">IFERROR(IF(0=LEN(ReferenceData!$AE$14),"",ReferenceData!$AE$14),"")</f>
        <v>11.988530689999999</v>
      </c>
      <c r="AF14">
        <f ca="1">IFERROR(IF(0=LEN(ReferenceData!$AF$14),"",ReferenceData!$AF$14),"")</f>
        <v>12.36100042</v>
      </c>
      <c r="AG14">
        <f ca="1">IFERROR(IF(0=LEN(ReferenceData!$AG$14),"",ReferenceData!$AG$14),"")</f>
        <v>13.314578729999999</v>
      </c>
      <c r="AH14">
        <f ca="1">IFERROR(IF(0=LEN(ReferenceData!$AH$14),"",ReferenceData!$AH$14),"")</f>
        <v>13.686216809999999</v>
      </c>
      <c r="AI14">
        <f ca="1">IFERROR(IF(0=LEN(ReferenceData!$AI$14),"",ReferenceData!$AI$14),"")</f>
        <v>12.085491230000001</v>
      </c>
      <c r="AJ14">
        <f ca="1">IFERROR(IF(0=LEN(ReferenceData!$AJ$14),"",ReferenceData!$AJ$14),"")</f>
        <v>13.301397209999999</v>
      </c>
      <c r="AK14">
        <f ca="1">IFERROR(IF(0=LEN(ReferenceData!$AK$14),"",ReferenceData!$AK$14),"")</f>
        <v>15.008331350000001</v>
      </c>
      <c r="AL14">
        <f ca="1">IFERROR(IF(0=LEN(ReferenceData!$AL$14),"",ReferenceData!$AL$14),"")</f>
        <v>11.742721360000001</v>
      </c>
      <c r="AM14">
        <f ca="1">IFERROR(IF(0=LEN(ReferenceData!$AM$14),"",ReferenceData!$AM$14),"")</f>
        <v>13.432483469999999</v>
      </c>
      <c r="AN14">
        <f ca="1">IFERROR(IF(0=LEN(ReferenceData!$AN$14),"",ReferenceData!$AN$14),"")</f>
        <v>11.234299350000001</v>
      </c>
      <c r="AO14">
        <f ca="1">IFERROR(IF(0=LEN(ReferenceData!$AO$14),"",ReferenceData!$AO$14),"")</f>
        <v>12.236207950000001</v>
      </c>
      <c r="AP14">
        <f ca="1">IFERROR(IF(0=LEN(ReferenceData!$AP$14),"",ReferenceData!$AP$14),"")</f>
        <v>16.352755439999999</v>
      </c>
      <c r="AQ14">
        <f ca="1">IFERROR(IF(0=LEN(ReferenceData!$AQ$14),"",ReferenceData!$AQ$14),"")</f>
        <v>14.979326159999999</v>
      </c>
      <c r="AR14">
        <f ca="1">IFERROR(IF(0=LEN(ReferenceData!$AR$14),"",ReferenceData!$AR$14),"")</f>
        <v>14.680165669999999</v>
      </c>
      <c r="AS14">
        <f ca="1">IFERROR(IF(0=LEN(ReferenceData!$AS$14),"",ReferenceData!$AS$14),"")</f>
        <v>17.774178419999998</v>
      </c>
    </row>
    <row r="15" spans="1:45" x14ac:dyDescent="0.25">
      <c r="A15" t="str">
        <f>IFERROR(IF(0=LEN(ReferenceData!$A$15),"",ReferenceData!$A$15),"")</f>
        <v xml:space="preserve">        International</v>
      </c>
      <c r="B15" t="str">
        <f>IFERROR(IF(0=LEN(ReferenceData!$B$15),"",ReferenceData!$B$15),"")</f>
        <v/>
      </c>
      <c r="C15" t="str">
        <f>IFERROR(IF(0=LEN(ReferenceData!$C$15),"",ReferenceData!$C$15),"")</f>
        <v/>
      </c>
      <c r="D15" t="str">
        <f>IFERROR(IF(0=LEN(ReferenceData!$D$15),"",ReferenceData!$D$15),"")</f>
        <v/>
      </c>
      <c r="E15" t="str">
        <f>IFERROR(IF(0=LEN(ReferenceData!$E$15),"",ReferenceData!$E$15),"")</f>
        <v>Expression</v>
      </c>
      <c r="F15">
        <f ca="1">IFERROR(IF(0=LEN(ReferenceData!$F$15),"",ReferenceData!$F$15),"")</f>
        <v>17.770772149999999</v>
      </c>
      <c r="G15">
        <f ca="1">IFERROR(IF(0=LEN(ReferenceData!$G$15),"",ReferenceData!$G$15),"")</f>
        <v>12.20705296</v>
      </c>
      <c r="H15">
        <f ca="1">IFERROR(IF(0=LEN(ReferenceData!$H$15),"",ReferenceData!$H$15),"")</f>
        <v>16.233436449999999</v>
      </c>
      <c r="I15">
        <f ca="1">IFERROR(IF(0=LEN(ReferenceData!$I$15),"",ReferenceData!$I$15),"")</f>
        <v>11.914569029999999</v>
      </c>
      <c r="J15">
        <f ca="1">IFERROR(IF(0=LEN(ReferenceData!$J$15),"",ReferenceData!$J$15),"")</f>
        <v>11.2524815</v>
      </c>
      <c r="K15">
        <f ca="1">IFERROR(IF(0=LEN(ReferenceData!$K$15),"",ReferenceData!$K$15),"")</f>
        <v>10.695187170000001</v>
      </c>
      <c r="L15">
        <f ca="1">IFERROR(IF(0=LEN(ReferenceData!$L$15),"",ReferenceData!$L$15),"")</f>
        <v>13.062611410000001</v>
      </c>
      <c r="M15">
        <f ca="1">IFERROR(IF(0=LEN(ReferenceData!$M$15),"",ReferenceData!$M$15),"")</f>
        <v>11.045222499999999</v>
      </c>
      <c r="N15">
        <f ca="1">IFERROR(IF(0=LEN(ReferenceData!$N$15),"",ReferenceData!$N$15),"")</f>
        <v>12.693964039999999</v>
      </c>
      <c r="O15">
        <f ca="1">IFERROR(IF(0=LEN(ReferenceData!$O$15),"",ReferenceData!$O$15),"")</f>
        <v>13.734146170000001</v>
      </c>
      <c r="P15">
        <f ca="1">IFERROR(IF(0=LEN(ReferenceData!$P$15),"",ReferenceData!$P$15),"")</f>
        <v>9.6545043590000006</v>
      </c>
      <c r="Q15">
        <f ca="1">IFERROR(IF(0=LEN(ReferenceData!$Q$15),"",ReferenceData!$Q$15),"")</f>
        <v>12.24468474</v>
      </c>
      <c r="R15">
        <f ca="1">IFERROR(IF(0=LEN(ReferenceData!$R$15),"",ReferenceData!$R$15),"")</f>
        <v>17.816683829999999</v>
      </c>
      <c r="S15">
        <f ca="1">IFERROR(IF(0=LEN(ReferenceData!$S$15),"",ReferenceData!$S$15),"")</f>
        <v>12.567588049999999</v>
      </c>
      <c r="T15">
        <f ca="1">IFERROR(IF(0=LEN(ReferenceData!$T$15),"",ReferenceData!$T$15),"")</f>
        <v>12.975194480000001</v>
      </c>
      <c r="U15">
        <f ca="1">IFERROR(IF(0=LEN(ReferenceData!$U$15),"",ReferenceData!$U$15),"")</f>
        <v>10.65169304</v>
      </c>
      <c r="V15">
        <f ca="1">IFERROR(IF(0=LEN(ReferenceData!$V$15),"",ReferenceData!$V$15),"")</f>
        <v>10.026968480000001</v>
      </c>
      <c r="W15">
        <f ca="1">IFERROR(IF(0=LEN(ReferenceData!$W$15),"",ReferenceData!$W$15),"")</f>
        <v>11.41980959</v>
      </c>
      <c r="X15">
        <f ca="1">IFERROR(IF(0=LEN(ReferenceData!$X$15),"",ReferenceData!$X$15),"")</f>
        <v>12.98210355</v>
      </c>
      <c r="Y15">
        <f ca="1">IFERROR(IF(0=LEN(ReferenceData!$Y$15),"",ReferenceData!$Y$15),"")</f>
        <v>12.207565949999999</v>
      </c>
      <c r="Z15">
        <f ca="1">IFERROR(IF(0=LEN(ReferenceData!$Z$15),"",ReferenceData!$Z$15),"")</f>
        <v>10.61722123</v>
      </c>
      <c r="AA15">
        <f ca="1">IFERROR(IF(0=LEN(ReferenceData!$AA$15),"",ReferenceData!$AA$15),"")</f>
        <v>17.050786290000001</v>
      </c>
      <c r="AB15">
        <f ca="1">IFERROR(IF(0=LEN(ReferenceData!$AB$15),"",ReferenceData!$AB$15),"")</f>
        <v>10.563899559999999</v>
      </c>
      <c r="AC15">
        <f ca="1">IFERROR(IF(0=LEN(ReferenceData!$AC$15),"",ReferenceData!$AC$15),"")</f>
        <v>8.4367776729999999</v>
      </c>
      <c r="AD15">
        <f ca="1">IFERROR(IF(0=LEN(ReferenceData!$AD$15),"",ReferenceData!$AD$15),"")</f>
        <v>13.15800424</v>
      </c>
      <c r="AE15">
        <f ca="1">IFERROR(IF(0=LEN(ReferenceData!$AE$15),"",ReferenceData!$AE$15),"")</f>
        <v>11.988530689999999</v>
      </c>
      <c r="AF15">
        <f ca="1">IFERROR(IF(0=LEN(ReferenceData!$AF$15),"",ReferenceData!$AF$15),"")</f>
        <v>12.36100042</v>
      </c>
      <c r="AG15">
        <f ca="1">IFERROR(IF(0=LEN(ReferenceData!$AG$15),"",ReferenceData!$AG$15),"")</f>
        <v>13.314578729999999</v>
      </c>
      <c r="AH15">
        <f ca="1">IFERROR(IF(0=LEN(ReferenceData!$AH$15),"",ReferenceData!$AH$15),"")</f>
        <v>13.686216809999999</v>
      </c>
      <c r="AI15">
        <f ca="1">IFERROR(IF(0=LEN(ReferenceData!$AI$15),"",ReferenceData!$AI$15),"")</f>
        <v>12.085491230000001</v>
      </c>
      <c r="AJ15">
        <f ca="1">IFERROR(IF(0=LEN(ReferenceData!$AJ$15),"",ReferenceData!$AJ$15),"")</f>
        <v>13.301397209999999</v>
      </c>
      <c r="AK15">
        <f ca="1">IFERROR(IF(0=LEN(ReferenceData!$AK$15),"",ReferenceData!$AK$15),"")</f>
        <v>15.008331350000001</v>
      </c>
      <c r="AL15">
        <f ca="1">IFERROR(IF(0=LEN(ReferenceData!$AL$15),"",ReferenceData!$AL$15),"")</f>
        <v>11.742721360000001</v>
      </c>
      <c r="AM15">
        <f ca="1">IFERROR(IF(0=LEN(ReferenceData!$AM$15),"",ReferenceData!$AM$15),"")</f>
        <v>13.432483469999999</v>
      </c>
      <c r="AN15">
        <f ca="1">IFERROR(IF(0=LEN(ReferenceData!$AN$15),"",ReferenceData!$AN$15),"")</f>
        <v>11.234299350000001</v>
      </c>
      <c r="AO15">
        <f ca="1">IFERROR(IF(0=LEN(ReferenceData!$AO$15),"",ReferenceData!$AO$15),"")</f>
        <v>12.236207950000001</v>
      </c>
      <c r="AP15">
        <f ca="1">IFERROR(IF(0=LEN(ReferenceData!$AP$15),"",ReferenceData!$AP$15),"")</f>
        <v>16.352755439999999</v>
      </c>
      <c r="AQ15">
        <f ca="1">IFERROR(IF(0=LEN(ReferenceData!$AQ$15),"",ReferenceData!$AQ$15),"")</f>
        <v>14.979326159999999</v>
      </c>
      <c r="AR15">
        <f ca="1">IFERROR(IF(0=LEN(ReferenceData!$AR$15),"",ReferenceData!$AR$15),"")</f>
        <v>14.680165669999999</v>
      </c>
      <c r="AS15">
        <f ca="1">IFERROR(IF(0=LEN(ReferenceData!$AS$15),"",ReferenceData!$AS$15),"")</f>
        <v>17.774178419999998</v>
      </c>
    </row>
    <row r="16" spans="1:45" x14ac:dyDescent="0.25">
      <c r="A16" t="str">
        <f>IFERROR(IF(0=LEN(ReferenceData!$A$16),"",ReferenceData!$A$16),"")</f>
        <v xml:space="preserve">    Volvo</v>
      </c>
      <c r="B16" t="str">
        <f>IFERROR(IF(0=LEN(ReferenceData!$B$16),"",ReferenceData!$B$16),"")</f>
        <v/>
      </c>
      <c r="C16" t="str">
        <f>IFERROR(IF(0=LEN(ReferenceData!$C$16),"",ReferenceData!$C$16),"")</f>
        <v/>
      </c>
      <c r="D16" t="str">
        <f>IFERROR(IF(0=LEN(ReferenceData!$D$16),"",ReferenceData!$D$16),"")</f>
        <v/>
      </c>
      <c r="E16" t="str">
        <f>IFERROR(IF(0=LEN(ReferenceData!$E$16),"",ReferenceData!$E$16),"")</f>
        <v>Sum</v>
      </c>
      <c r="F16">
        <f ca="1">IFERROR(IF(0=LEN(ReferenceData!$F$16),"",ReferenceData!$F$16),"")</f>
        <v>12.968561063999999</v>
      </c>
      <c r="G16">
        <f ca="1">IFERROR(IF(0=LEN(ReferenceData!$G$16),"",ReferenceData!$G$16),"")</f>
        <v>14.430559879</v>
      </c>
      <c r="H16">
        <f ca="1">IFERROR(IF(0=LEN(ReferenceData!$H$16),"",ReferenceData!$H$16),"")</f>
        <v>15.485479477000002</v>
      </c>
      <c r="I16">
        <f ca="1">IFERROR(IF(0=LEN(ReferenceData!$I$16),"",ReferenceData!$I$16),"")</f>
        <v>14.263920671000001</v>
      </c>
      <c r="J16">
        <f ca="1">IFERROR(IF(0=LEN(ReferenceData!$J$16),"",ReferenceData!$J$16),"")</f>
        <v>17.632196354999998</v>
      </c>
      <c r="K16">
        <f ca="1">IFERROR(IF(0=LEN(ReferenceData!$K$16),"",ReferenceData!$K$16),"")</f>
        <v>14.581741788</v>
      </c>
      <c r="L16">
        <f ca="1">IFERROR(IF(0=LEN(ReferenceData!$L$16),"",ReferenceData!$L$16),"")</f>
        <v>14.661319073000001</v>
      </c>
      <c r="M16">
        <f ca="1">IFERROR(IF(0=LEN(ReferenceData!$M$16),"",ReferenceData!$M$16),"")</f>
        <v>20.012375597000002</v>
      </c>
      <c r="N16">
        <f ca="1">IFERROR(IF(0=LEN(ReferenceData!$N$16),"",ReferenceData!$N$16),"")</f>
        <v>17.273907991000002</v>
      </c>
      <c r="O16">
        <f ca="1">IFERROR(IF(0=LEN(ReferenceData!$O$16),"",ReferenceData!$O$16),"")</f>
        <v>17.104617756</v>
      </c>
      <c r="P16">
        <f ca="1">IFERROR(IF(0=LEN(ReferenceData!$P$16),"",ReferenceData!$P$16),"")</f>
        <v>22.519488907000003</v>
      </c>
      <c r="Q16">
        <f ca="1">IFERROR(IF(0=LEN(ReferenceData!$Q$16),"",ReferenceData!$Q$16),"")</f>
        <v>15.499138066</v>
      </c>
      <c r="R16">
        <f ca="1">IFERROR(IF(0=LEN(ReferenceData!$R$16),"",ReferenceData!$R$16),"")</f>
        <v>16.136375956000002</v>
      </c>
      <c r="S16">
        <f ca="1">IFERROR(IF(0=LEN(ReferenceData!$S$16),"",ReferenceData!$S$16),"")</f>
        <v>17.090302694000002</v>
      </c>
      <c r="T16">
        <f ca="1">IFERROR(IF(0=LEN(ReferenceData!$T$16),"",ReferenceData!$T$16),"")</f>
        <v>16.688683398999999</v>
      </c>
      <c r="U16">
        <f ca="1">IFERROR(IF(0=LEN(ReferenceData!$U$16),"",ReferenceData!$U$16),"")</f>
        <v>18.501503034000002</v>
      </c>
      <c r="V16">
        <f ca="1">IFERROR(IF(0=LEN(ReferenceData!$V$16),"",ReferenceData!$V$16),"")</f>
        <v>21.751624741999997</v>
      </c>
      <c r="W16">
        <f ca="1">IFERROR(IF(0=LEN(ReferenceData!$W$16),"",ReferenceData!$W$16),"")</f>
        <v>17.095386305999998</v>
      </c>
      <c r="X16">
        <f ca="1">IFERROR(IF(0=LEN(ReferenceData!$X$16),"",ReferenceData!$X$16),"")</f>
        <v>16.834146808</v>
      </c>
      <c r="Y16">
        <f ca="1">IFERROR(IF(0=LEN(ReferenceData!$Y$16),"",ReferenceData!$Y$16),"")</f>
        <v>15.994690559</v>
      </c>
      <c r="Z16">
        <f ca="1">IFERROR(IF(0=LEN(ReferenceData!$Z$16),"",ReferenceData!$Z$16),"")</f>
        <v>18.262636523000001</v>
      </c>
      <c r="AA16">
        <f ca="1">IFERROR(IF(0=LEN(ReferenceData!$AA$16),"",ReferenceData!$AA$16),"")</f>
        <v>13.616911576</v>
      </c>
      <c r="AB16">
        <f ca="1">IFERROR(IF(0=LEN(ReferenceData!$AB$16),"",ReferenceData!$AB$16),"")</f>
        <v>25.905227619999998</v>
      </c>
      <c r="AC16">
        <f ca="1">IFERROR(IF(0=LEN(ReferenceData!$AC$16),"",ReferenceData!$AC$16),"")</f>
        <v>18.774077566999999</v>
      </c>
      <c r="AD16">
        <f ca="1">IFERROR(IF(0=LEN(ReferenceData!$AD$16),"",ReferenceData!$AD$16),"")</f>
        <v>17.352586246000001</v>
      </c>
      <c r="AE16">
        <f ca="1">IFERROR(IF(0=LEN(ReferenceData!$AE$16),"",ReferenceData!$AE$16),"")</f>
        <v>18.463267205999998</v>
      </c>
      <c r="AF16">
        <f ca="1">IFERROR(IF(0=LEN(ReferenceData!$AF$16),"",ReferenceData!$AF$16),"")</f>
        <v>18.433337133999999</v>
      </c>
      <c r="AG16">
        <f ca="1">IFERROR(IF(0=LEN(ReferenceData!$AG$16),"",ReferenceData!$AG$16),"")</f>
        <v>18.207392640999998</v>
      </c>
      <c r="AH16">
        <f ca="1">IFERROR(IF(0=LEN(ReferenceData!$AH$16),"",ReferenceData!$AH$16),"")</f>
        <v>20.724938137999999</v>
      </c>
      <c r="AI16">
        <f ca="1">IFERROR(IF(0=LEN(ReferenceData!$AI$16),"",ReferenceData!$AI$16),"")</f>
        <v>20.746695523</v>
      </c>
      <c r="AJ16">
        <f ca="1">IFERROR(IF(0=LEN(ReferenceData!$AJ$16),"",ReferenceData!$AJ$16),"")</f>
        <v>20.451097802</v>
      </c>
      <c r="AK16">
        <f ca="1">IFERROR(IF(0=LEN(ReferenceData!$AK$16),"",ReferenceData!$AK$16),"")</f>
        <v>21.189399344999998</v>
      </c>
      <c r="AL16">
        <f ca="1">IFERROR(IF(0=LEN(ReferenceData!$AL$16),"",ReferenceData!$AL$16),"")</f>
        <v>18.811424352</v>
      </c>
      <c r="AM16">
        <f ca="1">IFERROR(IF(0=LEN(ReferenceData!$AM$16),"",ReferenceData!$AM$16),"")</f>
        <v>15.585457979999999</v>
      </c>
      <c r="AN16">
        <f ca="1">IFERROR(IF(0=LEN(ReferenceData!$AN$16),"",ReferenceData!$AN$16),"")</f>
        <v>22.503683949999999</v>
      </c>
      <c r="AO16">
        <f ca="1">IFERROR(IF(0=LEN(ReferenceData!$AO$16),"",ReferenceData!$AO$16),"")</f>
        <v>19.760423003</v>
      </c>
      <c r="AP16">
        <f ca="1">IFERROR(IF(0=LEN(ReferenceData!$AP$16),"",ReferenceData!$AP$16),"")</f>
        <v>16.697874218999999</v>
      </c>
      <c r="AQ16">
        <f ca="1">IFERROR(IF(0=LEN(ReferenceData!$AQ$16),"",ReferenceData!$AQ$16),"")</f>
        <v>19.613542395</v>
      </c>
      <c r="AR16">
        <f ca="1">IFERROR(IF(0=LEN(ReferenceData!$AR$16),"",ReferenceData!$AR$16),"")</f>
        <v>20.227586491</v>
      </c>
      <c r="AS16">
        <f ca="1">IFERROR(IF(0=LEN(ReferenceData!$AS$16),"",ReferenceData!$AS$16),"")</f>
        <v>19.248966367000001</v>
      </c>
    </row>
    <row r="17" spans="1:45" x14ac:dyDescent="0.25">
      <c r="A17" t="str">
        <f>IFERROR(IF(0=LEN(ReferenceData!$A$17),"",ReferenceData!$A$17),"")</f>
        <v xml:space="preserve">        Volvo Truck</v>
      </c>
      <c r="B17" t="str">
        <f>IFERROR(IF(0=LEN(ReferenceData!$B$17),"",ReferenceData!$B$17),"")</f>
        <v/>
      </c>
      <c r="C17" t="str">
        <f>IFERROR(IF(0=LEN(ReferenceData!$C$17),"",ReferenceData!$C$17),"")</f>
        <v/>
      </c>
      <c r="D17" t="str">
        <f>IFERROR(IF(0=LEN(ReferenceData!$D$17),"",ReferenceData!$D$17),"")</f>
        <v/>
      </c>
      <c r="E17" t="str">
        <f>IFERROR(IF(0=LEN(ReferenceData!$E$17),"",ReferenceData!$E$17),"")</f>
        <v>Expression</v>
      </c>
      <c r="F17">
        <f ca="1">IFERROR(IF(0=LEN(ReferenceData!$F$17),"",ReferenceData!$F$17),"")</f>
        <v>7.7517705990000003</v>
      </c>
      <c r="G17">
        <f ca="1">IFERROR(IF(0=LEN(ReferenceData!$G$17),"",ReferenceData!$G$17),"")</f>
        <v>7.6933339260000002</v>
      </c>
      <c r="H17">
        <f ca="1">IFERROR(IF(0=LEN(ReferenceData!$H$17),"",ReferenceData!$H$17),"")</f>
        <v>8.5091647810000008</v>
      </c>
      <c r="I17">
        <f ca="1">IFERROR(IF(0=LEN(ReferenceData!$I$17),"",ReferenceData!$I$17),"")</f>
        <v>7.8159166029999998</v>
      </c>
      <c r="J17">
        <f ca="1">IFERROR(IF(0=LEN(ReferenceData!$J$17),"",ReferenceData!$J$17),"")</f>
        <v>8.7303735790000001</v>
      </c>
      <c r="K17">
        <f ca="1">IFERROR(IF(0=LEN(ReferenceData!$K$17),"",ReferenceData!$K$17),"")</f>
        <v>7.8924751720000001</v>
      </c>
      <c r="L17">
        <f ca="1">IFERROR(IF(0=LEN(ReferenceData!$L$17),"",ReferenceData!$L$17),"")</f>
        <v>8.0770944740000008</v>
      </c>
      <c r="M17">
        <f ca="1">IFERROR(IF(0=LEN(ReferenceData!$M$17),"",ReferenceData!$M$17),"")</f>
        <v>10.17377404</v>
      </c>
      <c r="N17">
        <f ca="1">IFERROR(IF(0=LEN(ReferenceData!$N$17),"",ReferenceData!$N$17),"")</f>
        <v>8.8181010319999995</v>
      </c>
      <c r="O17">
        <f ca="1">IFERROR(IF(0=LEN(ReferenceData!$O$17),"",ReferenceData!$O$17),"")</f>
        <v>9.0252960550000001</v>
      </c>
      <c r="P17">
        <f ca="1">IFERROR(IF(0=LEN(ReferenceData!$P$17),"",ReferenceData!$P$17),"")</f>
        <v>12.77272937</v>
      </c>
      <c r="Q17">
        <f ca="1">IFERROR(IF(0=LEN(ReferenceData!$Q$17),"",ReferenceData!$Q$17),"")</f>
        <v>9.1260512980000001</v>
      </c>
      <c r="R17">
        <f ca="1">IFERROR(IF(0=LEN(ReferenceData!$R$17),"",ReferenceData!$R$17),"")</f>
        <v>9.2471136650000005</v>
      </c>
      <c r="S17">
        <f ca="1">IFERROR(IF(0=LEN(ReferenceData!$S$17),"",ReferenceData!$S$17),"")</f>
        <v>9.3486280260000001</v>
      </c>
      <c r="T17">
        <f ca="1">IFERROR(IF(0=LEN(ReferenceData!$T$17),"",ReferenceData!$T$17),"")</f>
        <v>9.7901071480000006</v>
      </c>
      <c r="U17">
        <f ca="1">IFERROR(IF(0=LEN(ReferenceData!$U$17),"",ReferenceData!$U$17),"")</f>
        <v>9.8122624920000003</v>
      </c>
      <c r="V17">
        <f ca="1">IFERROR(IF(0=LEN(ReferenceData!$V$17),"",ReferenceData!$V$17),"")</f>
        <v>11.852867059999999</v>
      </c>
      <c r="W17">
        <f ca="1">IFERROR(IF(0=LEN(ReferenceData!$W$17),"",ReferenceData!$W$17),"")</f>
        <v>9.9322592459999992</v>
      </c>
      <c r="X17">
        <f ca="1">IFERROR(IF(0=LEN(ReferenceData!$X$17),"",ReferenceData!$X$17),"")</f>
        <v>10.29285099</v>
      </c>
      <c r="Y17">
        <f ca="1">IFERROR(IF(0=LEN(ReferenceData!$Y$17),"",ReferenceData!$Y$17),"")</f>
        <v>7.2382611580000003</v>
      </c>
      <c r="Z17">
        <f ca="1">IFERROR(IF(0=LEN(ReferenceData!$Z$17),"",ReferenceData!$Z$17),"")</f>
        <v>11.17602235</v>
      </c>
      <c r="AA17">
        <f ca="1">IFERROR(IF(0=LEN(ReferenceData!$AA$17),"",ReferenceData!$AA$17),"")</f>
        <v>6.8007218360000001</v>
      </c>
      <c r="AB17">
        <f ca="1">IFERROR(IF(0=LEN(ReferenceData!$AB$17),"",ReferenceData!$AB$17),"")</f>
        <v>15.830325609999999</v>
      </c>
      <c r="AC17">
        <f ca="1">IFERROR(IF(0=LEN(ReferenceData!$AC$17),"",ReferenceData!$AC$17),"")</f>
        <v>11.37317011</v>
      </c>
      <c r="AD17">
        <f ca="1">IFERROR(IF(0=LEN(ReferenceData!$AD$17),"",ReferenceData!$AD$17),"")</f>
        <v>11.489326289999999</v>
      </c>
      <c r="AE17">
        <f ca="1">IFERROR(IF(0=LEN(ReferenceData!$AE$17),"",ReferenceData!$AE$17),"")</f>
        <v>10.570365779999999</v>
      </c>
      <c r="AF17">
        <f ca="1">IFERROR(IF(0=LEN(ReferenceData!$AF$17),"",ReferenceData!$AF$17),"")</f>
        <v>10.88845877</v>
      </c>
      <c r="AG17">
        <f ca="1">IFERROR(IF(0=LEN(ReferenceData!$AG$17),"",ReferenceData!$AG$17),"")</f>
        <v>11.23851578</v>
      </c>
      <c r="AH17">
        <f ca="1">IFERROR(IF(0=LEN(ReferenceData!$AH$17),"",ReferenceData!$AH$17),"")</f>
        <v>12.79676319</v>
      </c>
      <c r="AI17">
        <f ca="1">IFERROR(IF(0=LEN(ReferenceData!$AI$17),"",ReferenceData!$AI$17),"")</f>
        <v>13.418876089999999</v>
      </c>
      <c r="AJ17">
        <f ca="1">IFERROR(IF(0=LEN(ReferenceData!$AJ$17),"",ReferenceData!$AJ$17),"")</f>
        <v>12.69061876</v>
      </c>
      <c r="AK17">
        <f ca="1">IFERROR(IF(0=LEN(ReferenceData!$AK$17),"",ReferenceData!$AK$17),"")</f>
        <v>13.342061409999999</v>
      </c>
      <c r="AL17">
        <f ca="1">IFERROR(IF(0=LEN(ReferenceData!$AL$17),"",ReferenceData!$AL$17),"")</f>
        <v>12.605546070000001</v>
      </c>
      <c r="AM17">
        <f ca="1">IFERROR(IF(0=LEN(ReferenceData!$AM$17),"",ReferenceData!$AM$17),"")</f>
        <v>9.9952785649999996</v>
      </c>
      <c r="AN17">
        <f ca="1">IFERROR(IF(0=LEN(ReferenceData!$AN$17),"",ReferenceData!$AN$17),"")</f>
        <v>11.89390218</v>
      </c>
      <c r="AO17">
        <f ca="1">IFERROR(IF(0=LEN(ReferenceData!$AO$17),"",ReferenceData!$AO$17),"")</f>
        <v>10.986851339999999</v>
      </c>
      <c r="AP17">
        <f ca="1">IFERROR(IF(0=LEN(ReferenceData!$AP$17),"",ReferenceData!$AP$17),"")</f>
        <v>10.632595370000001</v>
      </c>
      <c r="AQ17">
        <f ca="1">IFERROR(IF(0=LEN(ReferenceData!$AQ$17),"",ReferenceData!$AQ$17),"")</f>
        <v>11.900765549999999</v>
      </c>
      <c r="AR17">
        <f ca="1">IFERROR(IF(0=LEN(ReferenceData!$AR$17),"",ReferenceData!$AR$17),"")</f>
        <v>11.580136380000001</v>
      </c>
      <c r="AS17">
        <f ca="1">IFERROR(IF(0=LEN(ReferenceData!$AS$17),"",ReferenceData!$AS$17),"")</f>
        <v>10.178594260000001</v>
      </c>
    </row>
    <row r="18" spans="1:45" x14ac:dyDescent="0.25">
      <c r="A18" t="str">
        <f>IFERROR(IF(0=LEN(ReferenceData!$A$18),"",ReferenceData!$A$18),"")</f>
        <v xml:space="preserve">        Mack</v>
      </c>
      <c r="B18" t="str">
        <f>IFERROR(IF(0=LEN(ReferenceData!$B$18),"",ReferenceData!$B$18),"")</f>
        <v/>
      </c>
      <c r="C18" t="str">
        <f>IFERROR(IF(0=LEN(ReferenceData!$C$18),"",ReferenceData!$C$18),"")</f>
        <v/>
      </c>
      <c r="D18" t="str">
        <f>IFERROR(IF(0=LEN(ReferenceData!$D$18),"",ReferenceData!$D$18),"")</f>
        <v/>
      </c>
      <c r="E18" t="str">
        <f>IFERROR(IF(0=LEN(ReferenceData!$E$18),"",ReferenceData!$E$18),"")</f>
        <v>Expression</v>
      </c>
      <c r="F18">
        <f ca="1">IFERROR(IF(0=LEN(ReferenceData!$F$18),"",ReferenceData!$F$18),"")</f>
        <v>5.2167904649999999</v>
      </c>
      <c r="G18">
        <f ca="1">IFERROR(IF(0=LEN(ReferenceData!$G$18),"",ReferenceData!$G$18),"")</f>
        <v>6.7372259530000003</v>
      </c>
      <c r="H18">
        <f ca="1">IFERROR(IF(0=LEN(ReferenceData!$H$18),"",ReferenceData!$H$18),"")</f>
        <v>6.9763146960000002</v>
      </c>
      <c r="I18">
        <f ca="1">IFERROR(IF(0=LEN(ReferenceData!$I$18),"",ReferenceData!$I$18),"")</f>
        <v>6.4480040680000004</v>
      </c>
      <c r="J18">
        <f ca="1">IFERROR(IF(0=LEN(ReferenceData!$J$18),"",ReferenceData!$J$18),"")</f>
        <v>8.9018227759999995</v>
      </c>
      <c r="K18">
        <f ca="1">IFERROR(IF(0=LEN(ReferenceData!$K$18),"",ReferenceData!$K$18),"")</f>
        <v>6.6892666160000003</v>
      </c>
      <c r="L18">
        <f ca="1">IFERROR(IF(0=LEN(ReferenceData!$L$18),"",ReferenceData!$L$18),"")</f>
        <v>6.5842245989999997</v>
      </c>
      <c r="M18">
        <f ca="1">IFERROR(IF(0=LEN(ReferenceData!$M$18),"",ReferenceData!$M$18),"")</f>
        <v>9.8386015570000005</v>
      </c>
      <c r="N18">
        <f ca="1">IFERROR(IF(0=LEN(ReferenceData!$N$18),"",ReferenceData!$N$18),"")</f>
        <v>8.4558069590000002</v>
      </c>
      <c r="O18">
        <f ca="1">IFERROR(IF(0=LEN(ReferenceData!$O$18),"",ReferenceData!$O$18),"")</f>
        <v>8.0793217009999996</v>
      </c>
      <c r="P18">
        <f ca="1">IFERROR(IF(0=LEN(ReferenceData!$P$18),"",ReferenceData!$P$18),"")</f>
        <v>9.7467595370000009</v>
      </c>
      <c r="Q18">
        <f ca="1">IFERROR(IF(0=LEN(ReferenceData!$Q$18),"",ReferenceData!$Q$18),"")</f>
        <v>6.3730867680000003</v>
      </c>
      <c r="R18">
        <f ca="1">IFERROR(IF(0=LEN(ReferenceData!$R$18),"",ReferenceData!$R$18),"")</f>
        <v>6.8892622909999996</v>
      </c>
      <c r="S18">
        <f ca="1">IFERROR(IF(0=LEN(ReferenceData!$S$18),"",ReferenceData!$S$18),"")</f>
        <v>7.7416746679999999</v>
      </c>
      <c r="T18">
        <f ca="1">IFERROR(IF(0=LEN(ReferenceData!$T$18),"",ReferenceData!$T$18),"")</f>
        <v>6.8985762509999997</v>
      </c>
      <c r="U18">
        <f ca="1">IFERROR(IF(0=LEN(ReferenceData!$U$18),"",ReferenceData!$U$18),"")</f>
        <v>8.6892405420000003</v>
      </c>
      <c r="V18">
        <f ca="1">IFERROR(IF(0=LEN(ReferenceData!$V$18),"",ReferenceData!$V$18),"")</f>
        <v>9.8987576819999994</v>
      </c>
      <c r="W18">
        <f ca="1">IFERROR(IF(0=LEN(ReferenceData!$W$18),"",ReferenceData!$W$18),"")</f>
        <v>7.1631270599999999</v>
      </c>
      <c r="X18">
        <f ca="1">IFERROR(IF(0=LEN(ReferenceData!$X$18),"",ReferenceData!$X$18),"")</f>
        <v>6.541295818</v>
      </c>
      <c r="Y18">
        <f ca="1">IFERROR(IF(0=LEN(ReferenceData!$Y$18),"",ReferenceData!$Y$18),"")</f>
        <v>8.7564294010000001</v>
      </c>
      <c r="Z18">
        <f ca="1">IFERROR(IF(0=LEN(ReferenceData!$Z$18),"",ReferenceData!$Z$18),"")</f>
        <v>7.0866141730000001</v>
      </c>
      <c r="AA18">
        <f ca="1">IFERROR(IF(0=LEN(ReferenceData!$AA$18),"",ReferenceData!$AA$18),"")</f>
        <v>6.8161897400000004</v>
      </c>
      <c r="AB18">
        <f ca="1">IFERROR(IF(0=LEN(ReferenceData!$AB$18),"",ReferenceData!$AB$18),"")</f>
        <v>10.074902010000001</v>
      </c>
      <c r="AC18">
        <f ca="1">IFERROR(IF(0=LEN(ReferenceData!$AC$18),"",ReferenceData!$AC$18),"")</f>
        <v>7.4009074569999997</v>
      </c>
      <c r="AD18">
        <f ca="1">IFERROR(IF(0=LEN(ReferenceData!$AD$18),"",ReferenceData!$AD$18),"")</f>
        <v>5.8632599560000003</v>
      </c>
      <c r="AE18">
        <f ca="1">IFERROR(IF(0=LEN(ReferenceData!$AE$18),"",ReferenceData!$AE$18),"")</f>
        <v>7.8929014259999999</v>
      </c>
      <c r="AF18">
        <f ca="1">IFERROR(IF(0=LEN(ReferenceData!$AF$18),"",ReferenceData!$AF$18),"")</f>
        <v>7.5448783639999997</v>
      </c>
      <c r="AG18">
        <f ca="1">IFERROR(IF(0=LEN(ReferenceData!$AG$18),"",ReferenceData!$AG$18),"")</f>
        <v>6.968876861</v>
      </c>
      <c r="AH18">
        <f ca="1">IFERROR(IF(0=LEN(ReferenceData!$AH$18),"",ReferenceData!$AH$18),"")</f>
        <v>7.9281749479999997</v>
      </c>
      <c r="AI18">
        <f ca="1">IFERROR(IF(0=LEN(ReferenceData!$AI$18),"",ReferenceData!$AI$18),"")</f>
        <v>7.3278194330000002</v>
      </c>
      <c r="AJ18">
        <f ca="1">IFERROR(IF(0=LEN(ReferenceData!$AJ$18),"",ReferenceData!$AJ$18),"")</f>
        <v>7.760479042</v>
      </c>
      <c r="AK18">
        <f ca="1">IFERROR(IF(0=LEN(ReferenceData!$AK$18),"",ReferenceData!$AK$18),"")</f>
        <v>7.8473379349999997</v>
      </c>
      <c r="AL18">
        <f ca="1">IFERROR(IF(0=LEN(ReferenceData!$AL$18),"",ReferenceData!$AL$18),"")</f>
        <v>6.2058782819999996</v>
      </c>
      <c r="AM18">
        <f ca="1">IFERROR(IF(0=LEN(ReferenceData!$AM$18),"",ReferenceData!$AM$18),"")</f>
        <v>5.5901794149999997</v>
      </c>
      <c r="AN18">
        <f ca="1">IFERROR(IF(0=LEN(ReferenceData!$AN$18),"",ReferenceData!$AN$18),"")</f>
        <v>10.60978177</v>
      </c>
      <c r="AO18">
        <f ca="1">IFERROR(IF(0=LEN(ReferenceData!$AO$18),"",ReferenceData!$AO$18),"")</f>
        <v>8.7735716630000002</v>
      </c>
      <c r="AP18">
        <f ca="1">IFERROR(IF(0=LEN(ReferenceData!$AP$18),"",ReferenceData!$AP$18),"")</f>
        <v>6.0652788490000002</v>
      </c>
      <c r="AQ18">
        <f ca="1">IFERROR(IF(0=LEN(ReferenceData!$AQ$18),"",ReferenceData!$AQ$18),"")</f>
        <v>7.7127768449999996</v>
      </c>
      <c r="AR18">
        <f ca="1">IFERROR(IF(0=LEN(ReferenceData!$AR$18),"",ReferenceData!$AR$18),"")</f>
        <v>8.6474501109999995</v>
      </c>
      <c r="AS18">
        <f ca="1">IFERROR(IF(0=LEN(ReferenceData!$AS$18),"",ReferenceData!$AS$18),"")</f>
        <v>9.0703721070000007</v>
      </c>
    </row>
    <row r="19" spans="1:45" x14ac:dyDescent="0.25">
      <c r="A19" t="str">
        <f>IFERROR(IF(0=LEN(ReferenceData!$A$19),"",ReferenceData!$A$19),"")</f>
        <v xml:space="preserve">    Dina Camiones</v>
      </c>
      <c r="B19" t="str">
        <f>IFERROR(IF(0=LEN(ReferenceData!$B$19),"",ReferenceData!$B$19),"")</f>
        <v/>
      </c>
      <c r="C19" t="str">
        <f>IFERROR(IF(0=LEN(ReferenceData!$C$19),"",ReferenceData!$C$19),"")</f>
        <v/>
      </c>
      <c r="D19" t="str">
        <f>IFERROR(IF(0=LEN(ReferenceData!$D$19),"",ReferenceData!$D$19),"")</f>
        <v/>
      </c>
      <c r="E19" t="str">
        <f>IFERROR(IF(0=LEN(ReferenceData!$E$19),"",ReferenceData!$E$19),"")</f>
        <v>Expression</v>
      </c>
      <c r="F19" t="str">
        <f ca="1">IFERROR(IF(0=LEN(ReferenceData!$F$19),"",ReferenceData!$F$19),"")</f>
        <v/>
      </c>
      <c r="G19" t="str">
        <f ca="1">IFERROR(IF(0=LEN(ReferenceData!$G$19),"",ReferenceData!$G$19),"")</f>
        <v/>
      </c>
      <c r="H19" t="str">
        <f ca="1">IFERROR(IF(0=LEN(ReferenceData!$H$19),"",ReferenceData!$H$19),"")</f>
        <v/>
      </c>
      <c r="I19" t="str">
        <f ca="1">IFERROR(IF(0=LEN(ReferenceData!$I$19),"",ReferenceData!$I$19),"")</f>
        <v/>
      </c>
      <c r="J19" t="str">
        <f ca="1">IFERROR(IF(0=LEN(ReferenceData!$J$19),"",ReferenceData!$J$19),"")</f>
        <v/>
      </c>
      <c r="K19" t="str">
        <f ca="1">IFERROR(IF(0=LEN(ReferenceData!$K$19),"",ReferenceData!$K$19),"")</f>
        <v/>
      </c>
      <c r="L19" t="str">
        <f ca="1">IFERROR(IF(0=LEN(ReferenceData!$L$19),"",ReferenceData!$L$19),"")</f>
        <v/>
      </c>
      <c r="M19" t="str">
        <f ca="1">IFERROR(IF(0=LEN(ReferenceData!$M$19),"",ReferenceData!$M$19),"")</f>
        <v/>
      </c>
      <c r="N19" t="str">
        <f ca="1">IFERROR(IF(0=LEN(ReferenceData!$N$19),"",ReferenceData!$N$19),"")</f>
        <v/>
      </c>
      <c r="O19" t="str">
        <f ca="1">IFERROR(IF(0=LEN(ReferenceData!$O$19),"",ReferenceData!$O$19),"")</f>
        <v/>
      </c>
      <c r="P19">
        <f ca="1">IFERROR(IF(0=LEN(ReferenceData!$P$19),"",ReferenceData!$P$19),"")</f>
        <v>0.39669726500000002</v>
      </c>
      <c r="Q19">
        <f ca="1">IFERROR(IF(0=LEN(ReferenceData!$Q$19),"",ReferenceData!$Q$19),"")</f>
        <v>0.334325863</v>
      </c>
      <c r="R19">
        <f ca="1">IFERROR(IF(0=LEN(ReferenceData!$R$19),"",ReferenceData!$R$19),"")</f>
        <v>0.319800531</v>
      </c>
      <c r="S19">
        <f ca="1">IFERROR(IF(0=LEN(ReferenceData!$S$19),"",ReferenceData!$S$19),"")</f>
        <v>0.28298549699999997</v>
      </c>
      <c r="T19">
        <f ca="1">IFERROR(IF(0=LEN(ReferenceData!$T$19),"",ReferenceData!$T$19),"")</f>
        <v>0.22505993399999999</v>
      </c>
      <c r="U19">
        <f ca="1">IFERROR(IF(0=LEN(ReferenceData!$U$19),"",ReferenceData!$U$19),"")</f>
        <v>0.22120129299999999</v>
      </c>
      <c r="V19">
        <f ca="1">IFERROR(IF(0=LEN(ReferenceData!$V$19),"",ReferenceData!$V$19),"")</f>
        <v>0.19452672500000001</v>
      </c>
      <c r="W19">
        <f ca="1">IFERROR(IF(0=LEN(ReferenceData!$W$19),"",ReferenceData!$W$19),"")</f>
        <v>0.238008056</v>
      </c>
      <c r="X19">
        <f ca="1">IFERROR(IF(0=LEN(ReferenceData!$X$19),"",ReferenceData!$X$19),"")</f>
        <v>0.23925734500000001</v>
      </c>
      <c r="Y19">
        <f ca="1">IFERROR(IF(0=LEN(ReferenceData!$Y$19),"",ReferenceData!$Y$19),"")</f>
        <v>0.18666003</v>
      </c>
      <c r="Z19">
        <f ca="1">IFERROR(IF(0=LEN(ReferenceData!$Z$19),"",ReferenceData!$Z$19),"")</f>
        <v>0.172720345</v>
      </c>
      <c r="AA19">
        <f ca="1">IFERROR(IF(0=LEN(ReferenceData!$AA$19),"",ReferenceData!$AA$19),"")</f>
        <v>0.25264243400000003</v>
      </c>
      <c r="AB19">
        <f ca="1">IFERROR(IF(0=LEN(ReferenceData!$AB$19),"",ReferenceData!$AB$19),"")</f>
        <v>0.26002250900000001</v>
      </c>
      <c r="AC19">
        <f ca="1">IFERROR(IF(0=LEN(ReferenceData!$AC$19),"",ReferenceData!$AC$19),"")</f>
        <v>0.23114459400000001</v>
      </c>
      <c r="AD19">
        <f ca="1">IFERROR(IF(0=LEN(ReferenceData!$AD$19),"",ReferenceData!$AD$19),"")</f>
        <v>0.208064583</v>
      </c>
      <c r="AE19">
        <f ca="1">IFERROR(IF(0=LEN(ReferenceData!$AE$19),"",ReferenceData!$AE$19),"")</f>
        <v>0.18211407299999999</v>
      </c>
      <c r="AF19">
        <f ca="1">IFERROR(IF(0=LEN(ReferenceData!$AF$19),"",ReferenceData!$AF$19),"")</f>
        <v>0.17837489100000001</v>
      </c>
      <c r="AG19">
        <f ca="1">IFERROR(IF(0=LEN(ReferenceData!$AG$19),"",ReferenceData!$AG$19),"")</f>
        <v>0.16736699699999999</v>
      </c>
      <c r="AH19">
        <f ca="1">IFERROR(IF(0=LEN(ReferenceData!$AH$19),"",ReferenceData!$AH$19),"")</f>
        <v>0.15047147699999999</v>
      </c>
      <c r="AI19">
        <f ca="1">IFERROR(IF(0=LEN(ReferenceData!$AI$19),"",ReferenceData!$AI$19),"")</f>
        <v>0.16232511399999999</v>
      </c>
      <c r="AJ19">
        <f ca="1">IFERROR(IF(0=LEN(ReferenceData!$AJ$19),"",ReferenceData!$AJ$19),"")</f>
        <v>0.15968063900000001</v>
      </c>
      <c r="AK19">
        <f ca="1">IFERROR(IF(0=LEN(ReferenceData!$AK$19),"",ReferenceData!$AK$19),"")</f>
        <v>0.20630008699999999</v>
      </c>
      <c r="AL19">
        <f ca="1">IFERROR(IF(0=LEN(ReferenceData!$AL$19),"",ReferenceData!$AL$19),"")</f>
        <v>0.226087759</v>
      </c>
      <c r="AM19">
        <f ca="1">IFERROR(IF(0=LEN(ReferenceData!$AM$19),"",ReferenceData!$AM$19),"")</f>
        <v>0.24551463600000001</v>
      </c>
      <c r="AN19">
        <f ca="1">IFERROR(IF(0=LEN(ReferenceData!$AN$19),"",ReferenceData!$AN$19),"")</f>
        <v>0.31225878899999998</v>
      </c>
      <c r="AO19">
        <f ca="1">IFERROR(IF(0=LEN(ReferenceData!$AO$19),"",ReferenceData!$AO$19),"")</f>
        <v>0.360301343</v>
      </c>
      <c r="AP19">
        <f ca="1">IFERROR(IF(0=LEN(ReferenceData!$AP$19),"",ReferenceData!$AP$19),"")</f>
        <v>0.275360722</v>
      </c>
      <c r="AQ19">
        <f ca="1">IFERROR(IF(0=LEN(ReferenceData!$AQ$19),"",ReferenceData!$AQ$19),"")</f>
        <v>0.450321366</v>
      </c>
      <c r="AR19">
        <f ca="1">IFERROR(IF(0=LEN(ReferenceData!$AR$19),"",ReferenceData!$AR$19),"")</f>
        <v>0.100405807</v>
      </c>
      <c r="AS19">
        <f ca="1">IFERROR(IF(0=LEN(ReferenceData!$AS$19),"",ReferenceData!$AS$19),"")</f>
        <v>1.2787178999999999E-2</v>
      </c>
    </row>
    <row r="20" spans="1:45" x14ac:dyDescent="0.25">
      <c r="A20" t="str">
        <f>IFERROR(IF(0=LEN(ReferenceData!$A$20),"",ReferenceData!$A$20),"")</f>
        <v xml:space="preserve">    MAN</v>
      </c>
      <c r="B20" t="str">
        <f>IFERROR(IF(0=LEN(ReferenceData!$B$20),"",ReferenceData!$B$20),"")</f>
        <v>VOW GR Equity</v>
      </c>
      <c r="C20" t="str">
        <f>IFERROR(IF(0=LEN(ReferenceData!$C$20),"",ReferenceData!$C$20),"")</f>
        <v/>
      </c>
      <c r="D20" t="str">
        <f>IFERROR(IF(0=LEN(ReferenceData!$D$20),"",ReferenceData!$D$20),"")</f>
        <v/>
      </c>
      <c r="E20" t="str">
        <f>IFERROR(IF(0=LEN(ReferenceData!$E$20),"",ReferenceData!$E$20),"")</f>
        <v>Sum</v>
      </c>
      <c r="F20" t="str">
        <f ca="1">IFERROR(IF(0=LEN(ReferenceData!$F$20),"",ReferenceData!$F$20),"")</f>
        <v/>
      </c>
      <c r="G20" t="str">
        <f ca="1">IFERROR(IF(0=LEN(ReferenceData!$G$20),"",ReferenceData!$G$20),"")</f>
        <v/>
      </c>
      <c r="H20" t="str">
        <f ca="1">IFERROR(IF(0=LEN(ReferenceData!$H$20),"",ReferenceData!$H$20),"")</f>
        <v/>
      </c>
      <c r="I20" t="str">
        <f ca="1">IFERROR(IF(0=LEN(ReferenceData!$I$20),"",ReferenceData!$I$20),"")</f>
        <v/>
      </c>
      <c r="J20" t="str">
        <f ca="1">IFERROR(IF(0=LEN(ReferenceData!$J$20),"",ReferenceData!$J$20),"")</f>
        <v/>
      </c>
      <c r="K20" t="str">
        <f ca="1">IFERROR(IF(0=LEN(ReferenceData!$K$20),"",ReferenceData!$K$20),"")</f>
        <v/>
      </c>
      <c r="L20" t="str">
        <f ca="1">IFERROR(IF(0=LEN(ReferenceData!$L$20),"",ReferenceData!$L$20),"")</f>
        <v/>
      </c>
      <c r="M20" t="str">
        <f ca="1">IFERROR(IF(0=LEN(ReferenceData!$M$20),"",ReferenceData!$M$20),"")</f>
        <v/>
      </c>
      <c r="N20" t="str">
        <f ca="1">IFERROR(IF(0=LEN(ReferenceData!$N$20),"",ReferenceData!$N$20),"")</f>
        <v/>
      </c>
      <c r="O20" t="str">
        <f ca="1">IFERROR(IF(0=LEN(ReferenceData!$O$20),"",ReferenceData!$O$20),"")</f>
        <v/>
      </c>
      <c r="P20">
        <f ca="1">IFERROR(IF(0=LEN(ReferenceData!$P$20),"",ReferenceData!$P$20),"")</f>
        <v>0.31366760500000002</v>
      </c>
      <c r="Q20">
        <f ca="1">IFERROR(IF(0=LEN(ReferenceData!$Q$20),"",ReferenceData!$Q$20),"")</f>
        <v>0.26641592200000003</v>
      </c>
      <c r="R20">
        <f ca="1">IFERROR(IF(0=LEN(ReferenceData!$R$20),"",ReferenceData!$R$20),"")</f>
        <v>0.25475635499999999</v>
      </c>
      <c r="S20">
        <f ca="1">IFERROR(IF(0=LEN(ReferenceData!$S$20),"",ReferenceData!$S$20),"")</f>
        <v>0.22739905999999999</v>
      </c>
      <c r="T20">
        <f ca="1">IFERROR(IF(0=LEN(ReferenceData!$T$20),"",ReferenceData!$T$20),"")</f>
        <v>0.176133862</v>
      </c>
      <c r="U20">
        <f ca="1">IFERROR(IF(0=LEN(ReferenceData!$U$20),"",ReferenceData!$U$20),"")</f>
        <v>0.17582666899999999</v>
      </c>
      <c r="V20">
        <f ca="1">IFERROR(IF(0=LEN(ReferenceData!$V$20),"",ReferenceData!$V$20),"")</f>
        <v>0.15473716800000001</v>
      </c>
      <c r="W20">
        <f ca="1">IFERROR(IF(0=LEN(ReferenceData!$W$20),"",ReferenceData!$W$20),"")</f>
        <v>0.187660198</v>
      </c>
      <c r="X20">
        <f ca="1">IFERROR(IF(0=LEN(ReferenceData!$X$20),"",ReferenceData!$X$20),"")</f>
        <v>0.191405876</v>
      </c>
      <c r="Y20">
        <f ca="1">IFERROR(IF(0=LEN(ReferenceData!$Y$20),"",ReferenceData!$Y$20),"")</f>
        <v>0.14518002299999999</v>
      </c>
      <c r="Z20">
        <f ca="1">IFERROR(IF(0=LEN(ReferenceData!$Z$20),"",ReferenceData!$Z$20),"")</f>
        <v>0.137160274</v>
      </c>
      <c r="AA20">
        <f ca="1">IFERROR(IF(0=LEN(ReferenceData!$AA$20),"",ReferenceData!$AA$20),"")</f>
        <v>0.201082753</v>
      </c>
      <c r="AB20">
        <f ca="1">IFERROR(IF(0=LEN(ReferenceData!$AB$20),"",ReferenceData!$AB$20),"")</f>
        <v>0.14359452</v>
      </c>
      <c r="AC20">
        <f ca="1">IFERROR(IF(0=LEN(ReferenceData!$AC$20),"",ReferenceData!$AC$20),"")</f>
        <v>0.12841366300000001</v>
      </c>
      <c r="AD20">
        <f ca="1">IFERROR(IF(0=LEN(ReferenceData!$AD$20),"",ReferenceData!$AD$20),"")</f>
        <v>0.116516167</v>
      </c>
      <c r="AE20">
        <f ca="1">IFERROR(IF(0=LEN(ReferenceData!$AE$20),"",ReferenceData!$AE$20),"")</f>
        <v>0.100743955</v>
      </c>
      <c r="AF20">
        <f ca="1">IFERROR(IF(0=LEN(ReferenceData!$AF$20),"",ReferenceData!$AF$20),"")</f>
        <v>9.8675472E-2</v>
      </c>
      <c r="AG20">
        <f ca="1">IFERROR(IF(0=LEN(ReferenceData!$AG$20),"",ReferenceData!$AG$20),"")</f>
        <v>9.2585998000000003E-2</v>
      </c>
      <c r="AH20">
        <f ca="1">IFERROR(IF(0=LEN(ReferenceData!$AH$20),"",ReferenceData!$AH$20),"")</f>
        <v>8.3595265000000002E-2</v>
      </c>
      <c r="AI20">
        <f ca="1">IFERROR(IF(0=LEN(ReferenceData!$AI$20),"",ReferenceData!$AI$20),"")</f>
        <v>8.8892323999999995E-2</v>
      </c>
      <c r="AJ20">
        <f ca="1">IFERROR(IF(0=LEN(ReferenceData!$AJ$20),"",ReferenceData!$AJ$20),"")</f>
        <v>8.7824350999999995E-2</v>
      </c>
      <c r="AK20">
        <f ca="1">IFERROR(IF(0=LEN(ReferenceData!$AK$20),"",ReferenceData!$AK$20),"")</f>
        <v>0.115051972</v>
      </c>
      <c r="AL20">
        <f ca="1">IFERROR(IF(0=LEN(ReferenceData!$AL$20),"",ReferenceData!$AL$20),"")</f>
        <v>0.124578969</v>
      </c>
      <c r="AM20">
        <f ca="1">IFERROR(IF(0=LEN(ReferenceData!$AM$20),"",ReferenceData!$AM$20),"")</f>
        <v>0.13692162399999999</v>
      </c>
      <c r="AN20">
        <f ca="1">IFERROR(IF(0=LEN(ReferenceData!$AN$20),"",ReferenceData!$AN$20),"")</f>
        <v>0.11227282299999999</v>
      </c>
      <c r="AO20">
        <f ca="1">IFERROR(IF(0=LEN(ReferenceData!$AO$20),"",ReferenceData!$AO$20),"")</f>
        <v>0.13569790800000001</v>
      </c>
      <c r="AP20">
        <f ca="1">IFERROR(IF(0=LEN(ReferenceData!$AP$20),"",ReferenceData!$AP$20),"")</f>
        <v>0.106472813</v>
      </c>
      <c r="AQ20">
        <f ca="1">IFERROR(IF(0=LEN(ReferenceData!$AQ$20),"",ReferenceData!$AQ$20),"")</f>
        <v>0.106439596</v>
      </c>
      <c r="AR20">
        <f ca="1">IFERROR(IF(0=LEN(ReferenceData!$AR$20),"",ReferenceData!$AR$20),"")</f>
        <v>4.1835753000000003E-2</v>
      </c>
      <c r="AS20">
        <f ca="1">IFERROR(IF(0=LEN(ReferenceData!$AS$20),"",ReferenceData!$AS$20),"")</f>
        <v>0.144921359</v>
      </c>
    </row>
    <row r="21" spans="1:45" x14ac:dyDescent="0.25">
      <c r="A21" t="str">
        <f>IFERROR(IF(0=LEN(ReferenceData!$A$21),"",ReferenceData!$A$21),"")</f>
        <v xml:space="preserve">        MAN</v>
      </c>
      <c r="B21" t="str">
        <f>IFERROR(IF(0=LEN(ReferenceData!$B$21),"",ReferenceData!$B$21),"")</f>
        <v>VOW GR Equity</v>
      </c>
      <c r="C21" t="str">
        <f>IFERROR(IF(0=LEN(ReferenceData!$C$21),"",ReferenceData!$C$21),"")</f>
        <v/>
      </c>
      <c r="D21" t="str">
        <f>IFERROR(IF(0=LEN(ReferenceData!$D$21),"",ReferenceData!$D$21),"")</f>
        <v/>
      </c>
      <c r="E21" t="str">
        <f>IFERROR(IF(0=LEN(ReferenceData!$E$21),"",ReferenceData!$E$21),"")</f>
        <v>Expression</v>
      </c>
      <c r="F21" t="str">
        <f ca="1">IFERROR(IF(0=LEN(ReferenceData!$F$21),"",ReferenceData!$F$21),"")</f>
        <v/>
      </c>
      <c r="G21" t="str">
        <f ca="1">IFERROR(IF(0=LEN(ReferenceData!$G$21),"",ReferenceData!$G$21),"")</f>
        <v/>
      </c>
      <c r="H21" t="str">
        <f ca="1">IFERROR(IF(0=LEN(ReferenceData!$H$21),"",ReferenceData!$H$21),"")</f>
        <v/>
      </c>
      <c r="I21" t="str">
        <f ca="1">IFERROR(IF(0=LEN(ReferenceData!$I$21),"",ReferenceData!$I$21),"")</f>
        <v/>
      </c>
      <c r="J21" t="str">
        <f ca="1">IFERROR(IF(0=LEN(ReferenceData!$J$21),"",ReferenceData!$J$21),"")</f>
        <v/>
      </c>
      <c r="K21" t="str">
        <f ca="1">IFERROR(IF(0=LEN(ReferenceData!$K$21),"",ReferenceData!$K$21),"")</f>
        <v/>
      </c>
      <c r="L21" t="str">
        <f ca="1">IFERROR(IF(0=LEN(ReferenceData!$L$21),"",ReferenceData!$L$21),"")</f>
        <v/>
      </c>
      <c r="M21" t="str">
        <f ca="1">IFERROR(IF(0=LEN(ReferenceData!$M$21),"",ReferenceData!$M$21),"")</f>
        <v/>
      </c>
      <c r="N21" t="str">
        <f ca="1">IFERROR(IF(0=LEN(ReferenceData!$N$21),"",ReferenceData!$N$21),"")</f>
        <v/>
      </c>
      <c r="O21" t="str">
        <f ca="1">IFERROR(IF(0=LEN(ReferenceData!$O$21),"",ReferenceData!$O$21),"")</f>
        <v/>
      </c>
      <c r="P21">
        <f ca="1">IFERROR(IF(0=LEN(ReferenceData!$P$21),"",ReferenceData!$P$21),"")</f>
        <v>0.31366760500000002</v>
      </c>
      <c r="Q21">
        <f ca="1">IFERROR(IF(0=LEN(ReferenceData!$Q$21),"",ReferenceData!$Q$21),"")</f>
        <v>0.26641592200000003</v>
      </c>
      <c r="R21">
        <f ca="1">IFERROR(IF(0=LEN(ReferenceData!$R$21),"",ReferenceData!$R$21),"")</f>
        <v>0.25475635499999999</v>
      </c>
      <c r="S21">
        <f ca="1">IFERROR(IF(0=LEN(ReferenceData!$S$21),"",ReferenceData!$S$21),"")</f>
        <v>0.22739905999999999</v>
      </c>
      <c r="T21">
        <f ca="1">IFERROR(IF(0=LEN(ReferenceData!$T$21),"",ReferenceData!$T$21),"")</f>
        <v>0.176133862</v>
      </c>
      <c r="U21">
        <f ca="1">IFERROR(IF(0=LEN(ReferenceData!$U$21),"",ReferenceData!$U$21),"")</f>
        <v>0.17582666899999999</v>
      </c>
      <c r="V21">
        <f ca="1">IFERROR(IF(0=LEN(ReferenceData!$V$21),"",ReferenceData!$V$21),"")</f>
        <v>0.15473716800000001</v>
      </c>
      <c r="W21">
        <f ca="1">IFERROR(IF(0=LEN(ReferenceData!$W$21),"",ReferenceData!$W$21),"")</f>
        <v>0.187660198</v>
      </c>
      <c r="X21">
        <f ca="1">IFERROR(IF(0=LEN(ReferenceData!$X$21),"",ReferenceData!$X$21),"")</f>
        <v>0.191405876</v>
      </c>
      <c r="Y21">
        <f ca="1">IFERROR(IF(0=LEN(ReferenceData!$Y$21),"",ReferenceData!$Y$21),"")</f>
        <v>0.14518002299999999</v>
      </c>
      <c r="Z21">
        <f ca="1">IFERROR(IF(0=LEN(ReferenceData!$Z$21),"",ReferenceData!$Z$21),"")</f>
        <v>0.137160274</v>
      </c>
      <c r="AA21">
        <f ca="1">IFERROR(IF(0=LEN(ReferenceData!$AA$21),"",ReferenceData!$AA$21),"")</f>
        <v>0.201082753</v>
      </c>
      <c r="AB21">
        <f ca="1">IFERROR(IF(0=LEN(ReferenceData!$AB$21),"",ReferenceData!$AB$21),"")</f>
        <v>0.14359452</v>
      </c>
      <c r="AC21">
        <f ca="1">IFERROR(IF(0=LEN(ReferenceData!$AC$21),"",ReferenceData!$AC$21),"")</f>
        <v>0.12841366300000001</v>
      </c>
      <c r="AD21">
        <f ca="1">IFERROR(IF(0=LEN(ReferenceData!$AD$21),"",ReferenceData!$AD$21),"")</f>
        <v>0.116516167</v>
      </c>
      <c r="AE21">
        <f ca="1">IFERROR(IF(0=LEN(ReferenceData!$AE$21),"",ReferenceData!$AE$21),"")</f>
        <v>0.100743955</v>
      </c>
      <c r="AF21">
        <f ca="1">IFERROR(IF(0=LEN(ReferenceData!$AF$21),"",ReferenceData!$AF$21),"")</f>
        <v>9.8675472E-2</v>
      </c>
      <c r="AG21">
        <f ca="1">IFERROR(IF(0=LEN(ReferenceData!$AG$21),"",ReferenceData!$AG$21),"")</f>
        <v>9.2585998000000003E-2</v>
      </c>
      <c r="AH21">
        <f ca="1">IFERROR(IF(0=LEN(ReferenceData!$AH$21),"",ReferenceData!$AH$21),"")</f>
        <v>8.3595265000000002E-2</v>
      </c>
      <c r="AI21">
        <f ca="1">IFERROR(IF(0=LEN(ReferenceData!$AI$21),"",ReferenceData!$AI$21),"")</f>
        <v>8.8892323999999995E-2</v>
      </c>
      <c r="AJ21">
        <f ca="1">IFERROR(IF(0=LEN(ReferenceData!$AJ$21),"",ReferenceData!$AJ$21),"")</f>
        <v>8.7824350999999995E-2</v>
      </c>
      <c r="AK21">
        <f ca="1">IFERROR(IF(0=LEN(ReferenceData!$AK$21),"",ReferenceData!$AK$21),"")</f>
        <v>0.115051972</v>
      </c>
      <c r="AL21">
        <f ca="1">IFERROR(IF(0=LEN(ReferenceData!$AL$21),"",ReferenceData!$AL$21),"")</f>
        <v>0.124578969</v>
      </c>
      <c r="AM21">
        <f ca="1">IFERROR(IF(0=LEN(ReferenceData!$AM$21),"",ReferenceData!$AM$21),"")</f>
        <v>0.13692162399999999</v>
      </c>
      <c r="AN21">
        <f ca="1">IFERROR(IF(0=LEN(ReferenceData!$AN$21),"",ReferenceData!$AN$21),"")</f>
        <v>0.11227282299999999</v>
      </c>
      <c r="AO21">
        <f ca="1">IFERROR(IF(0=LEN(ReferenceData!$AO$21),"",ReferenceData!$AO$21),"")</f>
        <v>0.13569790800000001</v>
      </c>
      <c r="AP21">
        <f ca="1">IFERROR(IF(0=LEN(ReferenceData!$AP$21),"",ReferenceData!$AP$21),"")</f>
        <v>0.106472813</v>
      </c>
      <c r="AQ21">
        <f ca="1">IFERROR(IF(0=LEN(ReferenceData!$AQ$21),"",ReferenceData!$AQ$21),"")</f>
        <v>0.106439596</v>
      </c>
      <c r="AR21">
        <f ca="1">IFERROR(IF(0=LEN(ReferenceData!$AR$21),"",ReferenceData!$AR$21),"")</f>
        <v>4.1835753000000003E-2</v>
      </c>
      <c r="AS21">
        <f ca="1">IFERROR(IF(0=LEN(ReferenceData!$AS$21),"",ReferenceData!$AS$21),"")</f>
        <v>0.144921359</v>
      </c>
    </row>
    <row r="22" spans="1:45" x14ac:dyDescent="0.25">
      <c r="A22" t="str">
        <f>IFERROR(IF(0=LEN(ReferenceData!$A$22),"",ReferenceData!$A$22),"")</f>
        <v xml:space="preserve">        Volkswagen</v>
      </c>
      <c r="B22" t="str">
        <f>IFERROR(IF(0=LEN(ReferenceData!$B$22),"",ReferenceData!$B$22),"")</f>
        <v>VOW GR Equity</v>
      </c>
      <c r="C22" t="str">
        <f>IFERROR(IF(0=LEN(ReferenceData!$C$22),"",ReferenceData!$C$22),"")</f>
        <v/>
      </c>
      <c r="D22" t="str">
        <f>IFERROR(IF(0=LEN(ReferenceData!$D$22),"",ReferenceData!$D$22),"")</f>
        <v/>
      </c>
      <c r="E22" t="str">
        <f>IFERROR(IF(0=LEN(ReferenceData!$E$22),"",ReferenceData!$E$22),"")</f>
        <v>Expression</v>
      </c>
      <c r="F22" t="str">
        <f ca="1">IFERROR(IF(0=LEN(ReferenceData!$F$22),"",ReferenceData!$F$22),"")</f>
        <v/>
      </c>
      <c r="G22" t="str">
        <f ca="1">IFERROR(IF(0=LEN(ReferenceData!$G$22),"",ReferenceData!$G$22),"")</f>
        <v/>
      </c>
      <c r="H22" t="str">
        <f ca="1">IFERROR(IF(0=LEN(ReferenceData!$H$22),"",ReferenceData!$H$22),"")</f>
        <v/>
      </c>
      <c r="I22" t="str">
        <f ca="1">IFERROR(IF(0=LEN(ReferenceData!$I$22),"",ReferenceData!$I$22),"")</f>
        <v/>
      </c>
      <c r="J22" t="str">
        <f ca="1">IFERROR(IF(0=LEN(ReferenceData!$J$22),"",ReferenceData!$J$22),"")</f>
        <v/>
      </c>
      <c r="K22" t="str">
        <f ca="1">IFERROR(IF(0=LEN(ReferenceData!$K$22),"",ReferenceData!$K$22),"")</f>
        <v/>
      </c>
      <c r="L22" t="str">
        <f ca="1">IFERROR(IF(0=LEN(ReferenceData!$L$22),"",ReferenceData!$L$22),"")</f>
        <v/>
      </c>
      <c r="M22" t="str">
        <f ca="1">IFERROR(IF(0=LEN(ReferenceData!$M$22),"",ReferenceData!$M$22),"")</f>
        <v/>
      </c>
      <c r="N22" t="str">
        <f ca="1">IFERROR(IF(0=LEN(ReferenceData!$N$22),"",ReferenceData!$N$22),"")</f>
        <v/>
      </c>
      <c r="O22" t="str">
        <f ca="1">IFERROR(IF(0=LEN(ReferenceData!$O$22),"",ReferenceData!$O$22),"")</f>
        <v/>
      </c>
      <c r="P22" t="str">
        <f ca="1">IFERROR(IF(0=LEN(ReferenceData!$P$22),"",ReferenceData!$P$22),"")</f>
        <v/>
      </c>
      <c r="Q22" t="str">
        <f ca="1">IFERROR(IF(0=LEN(ReferenceData!$Q$22),"",ReferenceData!$Q$22),"")</f>
        <v/>
      </c>
      <c r="R22" t="str">
        <f ca="1">IFERROR(IF(0=LEN(ReferenceData!$R$22),"",ReferenceData!$R$22),"")</f>
        <v/>
      </c>
      <c r="S22" t="str">
        <f ca="1">IFERROR(IF(0=LEN(ReferenceData!$S$22),"",ReferenceData!$S$22),"")</f>
        <v/>
      </c>
      <c r="T22" t="str">
        <f ca="1">IFERROR(IF(0=LEN(ReferenceData!$T$22),"",ReferenceData!$T$22),"")</f>
        <v/>
      </c>
      <c r="U22" t="str">
        <f ca="1">IFERROR(IF(0=LEN(ReferenceData!$U$22),"",ReferenceData!$U$22),"")</f>
        <v/>
      </c>
      <c r="V22" t="str">
        <f ca="1">IFERROR(IF(0=LEN(ReferenceData!$V$22),"",ReferenceData!$V$22),"")</f>
        <v/>
      </c>
      <c r="W22" t="str">
        <f ca="1">IFERROR(IF(0=LEN(ReferenceData!$W$22),"",ReferenceData!$W$22),"")</f>
        <v/>
      </c>
      <c r="X22" t="str">
        <f ca="1">IFERROR(IF(0=LEN(ReferenceData!$X$22),"",ReferenceData!$X$22),"")</f>
        <v/>
      </c>
      <c r="Y22" t="str">
        <f ca="1">IFERROR(IF(0=LEN(ReferenceData!$Y$22),"",ReferenceData!$Y$22),"")</f>
        <v/>
      </c>
      <c r="Z22" t="str">
        <f ca="1">IFERROR(IF(0=LEN(ReferenceData!$Z$22),"",ReferenceData!$Z$22),"")</f>
        <v/>
      </c>
      <c r="AA22" t="str">
        <f ca="1">IFERROR(IF(0=LEN(ReferenceData!$AA$22),"",ReferenceData!$AA$22),"")</f>
        <v/>
      </c>
      <c r="AB22" t="str">
        <f ca="1">IFERROR(IF(0=LEN(ReferenceData!$AB$22),"",ReferenceData!$AB$22),"")</f>
        <v/>
      </c>
      <c r="AC22" t="str">
        <f ca="1">IFERROR(IF(0=LEN(ReferenceData!$AC$22),"",ReferenceData!$AC$22),"")</f>
        <v/>
      </c>
      <c r="AD22" t="str">
        <f ca="1">IFERROR(IF(0=LEN(ReferenceData!$AD$22),"",ReferenceData!$AD$22),"")</f>
        <v/>
      </c>
      <c r="AE22" t="str">
        <f ca="1">IFERROR(IF(0=LEN(ReferenceData!$AE$22),"",ReferenceData!$AE$22),"")</f>
        <v/>
      </c>
      <c r="AF22" t="str">
        <f ca="1">IFERROR(IF(0=LEN(ReferenceData!$AF$22),"",ReferenceData!$AF$22),"")</f>
        <v/>
      </c>
      <c r="AG22" t="str">
        <f ca="1">IFERROR(IF(0=LEN(ReferenceData!$AG$22),"",ReferenceData!$AG$22),"")</f>
        <v/>
      </c>
      <c r="AH22" t="str">
        <f ca="1">IFERROR(IF(0=LEN(ReferenceData!$AH$22),"",ReferenceData!$AH$22),"")</f>
        <v/>
      </c>
      <c r="AI22" t="str">
        <f ca="1">IFERROR(IF(0=LEN(ReferenceData!$AI$22),"",ReferenceData!$AI$22),"")</f>
        <v/>
      </c>
      <c r="AJ22" t="str">
        <f ca="1">IFERROR(IF(0=LEN(ReferenceData!$AJ$22),"",ReferenceData!$AJ$22),"")</f>
        <v/>
      </c>
      <c r="AK22" t="str">
        <f ca="1">IFERROR(IF(0=LEN(ReferenceData!$AK$22),"",ReferenceData!$AK$22),"")</f>
        <v/>
      </c>
      <c r="AL22" t="str">
        <f ca="1">IFERROR(IF(0=LEN(ReferenceData!$AL$22),"",ReferenceData!$AL$22),"")</f>
        <v/>
      </c>
      <c r="AM22" t="str">
        <f ca="1">IFERROR(IF(0=LEN(ReferenceData!$AM$22),"",ReferenceData!$AM$22),"")</f>
        <v/>
      </c>
      <c r="AN22" t="str">
        <f ca="1">IFERROR(IF(0=LEN(ReferenceData!$AN$22),"",ReferenceData!$AN$22),"")</f>
        <v/>
      </c>
      <c r="AO22" t="str">
        <f ca="1">IFERROR(IF(0=LEN(ReferenceData!$AO$22),"",ReferenceData!$AO$22),"")</f>
        <v/>
      </c>
      <c r="AP22" t="str">
        <f ca="1">IFERROR(IF(0=LEN(ReferenceData!$AP$22),"",ReferenceData!$AP$22),"")</f>
        <v/>
      </c>
      <c r="AQ22" t="str">
        <f ca="1">IFERROR(IF(0=LEN(ReferenceData!$AQ$22),"",ReferenceData!$AQ$22),"")</f>
        <v/>
      </c>
      <c r="AR22" t="str">
        <f ca="1">IFERROR(IF(0=LEN(ReferenceData!$AR$22),"",ReferenceData!$AR$22),"")</f>
        <v/>
      </c>
      <c r="AS22" t="str">
        <f ca="1">IFERROR(IF(0=LEN(ReferenceData!$AS$22),"",ReferenceData!$AS$22),"")</f>
        <v/>
      </c>
    </row>
    <row r="23" spans="1:45" x14ac:dyDescent="0.25">
      <c r="A23" t="str">
        <f>IFERROR(IF(0=LEN(ReferenceData!$A$23),"",ReferenceData!$A$23),"")</f>
        <v xml:space="preserve">    Scania</v>
      </c>
      <c r="B23" t="str">
        <f>IFERROR(IF(0=LEN(ReferenceData!$B$23),"",ReferenceData!$B$23),"")</f>
        <v/>
      </c>
      <c r="C23" t="str">
        <f>IFERROR(IF(0=LEN(ReferenceData!$C$23),"",ReferenceData!$C$23),"")</f>
        <v/>
      </c>
      <c r="D23" t="str">
        <f>IFERROR(IF(0=LEN(ReferenceData!$D$23),"",ReferenceData!$D$23),"")</f>
        <v/>
      </c>
      <c r="E23" t="str">
        <f>IFERROR(IF(0=LEN(ReferenceData!$E$23),"",ReferenceData!$E$23),"")</f>
        <v>Expression</v>
      </c>
      <c r="F23" t="str">
        <f ca="1">IFERROR(IF(0=LEN(ReferenceData!$F$23),"",ReferenceData!$F$23),"")</f>
        <v/>
      </c>
      <c r="G23" t="str">
        <f ca="1">IFERROR(IF(0=LEN(ReferenceData!$G$23),"",ReferenceData!$G$23),"")</f>
        <v/>
      </c>
      <c r="H23" t="str">
        <f ca="1">IFERROR(IF(0=LEN(ReferenceData!$H$23),"",ReferenceData!$H$23),"")</f>
        <v/>
      </c>
      <c r="I23" t="str">
        <f ca="1">IFERROR(IF(0=LEN(ReferenceData!$I$23),"",ReferenceData!$I$23),"")</f>
        <v/>
      </c>
      <c r="J23" t="str">
        <f ca="1">IFERROR(IF(0=LEN(ReferenceData!$J$23),"",ReferenceData!$J$23),"")</f>
        <v/>
      </c>
      <c r="K23" t="str">
        <f ca="1">IFERROR(IF(0=LEN(ReferenceData!$K$23),"",ReferenceData!$K$23),"")</f>
        <v/>
      </c>
      <c r="L23" t="str">
        <f ca="1">IFERROR(IF(0=LEN(ReferenceData!$L$23),"",ReferenceData!$L$23),"")</f>
        <v/>
      </c>
      <c r="M23" t="str">
        <f ca="1">IFERROR(IF(0=LEN(ReferenceData!$M$23),"",ReferenceData!$M$23),"")</f>
        <v/>
      </c>
      <c r="N23" t="str">
        <f ca="1">IFERROR(IF(0=LEN(ReferenceData!$N$23),"",ReferenceData!$N$23),"")</f>
        <v/>
      </c>
      <c r="O23" t="str">
        <f ca="1">IFERROR(IF(0=LEN(ReferenceData!$O$23),"",ReferenceData!$O$23),"")</f>
        <v/>
      </c>
      <c r="P23">
        <f ca="1">IFERROR(IF(0=LEN(ReferenceData!$P$23),"",ReferenceData!$P$23),"")</f>
        <v>1.024032474</v>
      </c>
      <c r="Q23">
        <f ca="1">IFERROR(IF(0=LEN(ReferenceData!$Q$23),"",ReferenceData!$Q$23),"")</f>
        <v>0.86193386599999999</v>
      </c>
      <c r="R23">
        <f ca="1">IFERROR(IF(0=LEN(ReferenceData!$R$23),"",ReferenceData!$R$23),"")</f>
        <v>0.83473359000000003</v>
      </c>
      <c r="S23">
        <f ca="1">IFERROR(IF(0=LEN(ReferenceData!$S$23),"",ReferenceData!$S$23),"")</f>
        <v>0.73778361699999995</v>
      </c>
      <c r="T23">
        <f ca="1">IFERROR(IF(0=LEN(ReferenceData!$T$23),"",ReferenceData!$T$23),"")</f>
        <v>0.58222026500000001</v>
      </c>
      <c r="U23">
        <f ca="1">IFERROR(IF(0=LEN(ReferenceData!$U$23),"",ReferenceData!$U$23),"")</f>
        <v>0.57852645899999999</v>
      </c>
      <c r="V23">
        <f ca="1">IFERROR(IF(0=LEN(ReferenceData!$V$23),"",ReferenceData!$V$23),"")</f>
        <v>0.51284318500000003</v>
      </c>
      <c r="W23">
        <f ca="1">IFERROR(IF(0=LEN(ReferenceData!$W$23),"",ReferenceData!$W$23),"")</f>
        <v>0.613328451</v>
      </c>
      <c r="X23">
        <f ca="1">IFERROR(IF(0=LEN(ReferenceData!$X$23),"",ReferenceData!$X$23),"")</f>
        <v>0.626854244</v>
      </c>
      <c r="Y23">
        <f ca="1">IFERROR(IF(0=LEN(ReferenceData!$Y$23),"",ReferenceData!$Y$23),"")</f>
        <v>0.48116807700000003</v>
      </c>
      <c r="Z23">
        <f ca="1">IFERROR(IF(0=LEN(ReferenceData!$Z$23),"",ReferenceData!$Z$23),"")</f>
        <v>0.45212090399999999</v>
      </c>
      <c r="AA23">
        <f ca="1">IFERROR(IF(0=LEN(ReferenceData!$AA$23),"",ReferenceData!$AA$23),"")</f>
        <v>0.65480793999999998</v>
      </c>
      <c r="AB23">
        <f ca="1">IFERROR(IF(0=LEN(ReferenceData!$AB$23),"",ReferenceData!$AB$23),"")</f>
        <v>0.457950091</v>
      </c>
      <c r="AC23">
        <f ca="1">IFERROR(IF(0=LEN(ReferenceData!$AC$23),"",ReferenceData!$AC$23),"")</f>
        <v>0.40664326699999997</v>
      </c>
      <c r="AD23">
        <f ca="1">IFERROR(IF(0=LEN(ReferenceData!$AD$23),"",ReferenceData!$AD$23),"")</f>
        <v>0.37035495800000001</v>
      </c>
      <c r="AE23">
        <f ca="1">IFERROR(IF(0=LEN(ReferenceData!$AE$23),"",ReferenceData!$AE$23),"")</f>
        <v>0.32160570399999999</v>
      </c>
      <c r="AF23">
        <f ca="1">IFERROR(IF(0=LEN(ReferenceData!$AF$23),"",ReferenceData!$AF$23),"")</f>
        <v>0.31500246700000001</v>
      </c>
      <c r="AG23">
        <f ca="1">IFERROR(IF(0=LEN(ReferenceData!$AG$23),"",ReferenceData!$AG$23),"")</f>
        <v>0.29556299400000002</v>
      </c>
      <c r="AH23">
        <f ca="1">IFERROR(IF(0=LEN(ReferenceData!$AH$23),"",ReferenceData!$AH$23),"")</f>
        <v>0.26750484899999999</v>
      </c>
      <c r="AI23">
        <f ca="1">IFERROR(IF(0=LEN(ReferenceData!$AI$23),"",ReferenceData!$AI$23),"")</f>
        <v>0.28600139099999999</v>
      </c>
      <c r="AJ23">
        <f ca="1">IFERROR(IF(0=LEN(ReferenceData!$AJ$23),"",ReferenceData!$AJ$23),"")</f>
        <v>0.28343313399999998</v>
      </c>
      <c r="AK23">
        <f ca="1">IFERROR(IF(0=LEN(ReferenceData!$AK$23),"",ReferenceData!$AK$23),"")</f>
        <v>0.36499246200000002</v>
      </c>
      <c r="AL23">
        <f ca="1">IFERROR(IF(0=LEN(ReferenceData!$AL$23),"",ReferenceData!$AL$23),"")</f>
        <v>0.396807087</v>
      </c>
      <c r="AM23">
        <f ca="1">IFERROR(IF(0=LEN(ReferenceData!$AM$23),"",ReferenceData!$AM$23),"")</f>
        <v>0.43437204899999998</v>
      </c>
      <c r="AN23">
        <f ca="1">IFERROR(IF(0=LEN(ReferenceData!$AN$23),"",ReferenceData!$AN$23),"")</f>
        <v>0.35436109799999999</v>
      </c>
      <c r="AO23">
        <f ca="1">IFERROR(IF(0=LEN(ReferenceData!$AO$23),"",ReferenceData!$AO$23),"")</f>
        <v>0.435169154</v>
      </c>
      <c r="AP23">
        <f ca="1">IFERROR(IF(0=LEN(ReferenceData!$AP$23),"",ReferenceData!$AP$23),"")</f>
        <v>0.35980467799999999</v>
      </c>
      <c r="AQ23">
        <f ca="1">IFERROR(IF(0=LEN(ReferenceData!$AQ$23),"",ReferenceData!$AQ$23),"")</f>
        <v>0.31113112500000001</v>
      </c>
      <c r="AR23">
        <f ca="1">IFERROR(IF(0=LEN(ReferenceData!$AR$23),"",ReferenceData!$AR$23),"")</f>
        <v>0.196628038</v>
      </c>
      <c r="AS23">
        <f ca="1">IFERROR(IF(0=LEN(ReferenceData!$AS$23),"",ReferenceData!$AS$23),"")</f>
        <v>0.29410511099999997</v>
      </c>
    </row>
    <row r="24" spans="1:45" x14ac:dyDescent="0.25">
      <c r="A24" t="str">
        <f>IFERROR(IF(0=LEN(ReferenceData!$A$24),"",ReferenceData!$A$24),"")</f>
        <v xml:space="preserve">    Other</v>
      </c>
      <c r="B24" t="str">
        <f>IFERROR(IF(0=LEN(ReferenceData!$B$24),"",ReferenceData!$B$24),"")</f>
        <v/>
      </c>
      <c r="C24" t="str">
        <f>IFERROR(IF(0=LEN(ReferenceData!$C$24),"",ReferenceData!$C$24),"")</f>
        <v/>
      </c>
      <c r="D24" t="str">
        <f>IFERROR(IF(0=LEN(ReferenceData!$D$24),"",ReferenceData!$D$24),"")</f>
        <v/>
      </c>
      <c r="E24" t="str">
        <f>IFERROR(IF(0=LEN(ReferenceData!$E$24),"",ReferenceData!$E$24),"")</f>
        <v>Expression</v>
      </c>
      <c r="F24">
        <f ca="1">IFERROR(IF(0=LEN(ReferenceData!$F$24),"",ReferenceData!$F$24),"")</f>
        <v>1.69286578</v>
      </c>
      <c r="G24">
        <f ca="1">IFERROR(IF(0=LEN(ReferenceData!$G$24),"",ReferenceData!$G$24),"")</f>
        <v>2.3168942060000002</v>
      </c>
      <c r="H24">
        <f ca="1">IFERROR(IF(0=LEN(ReferenceData!$H$24),"",ReferenceData!$H$24),"")</f>
        <v>1.6159564150000001</v>
      </c>
      <c r="I24">
        <f ca="1">IFERROR(IF(0=LEN(ReferenceData!$I$24),"",ReferenceData!$I$24),"")</f>
        <v>1.906941266</v>
      </c>
      <c r="J24">
        <f ca="1">IFERROR(IF(0=LEN(ReferenceData!$J$24),"",ReferenceData!$J$24),"")</f>
        <v>2.2874932320000001</v>
      </c>
      <c r="K24">
        <f ca="1">IFERROR(IF(0=LEN(ReferenceData!$K$24),"",ReferenceData!$K$24),"")</f>
        <v>2.0435446910000001</v>
      </c>
      <c r="L24">
        <f ca="1">IFERROR(IF(0=LEN(ReferenceData!$L$24),"",ReferenceData!$L$24),"")</f>
        <v>2.211452763</v>
      </c>
      <c r="M24">
        <f ca="1">IFERROR(IF(0=LEN(ReferenceData!$M$24),"",ReferenceData!$M$24),"")</f>
        <v>2.279172897</v>
      </c>
      <c r="N24">
        <f ca="1">IFERROR(IF(0=LEN(ReferenceData!$N$24),"",ReferenceData!$N$24),"")</f>
        <v>1.6132339870000001</v>
      </c>
      <c r="O24">
        <f ca="1">IFERROR(IF(0=LEN(ReferenceData!$O$24),"",ReferenceData!$O$24),"")</f>
        <v>2.4315044499999998</v>
      </c>
      <c r="P24">
        <f ca="1">IFERROR(IF(0=LEN(ReferenceData!$P$24),"",ReferenceData!$P$24),"")</f>
        <v>3.6902071000000002E-2</v>
      </c>
      <c r="Q24">
        <f ca="1">IFERROR(IF(0=LEN(ReferenceData!$Q$24),"",ReferenceData!$Q$24),"")</f>
        <v>5.2238416000000003E-2</v>
      </c>
      <c r="R24">
        <f ca="1">IFERROR(IF(0=LEN(ReferenceData!$R$24),"",ReferenceData!$R$24),"")</f>
        <v>1.6261043999999999E-2</v>
      </c>
      <c r="S24">
        <f ca="1">IFERROR(IF(0=LEN(ReferenceData!$S$24),"",ReferenceData!$S$24),"")</f>
        <v>0.121279499</v>
      </c>
      <c r="T24">
        <f ca="1">IFERROR(IF(0=LEN(ReferenceData!$T$24),"",ReferenceData!$T$24),"")</f>
        <v>8.8066931000000001E-2</v>
      </c>
      <c r="U24">
        <f ca="1">IFERROR(IF(0=LEN(ReferenceData!$U$24),"",ReferenceData!$U$24),"")</f>
        <v>6.2390108E-2</v>
      </c>
      <c r="V24">
        <f ca="1">IFERROR(IF(0=LEN(ReferenceData!$V$24),"",ReferenceData!$V$24),"")</f>
        <v>0.13263185799999999</v>
      </c>
      <c r="W24">
        <f ca="1">IFERROR(IF(0=LEN(ReferenceData!$W$24),"",ReferenceData!$W$24),"")</f>
        <v>4.1193701999999999E-2</v>
      </c>
      <c r="X24">
        <f ca="1">IFERROR(IF(0=LEN(ReferenceData!$X$24),"",ReferenceData!$X$24),"")</f>
        <v>3.3496027999999997E-2</v>
      </c>
      <c r="Y24">
        <f ca="1">IFERROR(IF(0=LEN(ReferenceData!$Y$24),"",ReferenceData!$Y$24),"")</f>
        <v>1.6592003000000001E-2</v>
      </c>
      <c r="Z24">
        <f ca="1">IFERROR(IF(0=LEN(ReferenceData!$Z$24),"",ReferenceData!$Z$24),"")</f>
        <v>0</v>
      </c>
      <c r="AA24">
        <f ca="1">IFERROR(IF(0=LEN(ReferenceData!$AA$24),"",ReferenceData!$AA$24),"")</f>
        <v>2.0623872000000001E-2</v>
      </c>
      <c r="AB24">
        <f ca="1">IFERROR(IF(0=LEN(ReferenceData!$AB$24),"",ReferenceData!$AB$24),"")</f>
        <v>1.1642799000000001E-2</v>
      </c>
      <c r="AC24">
        <f ca="1">IFERROR(IF(0=LEN(ReferenceData!$AC$24),"",ReferenceData!$AC$24),"")</f>
        <v>8.5609109999999992E-3</v>
      </c>
      <c r="AD24">
        <f ca="1">IFERROR(IF(0=LEN(ReferenceData!$AD$24),"",ReferenceData!$AD$24),"")</f>
        <v>2.0806458E-2</v>
      </c>
      <c r="AE24">
        <f ca="1">IFERROR(IF(0=LEN(ReferenceData!$AE$24),"",ReferenceData!$AE$24),"")</f>
        <v>1.549907E-2</v>
      </c>
      <c r="AF24">
        <f ca="1">IFERROR(IF(0=LEN(ReferenceData!$AF$24),"",ReferenceData!$AF$24),"")</f>
        <v>5.6928157E-2</v>
      </c>
      <c r="AG24">
        <f ca="1">IFERROR(IF(0=LEN(ReferenceData!$AG$24),"",ReferenceData!$AG$24),"")</f>
        <v>4.6292999000000001E-2</v>
      </c>
      <c r="AH24">
        <f ca="1">IFERROR(IF(0=LEN(ReferenceData!$AH$24),"",ReferenceData!$AH$24),"")</f>
        <v>5.0157159E-2</v>
      </c>
      <c r="AI24">
        <f ca="1">IFERROR(IF(0=LEN(ReferenceData!$AI$24),"",ReferenceData!$AI$24),"")</f>
        <v>1.5459535E-2</v>
      </c>
      <c r="AJ24">
        <f ca="1">IFERROR(IF(0=LEN(ReferenceData!$AJ$24),"",ReferenceData!$AJ$24),"")</f>
        <v>2.3952095999999999E-2</v>
      </c>
      <c r="AK24">
        <f ca="1">IFERROR(IF(0=LEN(ReferenceData!$AK$24),"",ReferenceData!$AK$24),"")</f>
        <v>3.9673089999999996E-3</v>
      </c>
      <c r="AL24">
        <f ca="1">IFERROR(IF(0=LEN(ReferenceData!$AL$24),"",ReferenceData!$AL$24),"")</f>
        <v>4.6140360000000002E-3</v>
      </c>
      <c r="AM24">
        <f ca="1">IFERROR(IF(0=LEN(ReferenceData!$AM$24),"",ReferenceData!$AM$24),"")</f>
        <v>1.4164306E-2</v>
      </c>
      <c r="AN24">
        <f ca="1">IFERROR(IF(0=LEN(ReferenceData!$AN$24),"",ReferenceData!$AN$24),"")</f>
        <v>3.5085260000000001E-3</v>
      </c>
      <c r="AO24">
        <f ca="1">IFERROR(IF(0=LEN(ReferenceData!$AO$24),"",ReferenceData!$AO$24),"")</f>
        <v>3.2754668000000001E-2</v>
      </c>
      <c r="AP24">
        <f ca="1">IFERROR(IF(0=LEN(ReferenceData!$AP$24),"",ReferenceData!$AP$24),"")</f>
        <v>1.1014428999999999E-2</v>
      </c>
      <c r="AQ24">
        <f ca="1">IFERROR(IF(0=LEN(ReferenceData!$AQ$24),"",ReferenceData!$AQ$24),"")</f>
        <v>2.0469153E-2</v>
      </c>
      <c r="AR24">
        <f ca="1">IFERROR(IF(0=LEN(ReferenceData!$AR$24),"",ReferenceData!$AR$24),"")</f>
        <v>4.6019327999999998E-2</v>
      </c>
      <c r="AS24">
        <f ca="1">IFERROR(IF(0=LEN(ReferenceData!$AS$24),"",ReferenceData!$AS$24),"")</f>
        <v>5.1148714999999997E-2</v>
      </c>
    </row>
    <row r="25" spans="1:45" x14ac:dyDescent="0.25">
      <c r="A25" t="str">
        <f>IFERROR(IF(0=LEN(ReferenceData!$A$25),"",ReferenceData!$A$25),"")</f>
        <v>United States (Class 8)</v>
      </c>
      <c r="B25" t="str">
        <f>IFERROR(IF(0=LEN(ReferenceData!$B$25),"",ReferenceData!$B$25),"")</f>
        <v>TRCKUS8S Index</v>
      </c>
      <c r="C25" t="str">
        <f>IFERROR(IF(0=LEN(ReferenceData!$C$25),"",ReferenceData!$C$25),"")</f>
        <v/>
      </c>
      <c r="D25" t="str">
        <f>IFERROR(IF(0=LEN(ReferenceData!$D$25),"",ReferenceData!$D$25),"")</f>
        <v/>
      </c>
      <c r="E25" t="str">
        <f>IFERROR(IF(0=LEN(ReferenceData!$E$25),"",ReferenceData!$E$25),"")</f>
        <v>Sum</v>
      </c>
      <c r="F25">
        <f ca="1">IFERROR(IF(0=LEN(ReferenceData!$F$25),"",ReferenceData!$F$25),"")</f>
        <v>99.999999994999996</v>
      </c>
      <c r="G25">
        <f ca="1">IFERROR(IF(0=LEN(ReferenceData!$G$25),"",ReferenceData!$G$25),"")</f>
        <v>100.000000004</v>
      </c>
      <c r="H25">
        <f ca="1">IFERROR(IF(0=LEN(ReferenceData!$H$25),"",ReferenceData!$H$25),"")</f>
        <v>99.999999993000003</v>
      </c>
      <c r="I25">
        <f ca="1">IFERROR(IF(0=LEN(ReferenceData!$I$25),"",ReferenceData!$I$25),"")</f>
        <v>99.999999993999992</v>
      </c>
      <c r="J25">
        <f ca="1">IFERROR(IF(0=LEN(ReferenceData!$J$25),"",ReferenceData!$J$25),"")</f>
        <v>100.00000000400001</v>
      </c>
      <c r="K25">
        <f ca="1">IFERROR(IF(0=LEN(ReferenceData!$K$25),"",ReferenceData!$K$25),"")</f>
        <v>100.000000003</v>
      </c>
      <c r="L25">
        <f ca="1">IFERROR(IF(0=LEN(ReferenceData!$L$25),"",ReferenceData!$L$25),"")</f>
        <v>100.00000000199999</v>
      </c>
      <c r="M25">
        <f ca="1">IFERROR(IF(0=LEN(ReferenceData!$M$25),"",ReferenceData!$M$25),"")</f>
        <v>100.00000000600001</v>
      </c>
      <c r="N25">
        <f ca="1">IFERROR(IF(0=LEN(ReferenceData!$N$25),"",ReferenceData!$N$25),"")</f>
        <v>100.000000001</v>
      </c>
      <c r="O25">
        <f ca="1">IFERROR(IF(0=LEN(ReferenceData!$O$25),"",ReferenceData!$O$25),"")</f>
        <v>99.999999998999996</v>
      </c>
      <c r="P25">
        <f ca="1">IFERROR(IF(0=LEN(ReferenceData!$P$25),"",ReferenceData!$P$25),"")</f>
        <v>99.999999990999996</v>
      </c>
      <c r="Q25">
        <f ca="1">IFERROR(IF(0=LEN(ReferenceData!$Q$25),"",ReferenceData!$Q$25),"")</f>
        <v>100.000000004</v>
      </c>
      <c r="R25">
        <f ca="1">IFERROR(IF(0=LEN(ReferenceData!$R$25),"",ReferenceData!$R$25),"")</f>
        <v>99.999999999000011</v>
      </c>
      <c r="S25">
        <f ca="1">IFERROR(IF(0=LEN(ReferenceData!$S$25),"",ReferenceData!$S$25),"")</f>
        <v>100.00000000000001</v>
      </c>
      <c r="T25">
        <f ca="1">IFERROR(IF(0=LEN(ReferenceData!$T$25),"",ReferenceData!$T$25),"")</f>
        <v>99.999999997999993</v>
      </c>
      <c r="U25">
        <f ca="1">IFERROR(IF(0=LEN(ReferenceData!$U$25),"",ReferenceData!$U$25),"")</f>
        <v>100</v>
      </c>
      <c r="V25">
        <f ca="1">IFERROR(IF(0=LEN(ReferenceData!$V$25),"",ReferenceData!$V$25),"")</f>
        <v>100.00000000300001</v>
      </c>
      <c r="W25">
        <f ca="1">IFERROR(IF(0=LEN(ReferenceData!$W$25),"",ReferenceData!$W$25),"")</f>
        <v>100.000000005</v>
      </c>
      <c r="X25">
        <f ca="1">IFERROR(IF(0=LEN(ReferenceData!$X$25),"",ReferenceData!$X$25),"")</f>
        <v>99.999999991999999</v>
      </c>
      <c r="Y25">
        <f ca="1">IFERROR(IF(0=LEN(ReferenceData!$Y$25),"",ReferenceData!$Y$25),"")</f>
        <v>100.00000000500002</v>
      </c>
      <c r="Z25">
        <f ca="1">IFERROR(IF(0=LEN(ReferenceData!$Z$25),"",ReferenceData!$Z$25),"")</f>
        <v>100</v>
      </c>
      <c r="AA25">
        <f ca="1">IFERROR(IF(0=LEN(ReferenceData!$AA$25),"",ReferenceData!$AA$25),"")</f>
        <v>99.999999993000003</v>
      </c>
      <c r="AB25">
        <f ca="1">IFERROR(IF(0=LEN(ReferenceData!$AB$25),"",ReferenceData!$AB$25),"")</f>
        <v>99.999999990000006</v>
      </c>
      <c r="AC25">
        <f ca="1">IFERROR(IF(0=LEN(ReferenceData!$AC$25),"",ReferenceData!$AC$25),"")</f>
        <v>100.00000000099999</v>
      </c>
      <c r="AD25">
        <f ca="1">IFERROR(IF(0=LEN(ReferenceData!$AD$25),"",ReferenceData!$AD$25),"")</f>
        <v>99.999999994000007</v>
      </c>
      <c r="AE25">
        <f ca="1">IFERROR(IF(0=LEN(ReferenceData!$AE$25),"",ReferenceData!$AE$25),"")</f>
        <v>99.999999997999993</v>
      </c>
      <c r="AF25">
        <f ca="1">IFERROR(IF(0=LEN(ReferenceData!$AF$25),"",ReferenceData!$AF$25),"")</f>
        <v>100.000000009</v>
      </c>
      <c r="AG25">
        <f ca="1">IFERROR(IF(0=LEN(ReferenceData!$AG$25),"",ReferenceData!$AG$25),"")</f>
        <v>100.00000000300001</v>
      </c>
      <c r="AH25">
        <f ca="1">IFERROR(IF(0=LEN(ReferenceData!$AH$25),"",ReferenceData!$AH$25),"")</f>
        <v>100</v>
      </c>
      <c r="AI25">
        <f ca="1">IFERROR(IF(0=LEN(ReferenceData!$AI$25),"",ReferenceData!$AI$25),"")</f>
        <v>100.00000000499999</v>
      </c>
      <c r="AJ25">
        <f ca="1">IFERROR(IF(0=LEN(ReferenceData!$AJ$25),"",ReferenceData!$AJ$25),"")</f>
        <v>99.999999996</v>
      </c>
      <c r="AK25">
        <f ca="1">IFERROR(IF(0=LEN(ReferenceData!$AK$25),"",ReferenceData!$AK$25),"")</f>
        <v>99.999999999000011</v>
      </c>
      <c r="AL25">
        <f ca="1">IFERROR(IF(0=LEN(ReferenceData!$AL$25),"",ReferenceData!$AL$25),"")</f>
        <v>99.999999998999996</v>
      </c>
      <c r="AM25">
        <f ca="1">IFERROR(IF(0=LEN(ReferenceData!$AM$25),"",ReferenceData!$AM$25),"")</f>
        <v>99.999999999000011</v>
      </c>
      <c r="AN25">
        <f ca="1">IFERROR(IF(0=LEN(ReferenceData!$AN$25),"",ReferenceData!$AN$25),"")</f>
        <v>100</v>
      </c>
      <c r="AO25">
        <f ca="1">IFERROR(IF(0=LEN(ReferenceData!$AO$25),"",ReferenceData!$AO$25),"")</f>
        <v>99.999999997999993</v>
      </c>
      <c r="AP25">
        <f ca="1">IFERROR(IF(0=LEN(ReferenceData!$AP$25),"",ReferenceData!$AP$25),"")</f>
        <v>100.000000003</v>
      </c>
      <c r="AQ25">
        <f ca="1">IFERROR(IF(0=LEN(ReferenceData!$AQ$25),"",ReferenceData!$AQ$25),"")</f>
        <v>99.999999998000007</v>
      </c>
      <c r="AR25">
        <f ca="1">IFERROR(IF(0=LEN(ReferenceData!$AR$25),"",ReferenceData!$AR$25),"")</f>
        <v>100.00000000199999</v>
      </c>
      <c r="AS25">
        <f ca="1">IFERROR(IF(0=LEN(ReferenceData!$AS$25),"",ReferenceData!$AS$25),"")</f>
        <v>99.999999988999988</v>
      </c>
    </row>
    <row r="26" spans="1:45" x14ac:dyDescent="0.25">
      <c r="A26" t="str">
        <f>IFERROR(IF(0=LEN(ReferenceData!$A$26),"",ReferenceData!$A$26),"")</f>
        <v xml:space="preserve">    Daimler</v>
      </c>
      <c r="B26" t="str">
        <f>IFERROR(IF(0=LEN(ReferenceData!$B$26),"",ReferenceData!$B$26),"")</f>
        <v>DAI GR Equity</v>
      </c>
      <c r="C26" t="str">
        <f>IFERROR(IF(0=LEN(ReferenceData!$C$26),"",ReferenceData!$C$26),"")</f>
        <v/>
      </c>
      <c r="D26" t="str">
        <f>IFERROR(IF(0=LEN(ReferenceData!$D$26),"",ReferenceData!$D$26),"")</f>
        <v/>
      </c>
      <c r="E26" t="str">
        <f>IFERROR(IF(0=LEN(ReferenceData!$E$26),"",ReferenceData!$E$26),"")</f>
        <v>Sum</v>
      </c>
      <c r="F26">
        <f ca="1">IFERROR(IF(0=LEN(ReferenceData!$F$26),"",ReferenceData!$F$26),"")</f>
        <v>37.410754130000001</v>
      </c>
      <c r="G26">
        <f ca="1">IFERROR(IF(0=LEN(ReferenceData!$G$26),"",ReferenceData!$G$26),"")</f>
        <v>43.385973851999999</v>
      </c>
      <c r="H26">
        <f ca="1">IFERROR(IF(0=LEN(ReferenceData!$H$26),"",ReferenceData!$H$26),"")</f>
        <v>36.822789233000002</v>
      </c>
      <c r="I26">
        <f ca="1">IFERROR(IF(0=LEN(ReferenceData!$I$26),"",ReferenceData!$I$26),"")</f>
        <v>40.667232485</v>
      </c>
      <c r="J26">
        <f ca="1">IFERROR(IF(0=LEN(ReferenceData!$J$26),"",ReferenceData!$J$26),"")</f>
        <v>39.705372616000005</v>
      </c>
      <c r="K26">
        <f ca="1">IFERROR(IF(0=LEN(ReferenceData!$K$26),"",ReferenceData!$K$26),"")</f>
        <v>44.959379616</v>
      </c>
      <c r="L26">
        <f ca="1">IFERROR(IF(0=LEN(ReferenceData!$L$26),"",ReferenceData!$L$26),"")</f>
        <v>39.006938419000001</v>
      </c>
      <c r="M26">
        <f ca="1">IFERROR(IF(0=LEN(ReferenceData!$M$26),"",ReferenceData!$M$26),"")</f>
        <v>38.998174812000002</v>
      </c>
      <c r="N26">
        <f ca="1">IFERROR(IF(0=LEN(ReferenceData!$N$26),"",ReferenceData!$N$26),"")</f>
        <v>40.991071431000002</v>
      </c>
      <c r="O26">
        <f ca="1">IFERROR(IF(0=LEN(ReferenceData!$O$26),"",ReferenceData!$O$26),"")</f>
        <v>39.738669586999997</v>
      </c>
      <c r="P26">
        <f ca="1">IFERROR(IF(0=LEN(ReferenceData!$P$26),"",ReferenceData!$P$26),"")</f>
        <v>31.326380441999998</v>
      </c>
      <c r="Q26">
        <f ca="1">IFERROR(IF(0=LEN(ReferenceData!$Q$26),"",ReferenceData!$Q$26),"")</f>
        <v>42.609194578</v>
      </c>
      <c r="R26">
        <f ca="1">IFERROR(IF(0=LEN(ReferenceData!$R$26),"",ReferenceData!$R$26),"")</f>
        <v>34.469085032999999</v>
      </c>
      <c r="S26">
        <f ca="1">IFERROR(IF(0=LEN(ReferenceData!$S$26),"",ReferenceData!$S$26),"")</f>
        <v>36.504543025000004</v>
      </c>
      <c r="T26">
        <f ca="1">IFERROR(IF(0=LEN(ReferenceData!$T$26),"",ReferenceData!$T$26),"")</f>
        <v>40.050424300000003</v>
      </c>
      <c r="U26">
        <f ca="1">IFERROR(IF(0=LEN(ReferenceData!$U$26),"",ReferenceData!$U$26),"")</f>
        <v>37.607383741</v>
      </c>
      <c r="V26">
        <f ca="1">IFERROR(IF(0=LEN(ReferenceData!$V$26),"",ReferenceData!$V$26),"")</f>
        <v>39.108641169000002</v>
      </c>
      <c r="W26">
        <f ca="1">IFERROR(IF(0=LEN(ReferenceData!$W$26),"",ReferenceData!$W$26),"")</f>
        <v>43.178142330999997</v>
      </c>
      <c r="X26">
        <f ca="1">IFERROR(IF(0=LEN(ReferenceData!$X$26),"",ReferenceData!$X$26),"")</f>
        <v>41.129080739000003</v>
      </c>
      <c r="Y26">
        <f ca="1">IFERROR(IF(0=LEN(ReferenceData!$Y$26),"",ReferenceData!$Y$26),"")</f>
        <v>45.108315862000005</v>
      </c>
      <c r="Z26">
        <f ca="1">IFERROR(IF(0=LEN(ReferenceData!$Z$26),"",ReferenceData!$Z$26),"")</f>
        <v>43.197278910000001</v>
      </c>
      <c r="AA26">
        <f ca="1">IFERROR(IF(0=LEN(ReferenceData!$AA$26),"",ReferenceData!$AA$26),"")</f>
        <v>45.570255189000001</v>
      </c>
      <c r="AB26">
        <f ca="1">IFERROR(IF(0=LEN(ReferenceData!$AB$26),"",ReferenceData!$AB$26),"")</f>
        <v>35.729071386000001</v>
      </c>
      <c r="AC26">
        <f ca="1">IFERROR(IF(0=LEN(ReferenceData!$AC$26),"",ReferenceData!$AC$26),"")</f>
        <v>49.937513013</v>
      </c>
      <c r="AD26">
        <f ca="1">IFERROR(IF(0=LEN(ReferenceData!$AD$26),"",ReferenceData!$AD$26),"")</f>
        <v>43.752596593</v>
      </c>
      <c r="AE26">
        <f ca="1">IFERROR(IF(0=LEN(ReferenceData!$AE$26),"",ReferenceData!$AE$26),"")</f>
        <v>40.041948705999999</v>
      </c>
      <c r="AF26">
        <f ca="1">IFERROR(IF(0=LEN(ReferenceData!$AF$26),"",ReferenceData!$AF$26),"")</f>
        <v>39.447247603999998</v>
      </c>
      <c r="AG26">
        <f ca="1">IFERROR(IF(0=LEN(ReferenceData!$AG$26),"",ReferenceData!$AG$26),"")</f>
        <v>40.479651159000007</v>
      </c>
      <c r="AH26">
        <f ca="1">IFERROR(IF(0=LEN(ReferenceData!$AH$26),"",ReferenceData!$AH$26),"")</f>
        <v>39.115351261999997</v>
      </c>
      <c r="AI26">
        <f ca="1">IFERROR(IF(0=LEN(ReferenceData!$AI$26),"",ReferenceData!$AI$26),"")</f>
        <v>40.198084254999998</v>
      </c>
      <c r="AJ26">
        <f ca="1">IFERROR(IF(0=LEN(ReferenceData!$AJ$26),"",ReferenceData!$AJ$26),"")</f>
        <v>34.448290989999997</v>
      </c>
      <c r="AK26">
        <f ca="1">IFERROR(IF(0=LEN(ReferenceData!$AK$26),"",ReferenceData!$AK$26),"")</f>
        <v>34.821601704999999</v>
      </c>
      <c r="AL26">
        <f ca="1">IFERROR(IF(0=LEN(ReferenceData!$AL$26),"",ReferenceData!$AL$26),"")</f>
        <v>41.161616158999998</v>
      </c>
      <c r="AM26">
        <f ca="1">IFERROR(IF(0=LEN(ReferenceData!$AM$26),"",ReferenceData!$AM$26),"")</f>
        <v>46.508950672000005</v>
      </c>
      <c r="AN26">
        <f ca="1">IFERROR(IF(0=LEN(ReferenceData!$AN$26),"",ReferenceData!$AN$26),"")</f>
        <v>37.781769963000002</v>
      </c>
      <c r="AO26">
        <f ca="1">IFERROR(IF(0=LEN(ReferenceData!$AO$26),"",ReferenceData!$AO$26),"")</f>
        <v>35.795522564999999</v>
      </c>
      <c r="AP26">
        <f ca="1">IFERROR(IF(0=LEN(ReferenceData!$AP$26),"",ReferenceData!$AP$26),"")</f>
        <v>38.589324619999999</v>
      </c>
      <c r="AQ26">
        <f ca="1">IFERROR(IF(0=LEN(ReferenceData!$AQ$26),"",ReferenceData!$AQ$26),"")</f>
        <v>37.234784339000001</v>
      </c>
      <c r="AR26">
        <f ca="1">IFERROR(IF(0=LEN(ReferenceData!$AR$26),"",ReferenceData!$AR$26),"")</f>
        <v>37.687878939999997</v>
      </c>
      <c r="AS26">
        <f ca="1">IFERROR(IF(0=LEN(ReferenceData!$AS$26),"",ReferenceData!$AS$26),"")</f>
        <v>35.502580746</v>
      </c>
    </row>
    <row r="27" spans="1:45" x14ac:dyDescent="0.25">
      <c r="A27" t="str">
        <f>IFERROR(IF(0=LEN(ReferenceData!$A$27),"",ReferenceData!$A$27),"")</f>
        <v xml:space="preserve">        Freightliner</v>
      </c>
      <c r="B27" t="str">
        <f>IFERROR(IF(0=LEN(ReferenceData!$B$27),"",ReferenceData!$B$27),"")</f>
        <v>DAI GR Equity</v>
      </c>
      <c r="C27" t="str">
        <f>IFERROR(IF(0=LEN(ReferenceData!$C$27),"",ReferenceData!$C$27),"")</f>
        <v/>
      </c>
      <c r="D27" t="str">
        <f>IFERROR(IF(0=LEN(ReferenceData!$D$27),"",ReferenceData!$D$27),"")</f>
        <v/>
      </c>
      <c r="E27" t="str">
        <f>IFERROR(IF(0=LEN(ReferenceData!$E$27),"",ReferenceData!$E$27),"")</f>
        <v>Expression</v>
      </c>
      <c r="F27">
        <f ca="1">IFERROR(IF(0=LEN(ReferenceData!$F$27),"",ReferenceData!$F$27),"")</f>
        <v>35.33020973</v>
      </c>
      <c r="G27">
        <f ca="1">IFERROR(IF(0=LEN(ReferenceData!$G$27),"",ReferenceData!$G$27),"")</f>
        <v>41.048282110000002</v>
      </c>
      <c r="H27">
        <f ca="1">IFERROR(IF(0=LEN(ReferenceData!$H$27),"",ReferenceData!$H$27),"")</f>
        <v>34.067342420000003</v>
      </c>
      <c r="I27">
        <f ca="1">IFERROR(IF(0=LEN(ReferenceData!$I$27),"",ReferenceData!$I$27),"")</f>
        <v>37.781549910000003</v>
      </c>
      <c r="J27">
        <f ca="1">IFERROR(IF(0=LEN(ReferenceData!$J$27),"",ReferenceData!$J$27),"")</f>
        <v>36.470248410000004</v>
      </c>
      <c r="K27">
        <f ca="1">IFERROR(IF(0=LEN(ReferenceData!$K$27),"",ReferenceData!$K$27),"")</f>
        <v>42.46676514</v>
      </c>
      <c r="L27">
        <f ca="1">IFERROR(IF(0=LEN(ReferenceData!$L$27),"",ReferenceData!$L$27),"")</f>
        <v>35.884648740000003</v>
      </c>
      <c r="M27">
        <f ca="1">IFERROR(IF(0=LEN(ReferenceData!$M$27),"",ReferenceData!$M$27),"")</f>
        <v>35.976475360000002</v>
      </c>
      <c r="N27">
        <f ca="1">IFERROR(IF(0=LEN(ReferenceData!$N$27),"",ReferenceData!$N$27),"")</f>
        <v>38.482142860000003</v>
      </c>
      <c r="O27">
        <f ca="1">IFERROR(IF(0=LEN(ReferenceData!$O$27),"",ReferenceData!$O$27),"")</f>
        <v>37.253289469999999</v>
      </c>
      <c r="P27">
        <f ca="1">IFERROR(IF(0=LEN(ReferenceData!$P$27),"",ReferenceData!$P$27),"")</f>
        <v>27.992833829999999</v>
      </c>
      <c r="Q27">
        <f ca="1">IFERROR(IF(0=LEN(ReferenceData!$Q$27),"",ReferenceData!$Q$27),"")</f>
        <v>39.718855339999998</v>
      </c>
      <c r="R27">
        <f ca="1">IFERROR(IF(0=LEN(ReferenceData!$R$27),"",ReferenceData!$R$27),"")</f>
        <v>32.097224259999997</v>
      </c>
      <c r="S27">
        <f ca="1">IFERROR(IF(0=LEN(ReferenceData!$S$27),"",ReferenceData!$S$27),"")</f>
        <v>34.279796900000001</v>
      </c>
      <c r="T27">
        <f ca="1">IFERROR(IF(0=LEN(ReferenceData!$T$27),"",ReferenceData!$T$27),"")</f>
        <v>37.676792519999999</v>
      </c>
      <c r="U27">
        <f ca="1">IFERROR(IF(0=LEN(ReferenceData!$U$27),"",ReferenceData!$U$27),"")</f>
        <v>34.873979409999997</v>
      </c>
      <c r="V27">
        <f ca="1">IFERROR(IF(0=LEN(ReferenceData!$V$27),"",ReferenceData!$V$27),"")</f>
        <v>36.640514330000002</v>
      </c>
      <c r="W27">
        <f ca="1">IFERROR(IF(0=LEN(ReferenceData!$W$27),"",ReferenceData!$W$27),"")</f>
        <v>40.503696859999998</v>
      </c>
      <c r="X27">
        <f ca="1">IFERROR(IF(0=LEN(ReferenceData!$X$27),"",ReferenceData!$X$27),"")</f>
        <v>38.22521493</v>
      </c>
      <c r="Y27">
        <f ca="1">IFERROR(IF(0=LEN(ReferenceData!$Y$27),"",ReferenceData!$Y$27),"")</f>
        <v>42.737346510000002</v>
      </c>
      <c r="Z27">
        <f ca="1">IFERROR(IF(0=LEN(ReferenceData!$Z$27),"",ReferenceData!$Z$27),"")</f>
        <v>40.860418240000001</v>
      </c>
      <c r="AA27">
        <f ca="1">IFERROR(IF(0=LEN(ReferenceData!$AA$27),"",ReferenceData!$AA$27),"")</f>
        <v>43.35695028</v>
      </c>
      <c r="AB27">
        <f ca="1">IFERROR(IF(0=LEN(ReferenceData!$AB$27),"",ReferenceData!$AB$27),"")</f>
        <v>32.95624127</v>
      </c>
      <c r="AC27">
        <f ca="1">IFERROR(IF(0=LEN(ReferenceData!$AC$27),"",ReferenceData!$AC$27),"")</f>
        <v>47.948344089999999</v>
      </c>
      <c r="AD27">
        <f ca="1">IFERROR(IF(0=LEN(ReferenceData!$AD$27),"",ReferenceData!$AD$27),"")</f>
        <v>41.716867469999997</v>
      </c>
      <c r="AE27">
        <f ca="1">IFERROR(IF(0=LEN(ReferenceData!$AE$27),"",ReferenceData!$AE$27),"")</f>
        <v>38.254361709999998</v>
      </c>
      <c r="AF27">
        <f ca="1">IFERROR(IF(0=LEN(ReferenceData!$AF$27),"",ReferenceData!$AF$27),"")</f>
        <v>37.601709169999999</v>
      </c>
      <c r="AG27">
        <f ca="1">IFERROR(IF(0=LEN(ReferenceData!$AG$27),"",ReferenceData!$AG$27),"")</f>
        <v>38.962038300000003</v>
      </c>
      <c r="AH27">
        <f ca="1">IFERROR(IF(0=LEN(ReferenceData!$AH$27),"",ReferenceData!$AH$27),"")</f>
        <v>37.002286529999999</v>
      </c>
      <c r="AI27">
        <f ca="1">IFERROR(IF(0=LEN(ReferenceData!$AI$27),"",ReferenceData!$AI$27),"")</f>
        <v>38.379986979999998</v>
      </c>
      <c r="AJ27">
        <f ca="1">IFERROR(IF(0=LEN(ReferenceData!$AJ$27),"",ReferenceData!$AJ$27),"")</f>
        <v>32.614949529999997</v>
      </c>
      <c r="AK27">
        <f ca="1">IFERROR(IF(0=LEN(ReferenceData!$AK$27),"",ReferenceData!$AK$27),"")</f>
        <v>32.848555359999999</v>
      </c>
      <c r="AL27">
        <f ca="1">IFERROR(IF(0=LEN(ReferenceData!$AL$27),"",ReferenceData!$AL$27),"")</f>
        <v>39.292929289999996</v>
      </c>
      <c r="AM27">
        <f ca="1">IFERROR(IF(0=LEN(ReferenceData!$AM$27),"",ReferenceData!$AM$27),"")</f>
        <v>44.638231740000002</v>
      </c>
      <c r="AN27">
        <f ca="1">IFERROR(IF(0=LEN(ReferenceData!$AN$27),"",ReferenceData!$AN$27),"")</f>
        <v>35.018606439999999</v>
      </c>
      <c r="AO27">
        <f ca="1">IFERROR(IF(0=LEN(ReferenceData!$AO$27),"",ReferenceData!$AO$27),"")</f>
        <v>34.065605169999998</v>
      </c>
      <c r="AP27">
        <f ca="1">IFERROR(IF(0=LEN(ReferenceData!$AP$27),"",ReferenceData!$AP$27),"")</f>
        <v>37.00526507</v>
      </c>
      <c r="AQ27">
        <f ca="1">IFERROR(IF(0=LEN(ReferenceData!$AQ$27),"",ReferenceData!$AQ$27),"")</f>
        <v>35.989640399999999</v>
      </c>
      <c r="AR27">
        <f ca="1">IFERROR(IF(0=LEN(ReferenceData!$AR$27),"",ReferenceData!$AR$27),"")</f>
        <v>35.802720739999998</v>
      </c>
      <c r="AS27">
        <f ca="1">IFERROR(IF(0=LEN(ReferenceData!$AS$27),"",ReferenceData!$AS$27),"")</f>
        <v>34.326610969999997</v>
      </c>
    </row>
    <row r="28" spans="1:45" x14ac:dyDescent="0.25">
      <c r="A28" t="str">
        <f>IFERROR(IF(0=LEN(ReferenceData!$A$28),"",ReferenceData!$A$28),"")</f>
        <v xml:space="preserve">        Western Star</v>
      </c>
      <c r="B28" t="str">
        <f>IFERROR(IF(0=LEN(ReferenceData!$B$28),"",ReferenceData!$B$28),"")</f>
        <v>DAI GR Equity</v>
      </c>
      <c r="C28" t="str">
        <f>IFERROR(IF(0=LEN(ReferenceData!$C$28),"",ReferenceData!$C$28),"")</f>
        <v/>
      </c>
      <c r="D28" t="str">
        <f>IFERROR(IF(0=LEN(ReferenceData!$D$28),"",ReferenceData!$D$28),"")</f>
        <v/>
      </c>
      <c r="E28" t="str">
        <f>IFERROR(IF(0=LEN(ReferenceData!$E$28),"",ReferenceData!$E$28),"")</f>
        <v>Expression</v>
      </c>
      <c r="F28">
        <f ca="1">IFERROR(IF(0=LEN(ReferenceData!$F$28),"",ReferenceData!$F$28),"")</f>
        <v>2.0805444</v>
      </c>
      <c r="G28">
        <f ca="1">IFERROR(IF(0=LEN(ReferenceData!$G$28),"",ReferenceData!$G$28),"")</f>
        <v>2.3376917420000001</v>
      </c>
      <c r="H28">
        <f ca="1">IFERROR(IF(0=LEN(ReferenceData!$H$28),"",ReferenceData!$H$28),"")</f>
        <v>2.7554468129999998</v>
      </c>
      <c r="I28">
        <f ca="1">IFERROR(IF(0=LEN(ReferenceData!$I$28),"",ReferenceData!$I$28),"")</f>
        <v>2.8856825750000001</v>
      </c>
      <c r="J28">
        <f ca="1">IFERROR(IF(0=LEN(ReferenceData!$J$28),"",ReferenceData!$J$28),"")</f>
        <v>3.2351242060000001</v>
      </c>
      <c r="K28">
        <f ca="1">IFERROR(IF(0=LEN(ReferenceData!$K$28),"",ReferenceData!$K$28),"")</f>
        <v>2.492614476</v>
      </c>
      <c r="L28">
        <f ca="1">IFERROR(IF(0=LEN(ReferenceData!$L$28),"",ReferenceData!$L$28),"")</f>
        <v>3.1222896790000001</v>
      </c>
      <c r="M28">
        <f ca="1">IFERROR(IF(0=LEN(ReferenceData!$M$28),"",ReferenceData!$M$28),"")</f>
        <v>3.021699452</v>
      </c>
      <c r="N28">
        <f ca="1">IFERROR(IF(0=LEN(ReferenceData!$N$28),"",ReferenceData!$N$28),"")</f>
        <v>2.5089285710000002</v>
      </c>
      <c r="O28">
        <f ca="1">IFERROR(IF(0=LEN(ReferenceData!$O$28),"",ReferenceData!$O$28),"")</f>
        <v>2.4853801170000001</v>
      </c>
      <c r="P28">
        <f ca="1">IFERROR(IF(0=LEN(ReferenceData!$P$28),"",ReferenceData!$P$28),"")</f>
        <v>3.3335466120000001</v>
      </c>
      <c r="Q28">
        <f ca="1">IFERROR(IF(0=LEN(ReferenceData!$Q$28),"",ReferenceData!$Q$28),"")</f>
        <v>2.8903392380000001</v>
      </c>
      <c r="R28">
        <f ca="1">IFERROR(IF(0=LEN(ReferenceData!$R$28),"",ReferenceData!$R$28),"")</f>
        <v>2.3718607729999999</v>
      </c>
      <c r="S28">
        <f ca="1">IFERROR(IF(0=LEN(ReferenceData!$S$28),"",ReferenceData!$S$28),"")</f>
        <v>2.2247461249999998</v>
      </c>
      <c r="T28">
        <f ca="1">IFERROR(IF(0=LEN(ReferenceData!$T$28),"",ReferenceData!$T$28),"")</f>
        <v>2.3736317800000002</v>
      </c>
      <c r="U28">
        <f ca="1">IFERROR(IF(0=LEN(ReferenceData!$U$28),"",ReferenceData!$U$28),"")</f>
        <v>2.733404331</v>
      </c>
      <c r="V28">
        <f ca="1">IFERROR(IF(0=LEN(ReferenceData!$V$28),"",ReferenceData!$V$28),"")</f>
        <v>2.468126839</v>
      </c>
      <c r="W28">
        <f ca="1">IFERROR(IF(0=LEN(ReferenceData!$W$28),"",ReferenceData!$W$28),"")</f>
        <v>2.6744454709999999</v>
      </c>
      <c r="X28">
        <f ca="1">IFERROR(IF(0=LEN(ReferenceData!$X$28),"",ReferenceData!$X$28),"")</f>
        <v>2.903865809</v>
      </c>
      <c r="Y28">
        <f ca="1">IFERROR(IF(0=LEN(ReferenceData!$Y$28),"",ReferenceData!$Y$28),"")</f>
        <v>2.3709693519999999</v>
      </c>
      <c r="Z28">
        <f ca="1">IFERROR(IF(0=LEN(ReferenceData!$Z$28),"",ReferenceData!$Z$28),"")</f>
        <v>2.3368606700000001</v>
      </c>
      <c r="AA28">
        <f ca="1">IFERROR(IF(0=LEN(ReferenceData!$AA$28),"",ReferenceData!$AA$28),"")</f>
        <v>2.2133049090000001</v>
      </c>
      <c r="AB28">
        <f ca="1">IFERROR(IF(0=LEN(ReferenceData!$AB$28),"",ReferenceData!$AB$28),"")</f>
        <v>2.7728301160000002</v>
      </c>
      <c r="AC28">
        <f ca="1">IFERROR(IF(0=LEN(ReferenceData!$AC$28),"",ReferenceData!$AC$28),"")</f>
        <v>1.989168923</v>
      </c>
      <c r="AD28">
        <f ca="1">IFERROR(IF(0=LEN(ReferenceData!$AD$28),"",ReferenceData!$AD$28),"")</f>
        <v>2.0357291229999999</v>
      </c>
      <c r="AE28">
        <f ca="1">IFERROR(IF(0=LEN(ReferenceData!$AE$28),"",ReferenceData!$AE$28),"")</f>
        <v>1.7875869959999999</v>
      </c>
      <c r="AF28">
        <f ca="1">IFERROR(IF(0=LEN(ReferenceData!$AF$28),"",ReferenceData!$AF$28),"")</f>
        <v>1.8455384340000001</v>
      </c>
      <c r="AG28">
        <f ca="1">IFERROR(IF(0=LEN(ReferenceData!$AG$28),"",ReferenceData!$AG$28),"")</f>
        <v>1.517612859</v>
      </c>
      <c r="AH28">
        <f ca="1">IFERROR(IF(0=LEN(ReferenceData!$AH$28),"",ReferenceData!$AH$28),"")</f>
        <v>2.1130647319999998</v>
      </c>
      <c r="AI28">
        <f ca="1">IFERROR(IF(0=LEN(ReferenceData!$AI$28),"",ReferenceData!$AI$28),"")</f>
        <v>1.818097275</v>
      </c>
      <c r="AJ28">
        <f ca="1">IFERROR(IF(0=LEN(ReferenceData!$AJ$28),"",ReferenceData!$AJ$28),"")</f>
        <v>1.83334146</v>
      </c>
      <c r="AK28">
        <f ca="1">IFERROR(IF(0=LEN(ReferenceData!$AK$28),"",ReferenceData!$AK$28),"")</f>
        <v>1.973046345</v>
      </c>
      <c r="AL28">
        <f ca="1">IFERROR(IF(0=LEN(ReferenceData!$AL$28),"",ReferenceData!$AL$28),"")</f>
        <v>1.868686869</v>
      </c>
      <c r="AM28">
        <f ca="1">IFERROR(IF(0=LEN(ReferenceData!$AM$28),"",ReferenceData!$AM$28),"")</f>
        <v>1.8707189319999999</v>
      </c>
      <c r="AN28">
        <f ca="1">IFERROR(IF(0=LEN(ReferenceData!$AN$28),"",ReferenceData!$AN$28),"")</f>
        <v>2.7631635229999998</v>
      </c>
      <c r="AO28">
        <f ca="1">IFERROR(IF(0=LEN(ReferenceData!$AO$28),"",ReferenceData!$AO$28),"")</f>
        <v>1.729917395</v>
      </c>
      <c r="AP28">
        <f ca="1">IFERROR(IF(0=LEN(ReferenceData!$AP$28),"",ReferenceData!$AP$28),"")</f>
        <v>1.5840595500000001</v>
      </c>
      <c r="AQ28">
        <f ca="1">IFERROR(IF(0=LEN(ReferenceData!$AQ$28),"",ReferenceData!$AQ$28),"")</f>
        <v>1.2451439390000001</v>
      </c>
      <c r="AR28">
        <f ca="1">IFERROR(IF(0=LEN(ReferenceData!$AR$28),"",ReferenceData!$AR$28),"")</f>
        <v>1.8851582</v>
      </c>
      <c r="AS28">
        <f ca="1">IFERROR(IF(0=LEN(ReferenceData!$AS$28),"",ReferenceData!$AS$28),"")</f>
        <v>1.1759697760000001</v>
      </c>
    </row>
    <row r="29" spans="1:45" x14ac:dyDescent="0.25">
      <c r="A29" t="str">
        <f>IFERROR(IF(0=LEN(ReferenceData!$A$29),"",ReferenceData!$A$29),"")</f>
        <v xml:space="preserve">        Sterling</v>
      </c>
      <c r="B29" t="str">
        <f>IFERROR(IF(0=LEN(ReferenceData!$B$29),"",ReferenceData!$B$29),"")</f>
        <v>DAI GR Equity</v>
      </c>
      <c r="C29" t="str">
        <f>IFERROR(IF(0=LEN(ReferenceData!$C$29),"",ReferenceData!$C$29),"")</f>
        <v/>
      </c>
      <c r="D29" t="str">
        <f>IFERROR(IF(0=LEN(ReferenceData!$D$29),"",ReferenceData!$D$29),"")</f>
        <v/>
      </c>
      <c r="E29" t="str">
        <f>IFERROR(IF(0=LEN(ReferenceData!$E$29),"",ReferenceData!$E$29),"")</f>
        <v>Expression</v>
      </c>
      <c r="F29" t="str">
        <f ca="1">IFERROR(IF(0=LEN(ReferenceData!$F$29),"",ReferenceData!$F$29),"")</f>
        <v/>
      </c>
      <c r="G29" t="str">
        <f ca="1">IFERROR(IF(0=LEN(ReferenceData!$G$29),"",ReferenceData!$G$29),"")</f>
        <v/>
      </c>
      <c r="H29" t="str">
        <f ca="1">IFERROR(IF(0=LEN(ReferenceData!$H$29),"",ReferenceData!$H$29),"")</f>
        <v/>
      </c>
      <c r="I29" t="str">
        <f ca="1">IFERROR(IF(0=LEN(ReferenceData!$I$29),"",ReferenceData!$I$29),"")</f>
        <v/>
      </c>
      <c r="J29" t="str">
        <f ca="1">IFERROR(IF(0=LEN(ReferenceData!$J$29),"",ReferenceData!$J$29),"")</f>
        <v/>
      </c>
      <c r="K29" t="str">
        <f ca="1">IFERROR(IF(0=LEN(ReferenceData!$K$29),"",ReferenceData!$K$29),"")</f>
        <v/>
      </c>
      <c r="L29" t="str">
        <f ca="1">IFERROR(IF(0=LEN(ReferenceData!$L$29),"",ReferenceData!$L$29),"")</f>
        <v/>
      </c>
      <c r="M29" t="str">
        <f ca="1">IFERROR(IF(0=LEN(ReferenceData!$M$29),"",ReferenceData!$M$29),"")</f>
        <v/>
      </c>
      <c r="N29" t="str">
        <f ca="1">IFERROR(IF(0=LEN(ReferenceData!$N$29),"",ReferenceData!$N$29),"")</f>
        <v/>
      </c>
      <c r="O29" t="str">
        <f ca="1">IFERROR(IF(0=LEN(ReferenceData!$O$29),"",ReferenceData!$O$29),"")</f>
        <v/>
      </c>
      <c r="P29" t="str">
        <f ca="1">IFERROR(IF(0=LEN(ReferenceData!$P$29),"",ReferenceData!$P$29),"")</f>
        <v/>
      </c>
      <c r="Q29" t="str">
        <f ca="1">IFERROR(IF(0=LEN(ReferenceData!$Q$29),"",ReferenceData!$Q$29),"")</f>
        <v/>
      </c>
      <c r="R29" t="str">
        <f ca="1">IFERROR(IF(0=LEN(ReferenceData!$R$29),"",ReferenceData!$R$29),"")</f>
        <v/>
      </c>
      <c r="S29" t="str">
        <f ca="1">IFERROR(IF(0=LEN(ReferenceData!$S$29),"",ReferenceData!$S$29),"")</f>
        <v/>
      </c>
      <c r="T29" t="str">
        <f ca="1">IFERROR(IF(0=LEN(ReferenceData!$T$29),"",ReferenceData!$T$29),"")</f>
        <v/>
      </c>
      <c r="U29" t="str">
        <f ca="1">IFERROR(IF(0=LEN(ReferenceData!$U$29),"",ReferenceData!$U$29),"")</f>
        <v/>
      </c>
      <c r="V29" t="str">
        <f ca="1">IFERROR(IF(0=LEN(ReferenceData!$V$29),"",ReferenceData!$V$29),"")</f>
        <v/>
      </c>
      <c r="W29" t="str">
        <f ca="1">IFERROR(IF(0=LEN(ReferenceData!$W$29),"",ReferenceData!$W$29),"")</f>
        <v/>
      </c>
      <c r="X29" t="str">
        <f ca="1">IFERROR(IF(0=LEN(ReferenceData!$X$29),"",ReferenceData!$X$29),"")</f>
        <v/>
      </c>
      <c r="Y29" t="str">
        <f ca="1">IFERROR(IF(0=LEN(ReferenceData!$Y$29),"",ReferenceData!$Y$29),"")</f>
        <v/>
      </c>
      <c r="Z29" t="str">
        <f ca="1">IFERROR(IF(0=LEN(ReferenceData!$Z$29),"",ReferenceData!$Z$29),"")</f>
        <v/>
      </c>
      <c r="AA29" t="str">
        <f ca="1">IFERROR(IF(0=LEN(ReferenceData!$AA$29),"",ReferenceData!$AA$29),"")</f>
        <v/>
      </c>
      <c r="AB29" t="str">
        <f ca="1">IFERROR(IF(0=LEN(ReferenceData!$AB$29),"",ReferenceData!$AB$29),"")</f>
        <v/>
      </c>
      <c r="AC29" t="str">
        <f ca="1">IFERROR(IF(0=LEN(ReferenceData!$AC$29),"",ReferenceData!$AC$29),"")</f>
        <v/>
      </c>
      <c r="AD29" t="str">
        <f ca="1">IFERROR(IF(0=LEN(ReferenceData!$AD$29),"",ReferenceData!$AD$29),"")</f>
        <v/>
      </c>
      <c r="AE29" t="str">
        <f ca="1">IFERROR(IF(0=LEN(ReferenceData!$AE$29),"",ReferenceData!$AE$29),"")</f>
        <v/>
      </c>
      <c r="AF29" t="str">
        <f ca="1">IFERROR(IF(0=LEN(ReferenceData!$AF$29),"",ReferenceData!$AF$29),"")</f>
        <v/>
      </c>
      <c r="AG29" t="str">
        <f ca="1">IFERROR(IF(0=LEN(ReferenceData!$AG$29),"",ReferenceData!$AG$29),"")</f>
        <v/>
      </c>
      <c r="AH29" t="str">
        <f ca="1">IFERROR(IF(0=LEN(ReferenceData!$AH$29),"",ReferenceData!$AH$29),"")</f>
        <v/>
      </c>
      <c r="AI29" t="str">
        <f ca="1">IFERROR(IF(0=LEN(ReferenceData!$AI$29),"",ReferenceData!$AI$29),"")</f>
        <v/>
      </c>
      <c r="AJ29" t="str">
        <f ca="1">IFERROR(IF(0=LEN(ReferenceData!$AJ$29),"",ReferenceData!$AJ$29),"")</f>
        <v/>
      </c>
      <c r="AK29" t="str">
        <f ca="1">IFERROR(IF(0=LEN(ReferenceData!$AK$29),"",ReferenceData!$AK$29),"")</f>
        <v/>
      </c>
      <c r="AL29" t="str">
        <f ca="1">IFERROR(IF(0=LEN(ReferenceData!$AL$29),"",ReferenceData!$AL$29),"")</f>
        <v/>
      </c>
      <c r="AM29" t="str">
        <f ca="1">IFERROR(IF(0=LEN(ReferenceData!$AM$29),"",ReferenceData!$AM$29),"")</f>
        <v/>
      </c>
      <c r="AN29" t="str">
        <f ca="1">IFERROR(IF(0=LEN(ReferenceData!$AN$29),"",ReferenceData!$AN$29),"")</f>
        <v/>
      </c>
      <c r="AO29" t="str">
        <f ca="1">IFERROR(IF(0=LEN(ReferenceData!$AO$29),"",ReferenceData!$AO$29),"")</f>
        <v/>
      </c>
      <c r="AP29" t="str">
        <f ca="1">IFERROR(IF(0=LEN(ReferenceData!$AP$29),"",ReferenceData!$AP$29),"")</f>
        <v/>
      </c>
      <c r="AQ29" t="str">
        <f ca="1">IFERROR(IF(0=LEN(ReferenceData!$AQ$29),"",ReferenceData!$AQ$29),"")</f>
        <v/>
      </c>
      <c r="AR29" t="str">
        <f ca="1">IFERROR(IF(0=LEN(ReferenceData!$AR$29),"",ReferenceData!$AR$29),"")</f>
        <v/>
      </c>
      <c r="AS29" t="str">
        <f ca="1">IFERROR(IF(0=LEN(ReferenceData!$AS$29),"",ReferenceData!$AS$29),"")</f>
        <v/>
      </c>
    </row>
    <row r="30" spans="1:45" x14ac:dyDescent="0.25">
      <c r="A30" t="str">
        <f>IFERROR(IF(0=LEN(ReferenceData!$A$30),"",ReferenceData!$A$30),"")</f>
        <v xml:space="preserve">    PACCAR</v>
      </c>
      <c r="B30" t="str">
        <f>IFERROR(IF(0=LEN(ReferenceData!$B$30),"",ReferenceData!$B$30),"")</f>
        <v>PCAR US Equity</v>
      </c>
      <c r="C30" t="str">
        <f>IFERROR(IF(0=LEN(ReferenceData!$C$30),"",ReferenceData!$C$30),"")</f>
        <v/>
      </c>
      <c r="D30" t="str">
        <f>IFERROR(IF(0=LEN(ReferenceData!$D$30),"",ReferenceData!$D$30),"")</f>
        <v/>
      </c>
      <c r="E30" t="str">
        <f>IFERROR(IF(0=LEN(ReferenceData!$E$30),"",ReferenceData!$E$30),"")</f>
        <v>Sum</v>
      </c>
      <c r="F30">
        <f ca="1">IFERROR(IF(0=LEN(ReferenceData!$F$30),"",ReferenceData!$F$30),"")</f>
        <v>32.602632749999998</v>
      </c>
      <c r="G30">
        <f ca="1">IFERROR(IF(0=LEN(ReferenceData!$G$30),"",ReferenceData!$G$30),"")</f>
        <v>29.959812079999999</v>
      </c>
      <c r="H30">
        <f ca="1">IFERROR(IF(0=LEN(ReferenceData!$H$30),"",ReferenceData!$H$30),"")</f>
        <v>30.222532910000002</v>
      </c>
      <c r="I30">
        <f ca="1">IFERROR(IF(0=LEN(ReferenceData!$I$30),"",ReferenceData!$I$30),"")</f>
        <v>32.767513219999998</v>
      </c>
      <c r="J30">
        <f ca="1">IFERROR(IF(0=LEN(ReferenceData!$J$30),"",ReferenceData!$J$30),"")</f>
        <v>30.681686890000002</v>
      </c>
      <c r="K30">
        <f ca="1">IFERROR(IF(0=LEN(ReferenceData!$K$30),"",ReferenceData!$K$30),"")</f>
        <v>29.960610540000001</v>
      </c>
      <c r="L30">
        <f ca="1">IFERROR(IF(0=LEN(ReferenceData!$L$30),"",ReferenceData!$L$30),"")</f>
        <v>33.304423249999999</v>
      </c>
      <c r="M30">
        <f ca="1">IFERROR(IF(0=LEN(ReferenceData!$M$30),"",ReferenceData!$M$30),"")</f>
        <v>29.094842159999999</v>
      </c>
      <c r="N30">
        <f ca="1">IFERROR(IF(0=LEN(ReferenceData!$N$30),"",ReferenceData!$N$30),"")</f>
        <v>28.098214280000001</v>
      </c>
      <c r="O30">
        <f ca="1">IFERROR(IF(0=LEN(ReferenceData!$O$30),"",ReferenceData!$O$30),"")</f>
        <v>27.86915205</v>
      </c>
      <c r="P30">
        <f ca="1">IFERROR(IF(0=LEN(ReferenceData!$P$30),"",ReferenceData!$P$30),"")</f>
        <v>33.265084139999999</v>
      </c>
      <c r="Q30">
        <f ca="1">IFERROR(IF(0=LEN(ReferenceData!$Q$30),"",ReferenceData!$Q$30),"")</f>
        <v>28.881876210000001</v>
      </c>
      <c r="R30">
        <f ca="1">IFERROR(IF(0=LEN(ReferenceData!$R$30),"",ReferenceData!$R$30),"")</f>
        <v>30.672639150000002</v>
      </c>
      <c r="S30">
        <f ca="1">IFERROR(IF(0=LEN(ReferenceData!$S$30),"",ReferenceData!$S$30),"")</f>
        <v>33.023784070000005</v>
      </c>
      <c r="T30">
        <f ca="1">IFERROR(IF(0=LEN(ReferenceData!$T$30),"",ReferenceData!$T$30),"")</f>
        <v>29.36908129</v>
      </c>
      <c r="U30">
        <f ca="1">IFERROR(IF(0=LEN(ReferenceData!$U$30),"",ReferenceData!$U$30),"")</f>
        <v>32.438764640000002</v>
      </c>
      <c r="V30">
        <f ca="1">IFERROR(IF(0=LEN(ReferenceData!$V$30),"",ReferenceData!$V$30),"")</f>
        <v>27.645199959999999</v>
      </c>
      <c r="W30">
        <f ca="1">IFERROR(IF(0=LEN(ReferenceData!$W$30),"",ReferenceData!$W$30),"")</f>
        <v>28.500462110000001</v>
      </c>
      <c r="X30">
        <f ca="1">IFERROR(IF(0=LEN(ReferenceData!$X$30),"",ReferenceData!$X$30),"")</f>
        <v>29.279143869999999</v>
      </c>
      <c r="Y30">
        <f ca="1">IFERROR(IF(0=LEN(ReferenceData!$Y$30),"",ReferenceData!$Y$30),"")</f>
        <v>26.220425280000001</v>
      </c>
      <c r="Z30">
        <f ca="1">IFERROR(IF(0=LEN(ReferenceData!$Z$30),"",ReferenceData!$Z$30),"")</f>
        <v>27.569916859999999</v>
      </c>
      <c r="AA30">
        <f ca="1">IFERROR(IF(0=LEN(ReferenceData!$AA$30),"",ReferenceData!$AA$30),"")</f>
        <v>23.86356511</v>
      </c>
      <c r="AB30">
        <f ca="1">IFERROR(IF(0=LEN(ReferenceData!$AB$30),"",ReferenceData!$AB$30),"")</f>
        <v>26.1782121</v>
      </c>
      <c r="AC30">
        <f ca="1">IFERROR(IF(0=LEN(ReferenceData!$AC$30),"",ReferenceData!$AC$30),"")</f>
        <v>23.583628416</v>
      </c>
      <c r="AD30">
        <f ca="1">IFERROR(IF(0=LEN(ReferenceData!$AD$30),"",ReferenceData!$AD$30),"")</f>
        <v>26.661819690000002</v>
      </c>
      <c r="AE30">
        <f ca="1">IFERROR(IF(0=LEN(ReferenceData!$AE$30),"",ReferenceData!$AE$30),"")</f>
        <v>29.56430546</v>
      </c>
      <c r="AF30">
        <f ca="1">IFERROR(IF(0=LEN(ReferenceData!$AF$30),"",ReferenceData!$AF$30),"")</f>
        <v>30.155916179999998</v>
      </c>
      <c r="AG30">
        <f ca="1">IFERROR(IF(0=LEN(ReferenceData!$AG$30),"",ReferenceData!$AG$30),"")</f>
        <v>28.048050619999998</v>
      </c>
      <c r="AH30">
        <f ca="1">IFERROR(IF(0=LEN(ReferenceData!$AH$30),"",ReferenceData!$AH$30),"")</f>
        <v>26.29109832</v>
      </c>
      <c r="AI30">
        <f ca="1">IFERROR(IF(0=LEN(ReferenceData!$AI$30),"",ReferenceData!$AI$30),"")</f>
        <v>28.080535670000003</v>
      </c>
      <c r="AJ30">
        <f ca="1">IFERROR(IF(0=LEN(ReferenceData!$AJ$30),"",ReferenceData!$AJ$30),"")</f>
        <v>31.196060269999997</v>
      </c>
      <c r="AK30">
        <f ca="1">IFERROR(IF(0=LEN(ReferenceData!$AK$30),"",ReferenceData!$AK$30),"")</f>
        <v>27.845646690000002</v>
      </c>
      <c r="AL30">
        <f ca="1">IFERROR(IF(0=LEN(ReferenceData!$AL$30),"",ReferenceData!$AL$30),"")</f>
        <v>28.98428732</v>
      </c>
      <c r="AM30">
        <f ca="1">IFERROR(IF(0=LEN(ReferenceData!$AM$30),"",ReferenceData!$AM$30),"")</f>
        <v>25.378460830000002</v>
      </c>
      <c r="AN30">
        <f ca="1">IFERROR(IF(0=LEN(ReferenceData!$AN$30),"",ReferenceData!$AN$30),"")</f>
        <v>27.866889090000001</v>
      </c>
      <c r="AO30">
        <f ca="1">IFERROR(IF(0=LEN(ReferenceData!$AO$30),"",ReferenceData!$AO$30),"")</f>
        <v>31.95259188</v>
      </c>
      <c r="AP30">
        <f ca="1">IFERROR(IF(0=LEN(ReferenceData!$AP$30),"",ReferenceData!$AP$30),"")</f>
        <v>27.814088599999998</v>
      </c>
      <c r="AQ30">
        <f ca="1">IFERROR(IF(0=LEN(ReferenceData!$AQ$30),"",ReferenceData!$AQ$30),"")</f>
        <v>27.75176811</v>
      </c>
      <c r="AR30">
        <f ca="1">IFERROR(IF(0=LEN(ReferenceData!$AR$30),"",ReferenceData!$AR$30),"")</f>
        <v>26.84567178</v>
      </c>
      <c r="AS30">
        <f ca="1">IFERROR(IF(0=LEN(ReferenceData!$AS$30),"",ReferenceData!$AS$30),"")</f>
        <v>27.76565742</v>
      </c>
    </row>
    <row r="31" spans="1:45" x14ac:dyDescent="0.25">
      <c r="A31" t="str">
        <f>IFERROR(IF(0=LEN(ReferenceData!$A$31),"",ReferenceData!$A$31),"")</f>
        <v xml:space="preserve">        Kenworth</v>
      </c>
      <c r="B31" t="str">
        <f>IFERROR(IF(0=LEN(ReferenceData!$B$31),"",ReferenceData!$B$31),"")</f>
        <v>PCAR US Equity</v>
      </c>
      <c r="C31" t="str">
        <f>IFERROR(IF(0=LEN(ReferenceData!$C$31),"",ReferenceData!$C$31),"")</f>
        <v/>
      </c>
      <c r="D31" t="str">
        <f>IFERROR(IF(0=LEN(ReferenceData!$D$31),"",ReferenceData!$D$31),"")</f>
        <v/>
      </c>
      <c r="E31" t="str">
        <f>IFERROR(IF(0=LEN(ReferenceData!$E$31),"",ReferenceData!$E$31),"")</f>
        <v>Expression</v>
      </c>
      <c r="F31">
        <f ca="1">IFERROR(IF(0=LEN(ReferenceData!$F$31),"",ReferenceData!$F$31),"")</f>
        <v>15.445113790000001</v>
      </c>
      <c r="G31">
        <f ca="1">IFERROR(IF(0=LEN(ReferenceData!$G$31),"",ReferenceData!$G$31),"")</f>
        <v>15.22046754</v>
      </c>
      <c r="H31">
        <f ca="1">IFERROR(IF(0=LEN(ReferenceData!$H$31),"",ReferenceData!$H$31),"")</f>
        <v>14.138413140000001</v>
      </c>
      <c r="I31">
        <f ca="1">IFERROR(IF(0=LEN(ReferenceData!$I$31),"",ReferenceData!$I$31),"")</f>
        <v>15.87778286</v>
      </c>
      <c r="J31">
        <f ca="1">IFERROR(IF(0=LEN(ReferenceData!$J$31),"",ReferenceData!$J$31),"")</f>
        <v>14.615829</v>
      </c>
      <c r="K31">
        <f ca="1">IFERROR(IF(0=LEN(ReferenceData!$K$31),"",ReferenceData!$K$31),"")</f>
        <v>14.8572132</v>
      </c>
      <c r="L31">
        <f ca="1">IFERROR(IF(0=LEN(ReferenceData!$L$31),"",ReferenceData!$L$31),"")</f>
        <v>16.789534549999999</v>
      </c>
      <c r="M31">
        <f ca="1">IFERROR(IF(0=LEN(ReferenceData!$M$31),"",ReferenceData!$M$31),"")</f>
        <v>14.27702292</v>
      </c>
      <c r="N31">
        <f ca="1">IFERROR(IF(0=LEN(ReferenceData!$N$31),"",ReferenceData!$N$31),"")</f>
        <v>11.88392857</v>
      </c>
      <c r="O31">
        <f ca="1">IFERROR(IF(0=LEN(ReferenceData!$O$31),"",ReferenceData!$O$31),"")</f>
        <v>10.85526316</v>
      </c>
      <c r="P31">
        <f ca="1">IFERROR(IF(0=LEN(ReferenceData!$P$31),"",ReferenceData!$P$31),"")</f>
        <v>19.70055666</v>
      </c>
      <c r="Q31">
        <f ca="1">IFERROR(IF(0=LEN(ReferenceData!$Q$31),"",ReferenceData!$Q$31),"")</f>
        <v>14.09309331</v>
      </c>
      <c r="R31">
        <f ca="1">IFERROR(IF(0=LEN(ReferenceData!$R$31),"",ReferenceData!$R$31),"")</f>
        <v>15.47951241</v>
      </c>
      <c r="S31">
        <f ca="1">IFERROR(IF(0=LEN(ReferenceData!$S$31),"",ReferenceData!$S$31),"")</f>
        <v>18.646445750000002</v>
      </c>
      <c r="T31">
        <f ca="1">IFERROR(IF(0=LEN(ReferenceData!$T$31),"",ReferenceData!$T$31),"")</f>
        <v>15.471651700000001</v>
      </c>
      <c r="U31">
        <f ca="1">IFERROR(IF(0=LEN(ReferenceData!$U$31),"",ReferenceData!$U$31),"")</f>
        <v>16.563720270000001</v>
      </c>
      <c r="V31">
        <f ca="1">IFERROR(IF(0=LEN(ReferenceData!$V$31),"",ReferenceData!$V$31),"")</f>
        <v>14.934074320000001</v>
      </c>
      <c r="W31">
        <f ca="1">IFERROR(IF(0=LEN(ReferenceData!$W$31),"",ReferenceData!$W$31),"")</f>
        <v>14.943391869999999</v>
      </c>
      <c r="X31">
        <f ca="1">IFERROR(IF(0=LEN(ReferenceData!$X$31),"",ReferenceData!$X$31),"")</f>
        <v>15.258822820000001</v>
      </c>
      <c r="Y31">
        <f ca="1">IFERROR(IF(0=LEN(ReferenceData!$Y$31),"",ReferenceData!$Y$31),"")</f>
        <v>14.60517121</v>
      </c>
      <c r="Z31">
        <f ca="1">IFERROR(IF(0=LEN(ReferenceData!$Z$31),"",ReferenceData!$Z$31),"")</f>
        <v>13.90778534</v>
      </c>
      <c r="AA31">
        <f ca="1">IFERROR(IF(0=LEN(ReferenceData!$AA$31),"",ReferenceData!$AA$31),"")</f>
        <v>10.546115739999999</v>
      </c>
      <c r="AB31">
        <f ca="1">IFERROR(IF(0=LEN(ReferenceData!$AB$31),"",ReferenceData!$AB$31),"")</f>
        <v>14.5332884</v>
      </c>
      <c r="AC31">
        <f ca="1">IFERROR(IF(0=LEN(ReferenceData!$AC$31),"",ReferenceData!$AC$31),"")</f>
        <v>13.91376797</v>
      </c>
      <c r="AD31">
        <f ca="1">IFERROR(IF(0=LEN(ReferenceData!$AD$31),"",ReferenceData!$AD$31),"")</f>
        <v>15.17449107</v>
      </c>
      <c r="AE31">
        <f ca="1">IFERROR(IF(0=LEN(ReferenceData!$AE$31),"",ReferenceData!$AE$31),"")</f>
        <v>16.159786440000001</v>
      </c>
      <c r="AF31">
        <f ca="1">IFERROR(IF(0=LEN(ReferenceData!$AF$31),"",ReferenceData!$AF$31),"")</f>
        <v>16.35528888</v>
      </c>
      <c r="AG31">
        <f ca="1">IFERROR(IF(0=LEN(ReferenceData!$AG$31),"",ReferenceData!$AG$31),"")</f>
        <v>14.902530779999999</v>
      </c>
      <c r="AH31">
        <f ca="1">IFERROR(IF(0=LEN(ReferenceData!$AH$31),"",ReferenceData!$AH$31),"")</f>
        <v>14.720492</v>
      </c>
      <c r="AI31">
        <f ca="1">IFERROR(IF(0=LEN(ReferenceData!$AI$31),"",ReferenceData!$AI$31),"")</f>
        <v>14.623825910000001</v>
      </c>
      <c r="AJ31">
        <f ca="1">IFERROR(IF(0=LEN(ReferenceData!$AJ$31),"",ReferenceData!$AJ$31),"")</f>
        <v>16.660978109999999</v>
      </c>
      <c r="AK31">
        <f ca="1">IFERROR(IF(0=LEN(ReferenceData!$AK$31),"",ReferenceData!$AK$31),"")</f>
        <v>14.31064572</v>
      </c>
      <c r="AL31">
        <f ca="1">IFERROR(IF(0=LEN(ReferenceData!$AL$31),"",ReferenceData!$AL$31),"")</f>
        <v>15.123456790000001</v>
      </c>
      <c r="AM31">
        <f ca="1">IFERROR(IF(0=LEN(ReferenceData!$AM$31),"",ReferenceData!$AM$31),"")</f>
        <v>12.496402460000001</v>
      </c>
      <c r="AN31">
        <f ca="1">IFERROR(IF(0=LEN(ReferenceData!$AN$31),"",ReferenceData!$AN$31),"")</f>
        <v>15.505368069999999</v>
      </c>
      <c r="AO31">
        <f ca="1">IFERROR(IF(0=LEN(ReferenceData!$AO$31),"",ReferenceData!$AO$31),"")</f>
        <v>15.952352449999999</v>
      </c>
      <c r="AP31">
        <f ca="1">IFERROR(IF(0=LEN(ReferenceData!$AP$31),"",ReferenceData!$AP$31),"")</f>
        <v>13.83442266</v>
      </c>
      <c r="AQ31">
        <f ca="1">IFERROR(IF(0=LEN(ReferenceData!$AQ$31),"",ReferenceData!$AQ$31),"")</f>
        <v>13.8460006</v>
      </c>
      <c r="AR31">
        <f ca="1">IFERROR(IF(0=LEN(ReferenceData!$AR$31),"",ReferenceData!$AR$31),"")</f>
        <v>13.420288380000001</v>
      </c>
      <c r="AS31">
        <f ca="1">IFERROR(IF(0=LEN(ReferenceData!$AS$31),"",ReferenceData!$AS$31),"")</f>
        <v>14.356409299999999</v>
      </c>
    </row>
    <row r="32" spans="1:45" x14ac:dyDescent="0.25">
      <c r="A32" t="str">
        <f>IFERROR(IF(0=LEN(ReferenceData!$A$32),"",ReferenceData!$A$32),"")</f>
        <v xml:space="preserve">        Peterbilt</v>
      </c>
      <c r="B32" t="str">
        <f>IFERROR(IF(0=LEN(ReferenceData!$B$32),"",ReferenceData!$B$32),"")</f>
        <v>PCAR US Equity</v>
      </c>
      <c r="C32" t="str">
        <f>IFERROR(IF(0=LEN(ReferenceData!$C$32),"",ReferenceData!$C$32),"")</f>
        <v/>
      </c>
      <c r="D32" t="str">
        <f>IFERROR(IF(0=LEN(ReferenceData!$D$32),"",ReferenceData!$D$32),"")</f>
        <v/>
      </c>
      <c r="E32" t="str">
        <f>IFERROR(IF(0=LEN(ReferenceData!$E$32),"",ReferenceData!$E$32),"")</f>
        <v>Expression</v>
      </c>
      <c r="F32">
        <f ca="1">IFERROR(IF(0=LEN(ReferenceData!$F$32),"",ReferenceData!$F$32),"")</f>
        <v>17.157518960000001</v>
      </c>
      <c r="G32">
        <f ca="1">IFERROR(IF(0=LEN(ReferenceData!$G$32),"",ReferenceData!$G$32),"")</f>
        <v>14.739344539999999</v>
      </c>
      <c r="H32">
        <f ca="1">IFERROR(IF(0=LEN(ReferenceData!$H$32),"",ReferenceData!$H$32),"")</f>
        <v>16.084119770000001</v>
      </c>
      <c r="I32">
        <f ca="1">IFERROR(IF(0=LEN(ReferenceData!$I$32),"",ReferenceData!$I$32),"")</f>
        <v>16.889730360000001</v>
      </c>
      <c r="J32">
        <f ca="1">IFERROR(IF(0=LEN(ReferenceData!$J$32),"",ReferenceData!$J$32),"")</f>
        <v>16.06585789</v>
      </c>
      <c r="K32">
        <f ca="1">IFERROR(IF(0=LEN(ReferenceData!$K$32),"",ReferenceData!$K$32),"")</f>
        <v>15.103397340000001</v>
      </c>
      <c r="L32">
        <f ca="1">IFERROR(IF(0=LEN(ReferenceData!$L$32),"",ReferenceData!$L$32),"")</f>
        <v>16.5148887</v>
      </c>
      <c r="M32">
        <f ca="1">IFERROR(IF(0=LEN(ReferenceData!$M$32),"",ReferenceData!$M$32),"")</f>
        <v>14.81781924</v>
      </c>
      <c r="N32">
        <f ca="1">IFERROR(IF(0=LEN(ReferenceData!$N$32),"",ReferenceData!$N$32),"")</f>
        <v>16.214285709999999</v>
      </c>
      <c r="O32">
        <f ca="1">IFERROR(IF(0=LEN(ReferenceData!$O$32),"",ReferenceData!$O$32),"")</f>
        <v>17.01388889</v>
      </c>
      <c r="P32">
        <f ca="1">IFERROR(IF(0=LEN(ReferenceData!$P$32),"",ReferenceData!$P$32),"")</f>
        <v>13.564527480000001</v>
      </c>
      <c r="Q32">
        <f ca="1">IFERROR(IF(0=LEN(ReferenceData!$Q$32),"",ReferenceData!$Q$32),"")</f>
        <v>14.788782899999999</v>
      </c>
      <c r="R32">
        <f ca="1">IFERROR(IF(0=LEN(ReferenceData!$R$32),"",ReferenceData!$R$32),"")</f>
        <v>15.19312674</v>
      </c>
      <c r="S32">
        <f ca="1">IFERROR(IF(0=LEN(ReferenceData!$S$32),"",ReferenceData!$S$32),"")</f>
        <v>14.37733832</v>
      </c>
      <c r="T32">
        <f ca="1">IFERROR(IF(0=LEN(ReferenceData!$T$32),"",ReferenceData!$T$32),"")</f>
        <v>13.89742959</v>
      </c>
      <c r="U32">
        <f ca="1">IFERROR(IF(0=LEN(ReferenceData!$U$32),"",ReferenceData!$U$32),"")</f>
        <v>15.875044369999999</v>
      </c>
      <c r="V32">
        <f ca="1">IFERROR(IF(0=LEN(ReferenceData!$V$32),"",ReferenceData!$V$32),"")</f>
        <v>12.711125640000001</v>
      </c>
      <c r="W32">
        <f ca="1">IFERROR(IF(0=LEN(ReferenceData!$W$32),"",ReferenceData!$W$32),"")</f>
        <v>13.55707024</v>
      </c>
      <c r="X32">
        <f ca="1">IFERROR(IF(0=LEN(ReferenceData!$X$32),"",ReferenceData!$X$32),"")</f>
        <v>14.02032105</v>
      </c>
      <c r="Y32">
        <f ca="1">IFERROR(IF(0=LEN(ReferenceData!$Y$32),"",ReferenceData!$Y$32),"")</f>
        <v>11.615254070000001</v>
      </c>
      <c r="Z32">
        <f ca="1">IFERROR(IF(0=LEN(ReferenceData!$Z$32),"",ReferenceData!$Z$32),"")</f>
        <v>13.662131520000001</v>
      </c>
      <c r="AA32">
        <f ca="1">IFERROR(IF(0=LEN(ReferenceData!$AA$32),"",ReferenceData!$AA$32),"")</f>
        <v>13.31744937</v>
      </c>
      <c r="AB32">
        <f ca="1">IFERROR(IF(0=LEN(ReferenceData!$AB$32),"",ReferenceData!$AB$32),"")</f>
        <v>11.6449237</v>
      </c>
      <c r="AC32">
        <f ca="1">IFERROR(IF(0=LEN(ReferenceData!$AC$32),"",ReferenceData!$AC$32),"")</f>
        <v>9.6698604459999995</v>
      </c>
      <c r="AD32">
        <f ca="1">IFERROR(IF(0=LEN(ReferenceData!$AD$32),"",ReferenceData!$AD$32),"")</f>
        <v>11.48732862</v>
      </c>
      <c r="AE32">
        <f ca="1">IFERROR(IF(0=LEN(ReferenceData!$AE$32),"",ReferenceData!$AE$32),"")</f>
        <v>13.40451902</v>
      </c>
      <c r="AF32">
        <f ca="1">IFERROR(IF(0=LEN(ReferenceData!$AF$32),"",ReferenceData!$AF$32),"")</f>
        <v>13.8006273</v>
      </c>
      <c r="AG32">
        <f ca="1">IFERROR(IF(0=LEN(ReferenceData!$AG$32),"",ReferenceData!$AG$32),"")</f>
        <v>13.14551984</v>
      </c>
      <c r="AH32">
        <f ca="1">IFERROR(IF(0=LEN(ReferenceData!$AH$32),"",ReferenceData!$AH$32),"")</f>
        <v>11.57060632</v>
      </c>
      <c r="AI32">
        <f ca="1">IFERROR(IF(0=LEN(ReferenceData!$AI$32),"",ReferenceData!$AI$32),"")</f>
        <v>13.456709760000001</v>
      </c>
      <c r="AJ32">
        <f ca="1">IFERROR(IF(0=LEN(ReferenceData!$AJ$32),"",ReferenceData!$AJ$32),"")</f>
        <v>14.53508216</v>
      </c>
      <c r="AK32">
        <f ca="1">IFERROR(IF(0=LEN(ReferenceData!$AK$32),"",ReferenceData!$AK$32),"")</f>
        <v>13.53500097</v>
      </c>
      <c r="AL32">
        <f ca="1">IFERROR(IF(0=LEN(ReferenceData!$AL$32),"",ReferenceData!$AL$32),"")</f>
        <v>13.860830529999999</v>
      </c>
      <c r="AM32">
        <f ca="1">IFERROR(IF(0=LEN(ReferenceData!$AM$32),"",ReferenceData!$AM$32),"")</f>
        <v>12.882058369999999</v>
      </c>
      <c r="AN32">
        <f ca="1">IFERROR(IF(0=LEN(ReferenceData!$AN$32),"",ReferenceData!$AN$32),"")</f>
        <v>12.36152102</v>
      </c>
      <c r="AO32">
        <f ca="1">IFERROR(IF(0=LEN(ReferenceData!$AO$32),"",ReferenceData!$AO$32),"")</f>
        <v>16.000239430000001</v>
      </c>
      <c r="AP32">
        <f ca="1">IFERROR(IF(0=LEN(ReferenceData!$AP$32),"",ReferenceData!$AP$32),"")</f>
        <v>13.97966594</v>
      </c>
      <c r="AQ32">
        <f ca="1">IFERROR(IF(0=LEN(ReferenceData!$AQ$32),"",ReferenceData!$AQ$32),"")</f>
        <v>13.90576751</v>
      </c>
      <c r="AR32">
        <f ca="1">IFERROR(IF(0=LEN(ReferenceData!$AR$32),"",ReferenceData!$AR$32),"")</f>
        <v>13.425383399999999</v>
      </c>
      <c r="AS32">
        <f ca="1">IFERROR(IF(0=LEN(ReferenceData!$AS$32),"",ReferenceData!$AS$32),"")</f>
        <v>13.409248120000001</v>
      </c>
    </row>
    <row r="33" spans="1:45" x14ac:dyDescent="0.25">
      <c r="A33" t="str">
        <f>IFERROR(IF(0=LEN(ReferenceData!$A$33),"",ReferenceData!$A$33),"")</f>
        <v xml:space="preserve">    Volvo</v>
      </c>
      <c r="B33" t="str">
        <f>IFERROR(IF(0=LEN(ReferenceData!$B$33),"",ReferenceData!$B$33),"")</f>
        <v>VOLVB SS Equity</v>
      </c>
      <c r="C33" t="str">
        <f>IFERROR(IF(0=LEN(ReferenceData!$C$33),"",ReferenceData!$C$33),"")</f>
        <v/>
      </c>
      <c r="D33" t="str">
        <f>IFERROR(IF(0=LEN(ReferenceData!$D$33),"",ReferenceData!$D$33),"")</f>
        <v/>
      </c>
      <c r="E33" t="str">
        <f>IFERROR(IF(0=LEN(ReferenceData!$E$33),"",ReferenceData!$E$33),"")</f>
        <v>Sum</v>
      </c>
      <c r="F33">
        <f ca="1">IFERROR(IF(0=LEN(ReferenceData!$F$33),"",ReferenceData!$F$33),"")</f>
        <v>14.296073181000001</v>
      </c>
      <c r="G33">
        <f ca="1">IFERROR(IF(0=LEN(ReferenceData!$G$33),"",ReferenceData!$G$33),"")</f>
        <v>15.260089432000001</v>
      </c>
      <c r="H33">
        <f ca="1">IFERROR(IF(0=LEN(ReferenceData!$H$33),"",ReferenceData!$H$33),"")</f>
        <v>16.806477921999999</v>
      </c>
      <c r="I33">
        <f ca="1">IFERROR(IF(0=LEN(ReferenceData!$I$33),"",ReferenceData!$I$33),"")</f>
        <v>15.819024613</v>
      </c>
      <c r="J33">
        <f ca="1">IFERROR(IF(0=LEN(ReferenceData!$J$33),"",ReferenceData!$J$33),"")</f>
        <v>19.607163491000001</v>
      </c>
      <c r="K33">
        <f ca="1">IFERROR(IF(0=LEN(ReferenceData!$K$33),"",ReferenceData!$K$33),"")</f>
        <v>15.552683407</v>
      </c>
      <c r="L33">
        <f ca="1">IFERROR(IF(0=LEN(ReferenceData!$L$33),"",ReferenceData!$L$33),"")</f>
        <v>16.529343740999998</v>
      </c>
      <c r="M33">
        <f ca="1">IFERROR(IF(0=LEN(ReferenceData!$M$33),"",ReferenceData!$M$33),"")</f>
        <v>22.294328399999998</v>
      </c>
      <c r="N33">
        <f ca="1">IFERROR(IF(0=LEN(ReferenceData!$N$33),"",ReferenceData!$N$33),"")</f>
        <v>19.223214286000001</v>
      </c>
      <c r="O33">
        <f ca="1">IFERROR(IF(0=LEN(ReferenceData!$O$33),"",ReferenceData!$O$33),"")</f>
        <v>20.540935674</v>
      </c>
      <c r="P33">
        <f ca="1">IFERROR(IF(0=LEN(ReferenceData!$P$33),"",ReferenceData!$P$33),"")</f>
        <v>27.237827110000001</v>
      </c>
      <c r="Q33">
        <f ca="1">IFERROR(IF(0=LEN(ReferenceData!$Q$33),"",ReferenceData!$Q$33),"")</f>
        <v>18.267230868999999</v>
      </c>
      <c r="R33">
        <f ca="1">IFERROR(IF(0=LEN(ReferenceData!$R$33),"",ReferenceData!$R$33),"")</f>
        <v>18.769275958999998</v>
      </c>
      <c r="S33">
        <f ca="1">IFERROR(IF(0=LEN(ReferenceData!$S$33),"",ReferenceData!$S$33),"")</f>
        <v>19.568412611999999</v>
      </c>
      <c r="T33">
        <f ca="1">IFERROR(IF(0=LEN(ReferenceData!$T$33),"",ReferenceData!$T$33),"")</f>
        <v>18.374123726000001</v>
      </c>
      <c r="U33">
        <f ca="1">IFERROR(IF(0=LEN(ReferenceData!$U$33),"",ReferenceData!$U$33),"")</f>
        <v>20.816471427</v>
      </c>
      <c r="V33">
        <f ca="1">IFERROR(IF(0=LEN(ReferenceData!$V$33),"",ReferenceData!$V$33),"")</f>
        <v>24.626784350000001</v>
      </c>
      <c r="W33">
        <f ca="1">IFERROR(IF(0=LEN(ReferenceData!$W$33),"",ReferenceData!$W$33),"")</f>
        <v>18.201247692999999</v>
      </c>
      <c r="X33">
        <f ca="1">IFERROR(IF(0=LEN(ReferenceData!$X$33),"",ReferenceData!$X$33),"")</f>
        <v>18.168700771000001</v>
      </c>
      <c r="Y33">
        <f ca="1">IFERROR(IF(0=LEN(ReferenceData!$Y$33),"",ReferenceData!$Y$33),"")</f>
        <v>16.901267845</v>
      </c>
      <c r="Z33">
        <f ca="1">IFERROR(IF(0=LEN(ReferenceData!$Z$33),"",ReferenceData!$Z$33),"")</f>
        <v>19.790879312000001</v>
      </c>
      <c r="AA33">
        <f ca="1">IFERROR(IF(0=LEN(ReferenceData!$AA$33),"",ReferenceData!$AA$33),"")</f>
        <v>14.207787322000001</v>
      </c>
      <c r="AB33">
        <f ca="1">IFERROR(IF(0=LEN(ReferenceData!$AB$33),"",ReferenceData!$AB$33),"")</f>
        <v>27.651278100000003</v>
      </c>
      <c r="AC33">
        <f ca="1">IFERROR(IF(0=LEN(ReferenceData!$AC$33),"",ReferenceData!$AC$33),"")</f>
        <v>19.074151219000001</v>
      </c>
      <c r="AD33">
        <f ca="1">IFERROR(IF(0=LEN(ReferenceData!$AD$33),"",ReferenceData!$AD$33),"")</f>
        <v>18.368300787999999</v>
      </c>
      <c r="AE33">
        <f ca="1">IFERROR(IF(0=LEN(ReferenceData!$AE$33),"",ReferenceData!$AE$33),"")</f>
        <v>19.458480317000003</v>
      </c>
      <c r="AF33">
        <f ca="1">IFERROR(IF(0=LEN(ReferenceData!$AF$33),"",ReferenceData!$AF$33),"")</f>
        <v>19.382699217999999</v>
      </c>
      <c r="AG33">
        <f ca="1">IFERROR(IF(0=LEN(ReferenceData!$AG$33),"",ReferenceData!$AG$33),"")</f>
        <v>18.826949388999999</v>
      </c>
      <c r="AH33">
        <f ca="1">IFERROR(IF(0=LEN(ReferenceData!$AH$33),"",ReferenceData!$AH$33),"")</f>
        <v>21.371126703999998</v>
      </c>
      <c r="AI33">
        <f ca="1">IFERROR(IF(0=LEN(ReferenceData!$AI$33),"",ReferenceData!$AI$33),"")</f>
        <v>20.538454388999998</v>
      </c>
      <c r="AJ33">
        <f ca="1">IFERROR(IF(0=LEN(ReferenceData!$AJ$33),"",ReferenceData!$AJ$33),"")</f>
        <v>21.741674387</v>
      </c>
      <c r="AK33">
        <f ca="1">IFERROR(IF(0=LEN(ReferenceData!$AK$33),"",ReferenceData!$AK$33),"")</f>
        <v>22.430676754</v>
      </c>
      <c r="AL33">
        <f ca="1">IFERROR(IF(0=LEN(ReferenceData!$AL$33),"",ReferenceData!$AL$33),"")</f>
        <v>19.175084177999999</v>
      </c>
      <c r="AM33">
        <f ca="1">IFERROR(IF(0=LEN(ReferenceData!$AM$33),"",ReferenceData!$AM$33),"")</f>
        <v>15.662234502</v>
      </c>
      <c r="AN33">
        <f ca="1">IFERROR(IF(0=LEN(ReferenceData!$AN$33),"",ReferenceData!$AN$33),"")</f>
        <v>24.611831129999999</v>
      </c>
      <c r="AO33">
        <f ca="1">IFERROR(IF(0=LEN(ReferenceData!$AO$33),"",ReferenceData!$AO$33),"")</f>
        <v>21.597031010000002</v>
      </c>
      <c r="AP33">
        <f ca="1">IFERROR(IF(0=LEN(ReferenceData!$AP$33),"",ReferenceData!$AP$33),"")</f>
        <v>17.633442264999999</v>
      </c>
      <c r="AQ33">
        <f ca="1">IFERROR(IF(0=LEN(ReferenceData!$AQ$33),"",ReferenceData!$AQ$33),"")</f>
        <v>20.584719589999999</v>
      </c>
      <c r="AR33">
        <f ca="1">IFERROR(IF(0=LEN(ReferenceData!$AR$33),"",ReferenceData!$AR$33),"")</f>
        <v>21.337952817999998</v>
      </c>
      <c r="AS33">
        <f ca="1">IFERROR(IF(0=LEN(ReferenceData!$AS$33),"",ReferenceData!$AS$33),"")</f>
        <v>20.23625818</v>
      </c>
    </row>
    <row r="34" spans="1:45" x14ac:dyDescent="0.25">
      <c r="A34" t="str">
        <f>IFERROR(IF(0=LEN(ReferenceData!$A$34),"",ReferenceData!$A$34),"")</f>
        <v xml:space="preserve">        Volvo Truck</v>
      </c>
      <c r="B34" t="str">
        <f>IFERROR(IF(0=LEN(ReferenceData!$B$34),"",ReferenceData!$B$34),"")</f>
        <v>VOLVB SS Equity</v>
      </c>
      <c r="C34" t="str">
        <f>IFERROR(IF(0=LEN(ReferenceData!$C$34),"",ReferenceData!$C$34),"")</f>
        <v/>
      </c>
      <c r="D34" t="str">
        <f>IFERROR(IF(0=LEN(ReferenceData!$D$34),"",ReferenceData!$D$34),"")</f>
        <v/>
      </c>
      <c r="E34" t="str">
        <f>IFERROR(IF(0=LEN(ReferenceData!$E$34),"",ReferenceData!$E$34),"")</f>
        <v>Expression</v>
      </c>
      <c r="F34">
        <f ca="1">IFERROR(IF(0=LEN(ReferenceData!$F$34),"",ReferenceData!$F$34),"")</f>
        <v>8.3668005349999994</v>
      </c>
      <c r="G34">
        <f ca="1">IFERROR(IF(0=LEN(ReferenceData!$G$34),"",ReferenceData!$G$34),"")</f>
        <v>7.8338144559999998</v>
      </c>
      <c r="H34">
        <f ca="1">IFERROR(IF(0=LEN(ReferenceData!$H$34),"",ReferenceData!$H$34),"")</f>
        <v>8.8139345220000003</v>
      </c>
      <c r="I34">
        <f ca="1">IFERROR(IF(0=LEN(ReferenceData!$I$34),"",ReferenceData!$I$34),"")</f>
        <v>8.3697852059999995</v>
      </c>
      <c r="J34">
        <f ca="1">IFERROR(IF(0=LEN(ReferenceData!$J$34),"",ReferenceData!$J$34),"")</f>
        <v>9.4165222409999991</v>
      </c>
      <c r="K34">
        <f ca="1">IFERROR(IF(0=LEN(ReferenceData!$K$34),"",ReferenceData!$K$34),"")</f>
        <v>8.3148695220000004</v>
      </c>
      <c r="L34">
        <f ca="1">IFERROR(IF(0=LEN(ReferenceData!$L$34),"",ReferenceData!$L$34),"")</f>
        <v>8.8609424689999994</v>
      </c>
      <c r="M34">
        <f ca="1">IFERROR(IF(0=LEN(ReferenceData!$M$34),"",ReferenceData!$M$34),"")</f>
        <v>11.08632461</v>
      </c>
      <c r="N34">
        <f ca="1">IFERROR(IF(0=LEN(ReferenceData!$N$34),"",ReferenceData!$N$34),"")</f>
        <v>9.3571428569999995</v>
      </c>
      <c r="O34">
        <f ca="1">IFERROR(IF(0=LEN(ReferenceData!$O$34),"",ReferenceData!$O$34),"")</f>
        <v>10.76388889</v>
      </c>
      <c r="P34">
        <f ca="1">IFERROR(IF(0=LEN(ReferenceData!$P$34),"",ReferenceData!$P$34),"")</f>
        <v>15.061744190000001</v>
      </c>
      <c r="Q34">
        <f ca="1">IFERROR(IF(0=LEN(ReferenceData!$Q$34),"",ReferenceData!$Q$34),"")</f>
        <v>10.406655669999999</v>
      </c>
      <c r="R34">
        <f ca="1">IFERROR(IF(0=LEN(ReferenceData!$R$34),"",ReferenceData!$R$34),"")</f>
        <v>10.383316199999999</v>
      </c>
      <c r="S34">
        <f ca="1">IFERROR(IF(0=LEN(ReferenceData!$S$34),"",ReferenceData!$S$34),"")</f>
        <v>10.40219134</v>
      </c>
      <c r="T34">
        <f ca="1">IFERROR(IF(0=LEN(ReferenceData!$T$34),"",ReferenceData!$T$34),"")</f>
        <v>10.429221500000001</v>
      </c>
      <c r="U34">
        <f ca="1">IFERROR(IF(0=LEN(ReferenceData!$U$34),"",ReferenceData!$U$34),"")</f>
        <v>11.089811859999999</v>
      </c>
      <c r="V34">
        <f ca="1">IFERROR(IF(0=LEN(ReferenceData!$V$34),"",ReferenceData!$V$34),"")</f>
        <v>13.430314920000001</v>
      </c>
      <c r="W34">
        <f ca="1">IFERROR(IF(0=LEN(ReferenceData!$W$34),"",ReferenceData!$W$34),"")</f>
        <v>10.253003700000001</v>
      </c>
      <c r="X34">
        <f ca="1">IFERROR(IF(0=LEN(ReferenceData!$X$34),"",ReferenceData!$X$34),"")</f>
        <v>10.9902002</v>
      </c>
      <c r="Y34">
        <f ca="1">IFERROR(IF(0=LEN(ReferenceData!$Y$34),"",ReferenceData!$Y$34),"")</f>
        <v>7.3275431769999999</v>
      </c>
      <c r="Z34">
        <f ca="1">IFERROR(IF(0=LEN(ReferenceData!$Z$34),"",ReferenceData!$Z$34),"")</f>
        <v>11.89216427</v>
      </c>
      <c r="AA34">
        <f ca="1">IFERROR(IF(0=LEN(ReferenceData!$AA$34),"",ReferenceData!$AA$34),"")</f>
        <v>6.8029343530000004</v>
      </c>
      <c r="AB34">
        <f ca="1">IFERROR(IF(0=LEN(ReferenceData!$AB$34),"",ReferenceData!$AB$34),"")</f>
        <v>16.338516340000002</v>
      </c>
      <c r="AC34">
        <f ca="1">IFERROR(IF(0=LEN(ReferenceData!$AC$34),"",ReferenceData!$AC$34),"")</f>
        <v>11.414288689999999</v>
      </c>
      <c r="AD34">
        <f ca="1">IFERROR(IF(0=LEN(ReferenceData!$AD$34),"",ReferenceData!$AD$34),"")</f>
        <v>12.032613209999999</v>
      </c>
      <c r="AE34">
        <f ca="1">IFERROR(IF(0=LEN(ReferenceData!$AE$34),"",ReferenceData!$AE$34),"")</f>
        <v>10.830393750000001</v>
      </c>
      <c r="AF34">
        <f ca="1">IFERROR(IF(0=LEN(ReferenceData!$AF$34),"",ReferenceData!$AF$34),"")</f>
        <v>11.36415292</v>
      </c>
      <c r="AG34">
        <f ca="1">IFERROR(IF(0=LEN(ReferenceData!$AG$34),"",ReferenceData!$AG$34),"")</f>
        <v>11.354309170000001</v>
      </c>
      <c r="AH34">
        <f ca="1">IFERROR(IF(0=LEN(ReferenceData!$AH$34),"",ReferenceData!$AH$34),"")</f>
        <v>12.91492549</v>
      </c>
      <c r="AI34">
        <f ca="1">IFERROR(IF(0=LEN(ReferenceData!$AI$34),"",ReferenceData!$AI$34),"")</f>
        <v>13.014972569999999</v>
      </c>
      <c r="AJ34">
        <f ca="1">IFERROR(IF(0=LEN(ReferenceData!$AJ$34),"",ReferenceData!$AJ$34),"")</f>
        <v>13.223462870000001</v>
      </c>
      <c r="AK34">
        <f ca="1">IFERROR(IF(0=LEN(ReferenceData!$AK$34),"",ReferenceData!$AK$34),"")</f>
        <v>13.932518910000001</v>
      </c>
      <c r="AL34">
        <f ca="1">IFERROR(IF(0=LEN(ReferenceData!$AL$34),"",ReferenceData!$AL$34),"")</f>
        <v>12.407407409999999</v>
      </c>
      <c r="AM34">
        <f ca="1">IFERROR(IF(0=LEN(ReferenceData!$AM$34),"",ReferenceData!$AM$34),"")</f>
        <v>9.9407125999999995</v>
      </c>
      <c r="AN34">
        <f ca="1">IFERROR(IF(0=LEN(ReferenceData!$AN$34),"",ReferenceData!$AN$34),"")</f>
        <v>12.5283374</v>
      </c>
      <c r="AO34">
        <f ca="1">IFERROR(IF(0=LEN(ReferenceData!$AO$34),"",ReferenceData!$AO$34),"")</f>
        <v>11.397102840000001</v>
      </c>
      <c r="AP34">
        <f ca="1">IFERROR(IF(0=LEN(ReferenceData!$AP$34),"",ReferenceData!$AP$34),"")</f>
        <v>10.79339143</v>
      </c>
      <c r="AQ34">
        <f ca="1">IFERROR(IF(0=LEN(ReferenceData!$AQ$34),"",ReferenceData!$AQ$34),"")</f>
        <v>12.336886140000001</v>
      </c>
      <c r="AR34">
        <f ca="1">IFERROR(IF(0=LEN(ReferenceData!$AR$34),"",ReferenceData!$AR$34),"")</f>
        <v>11.85102155</v>
      </c>
      <c r="AS34">
        <f ca="1">IFERROR(IF(0=LEN(ReferenceData!$AS$34),"",ReferenceData!$AS$34),"")</f>
        <v>10.2697813</v>
      </c>
    </row>
    <row r="35" spans="1:45" x14ac:dyDescent="0.25">
      <c r="A35" t="str">
        <f>IFERROR(IF(0=LEN(ReferenceData!$A$35),"",ReferenceData!$A$35),"")</f>
        <v xml:space="preserve">        Mack</v>
      </c>
      <c r="B35" t="str">
        <f>IFERROR(IF(0=LEN(ReferenceData!$B$35),"",ReferenceData!$B$35),"")</f>
        <v>VOLVB SS Equity</v>
      </c>
      <c r="C35" t="str">
        <f>IFERROR(IF(0=LEN(ReferenceData!$C$35),"",ReferenceData!$C$35),"")</f>
        <v/>
      </c>
      <c r="D35" t="str">
        <f>IFERROR(IF(0=LEN(ReferenceData!$D$35),"",ReferenceData!$D$35),"")</f>
        <v/>
      </c>
      <c r="E35" t="str">
        <f>IFERROR(IF(0=LEN(ReferenceData!$E$35),"",ReferenceData!$E$35),"")</f>
        <v>Expression</v>
      </c>
      <c r="F35">
        <f ca="1">IFERROR(IF(0=LEN(ReferenceData!$F$35),"",ReferenceData!$F$35),"")</f>
        <v>5.9292726460000003</v>
      </c>
      <c r="G35">
        <f ca="1">IFERROR(IF(0=LEN(ReferenceData!$G$35),"",ReferenceData!$G$35),"")</f>
        <v>7.4262749760000002</v>
      </c>
      <c r="H35">
        <f ca="1">IFERROR(IF(0=LEN(ReferenceData!$H$35),"",ReferenceData!$H$35),"")</f>
        <v>7.9925433999999997</v>
      </c>
      <c r="I35">
        <f ca="1">IFERROR(IF(0=LEN(ReferenceData!$I$35),"",ReferenceData!$I$35),"")</f>
        <v>7.4492394070000003</v>
      </c>
      <c r="J35">
        <f ca="1">IFERROR(IF(0=LEN(ReferenceData!$J$35),"",ReferenceData!$J$35),"")</f>
        <v>10.190641250000001</v>
      </c>
      <c r="K35">
        <f ca="1">IFERROR(IF(0=LEN(ReferenceData!$K$35),"",ReferenceData!$K$35),"")</f>
        <v>7.2378138849999996</v>
      </c>
      <c r="L35">
        <f ca="1">IFERROR(IF(0=LEN(ReferenceData!$L$35),"",ReferenceData!$L$35),"")</f>
        <v>7.6684012719999997</v>
      </c>
      <c r="M35">
        <f ca="1">IFERROR(IF(0=LEN(ReferenceData!$M$35),"",ReferenceData!$M$35),"")</f>
        <v>11.208003789999999</v>
      </c>
      <c r="N35">
        <f ca="1">IFERROR(IF(0=LEN(ReferenceData!$N$35),"",ReferenceData!$N$35),"")</f>
        <v>9.8660714289999998</v>
      </c>
      <c r="O35">
        <f ca="1">IFERROR(IF(0=LEN(ReferenceData!$O$35),"",ReferenceData!$O$35),"")</f>
        <v>9.7770467839999995</v>
      </c>
      <c r="P35">
        <f ca="1">IFERROR(IF(0=LEN(ReferenceData!$P$35),"",ReferenceData!$P$35),"")</f>
        <v>12.176082920000001</v>
      </c>
      <c r="Q35">
        <f ca="1">IFERROR(IF(0=LEN(ReferenceData!$Q$35),"",ReferenceData!$Q$35),"")</f>
        <v>7.8605751990000003</v>
      </c>
      <c r="R35">
        <f ca="1">IFERROR(IF(0=LEN(ReferenceData!$R$35),"",ReferenceData!$R$35),"")</f>
        <v>8.3859597590000003</v>
      </c>
      <c r="S35">
        <f ca="1">IFERROR(IF(0=LEN(ReferenceData!$S$35),"",ReferenceData!$S$35),"")</f>
        <v>9.1662212719999996</v>
      </c>
      <c r="T35">
        <f ca="1">IFERROR(IF(0=LEN(ReferenceData!$T$35),"",ReferenceData!$T$35),"")</f>
        <v>7.944902226</v>
      </c>
      <c r="U35">
        <f ca="1">IFERROR(IF(0=LEN(ReferenceData!$U$35),"",ReferenceData!$U$35),"")</f>
        <v>9.7266595670000005</v>
      </c>
      <c r="V35">
        <f ca="1">IFERROR(IF(0=LEN(ReferenceData!$V$35),"",ReferenceData!$V$35),"")</f>
        <v>11.196469430000001</v>
      </c>
      <c r="W35">
        <f ca="1">IFERROR(IF(0=LEN(ReferenceData!$W$35),"",ReferenceData!$W$35),"")</f>
        <v>7.9482439930000002</v>
      </c>
      <c r="X35">
        <f ca="1">IFERROR(IF(0=LEN(ReferenceData!$X$35),"",ReferenceData!$X$35),"")</f>
        <v>7.1785005709999998</v>
      </c>
      <c r="Y35">
        <f ca="1">IFERROR(IF(0=LEN(ReferenceData!$Y$35),"",ReferenceData!$Y$35),"")</f>
        <v>9.5737246680000005</v>
      </c>
      <c r="Z35">
        <f ca="1">IFERROR(IF(0=LEN(ReferenceData!$Z$35),"",ReferenceData!$Z$35),"")</f>
        <v>7.8987150420000001</v>
      </c>
      <c r="AA35">
        <f ca="1">IFERROR(IF(0=LEN(ReferenceData!$AA$35),"",ReferenceData!$AA$35),"")</f>
        <v>7.4048529690000002</v>
      </c>
      <c r="AB35">
        <f ca="1">IFERROR(IF(0=LEN(ReferenceData!$AB$35),"",ReferenceData!$AB$35),"")</f>
        <v>11.312761760000001</v>
      </c>
      <c r="AC35">
        <f ca="1">IFERROR(IF(0=LEN(ReferenceData!$AC$35),"",ReferenceData!$AC$35),"")</f>
        <v>7.6598625289999998</v>
      </c>
      <c r="AD35">
        <f ca="1">IFERROR(IF(0=LEN(ReferenceData!$AD$35),"",ReferenceData!$AD$35),"")</f>
        <v>6.3356875779999999</v>
      </c>
      <c r="AE35">
        <f ca="1">IFERROR(IF(0=LEN(ReferenceData!$AE$35),"",ReferenceData!$AE$35),"")</f>
        <v>8.6280865670000004</v>
      </c>
      <c r="AF35">
        <f ca="1">IFERROR(IF(0=LEN(ReferenceData!$AF$35),"",ReferenceData!$AF$35),"")</f>
        <v>8.0185462980000004</v>
      </c>
      <c r="AG35">
        <f ca="1">IFERROR(IF(0=LEN(ReferenceData!$AG$35),"",ReferenceData!$AG$35),"")</f>
        <v>7.4726402189999996</v>
      </c>
      <c r="AH35">
        <f ca="1">IFERROR(IF(0=LEN(ReferenceData!$AH$35),"",ReferenceData!$AH$35),"")</f>
        <v>8.456201214</v>
      </c>
      <c r="AI35">
        <f ca="1">IFERROR(IF(0=LEN(ReferenceData!$AI$35),"",ReferenceData!$AI$35),"")</f>
        <v>7.5234818189999997</v>
      </c>
      <c r="AJ35">
        <f ca="1">IFERROR(IF(0=LEN(ReferenceData!$AJ$35),"",ReferenceData!$AJ$35),"")</f>
        <v>8.5182115169999992</v>
      </c>
      <c r="AK35">
        <f ca="1">IFERROR(IF(0=LEN(ReferenceData!$AK$35),"",ReferenceData!$AK$35),"")</f>
        <v>8.4981578439999996</v>
      </c>
      <c r="AL35">
        <f ca="1">IFERROR(IF(0=LEN(ReferenceData!$AL$35),"",ReferenceData!$AL$35),"")</f>
        <v>6.7676767680000003</v>
      </c>
      <c r="AM35">
        <f ca="1">IFERROR(IF(0=LEN(ReferenceData!$AM$35),"",ReferenceData!$AM$35),"")</f>
        <v>5.7215219020000001</v>
      </c>
      <c r="AN35">
        <f ca="1">IFERROR(IF(0=LEN(ReferenceData!$AN$35),"",ReferenceData!$AN$35),"")</f>
        <v>12.083493730000001</v>
      </c>
      <c r="AO35">
        <f ca="1">IFERROR(IF(0=LEN(ReferenceData!$AO$35),"",ReferenceData!$AO$35),"")</f>
        <v>10.19992817</v>
      </c>
      <c r="AP35">
        <f ca="1">IFERROR(IF(0=LEN(ReferenceData!$AP$35),"",ReferenceData!$AP$35),"")</f>
        <v>6.8400508350000004</v>
      </c>
      <c r="AQ35">
        <f ca="1">IFERROR(IF(0=LEN(ReferenceData!$AQ$35),"",ReferenceData!$AQ$35),"")</f>
        <v>8.2478334499999999</v>
      </c>
      <c r="AR35">
        <f ca="1">IFERROR(IF(0=LEN(ReferenceData!$AR$35),"",ReferenceData!$AR$35),"")</f>
        <v>9.4869312679999993</v>
      </c>
      <c r="AS35">
        <f ca="1">IFERROR(IF(0=LEN(ReferenceData!$AS$35),"",ReferenceData!$AS$35),"")</f>
        <v>9.9664768800000001</v>
      </c>
    </row>
    <row r="36" spans="1:45" x14ac:dyDescent="0.25">
      <c r="A36" t="str">
        <f>IFERROR(IF(0=LEN(ReferenceData!$A$36),"",ReferenceData!$A$36),"")</f>
        <v xml:space="preserve">    Navistar</v>
      </c>
      <c r="B36" t="str">
        <f>IFERROR(IF(0=LEN(ReferenceData!$B$36),"",ReferenceData!$B$36),"")</f>
        <v>NAV US Equity</v>
      </c>
      <c r="C36" t="str">
        <f>IFERROR(IF(0=LEN(ReferenceData!$C$36),"",ReferenceData!$C$36),"")</f>
        <v/>
      </c>
      <c r="D36" t="str">
        <f>IFERROR(IF(0=LEN(ReferenceData!$D$36),"",ReferenceData!$D$36),"")</f>
        <v/>
      </c>
      <c r="E36" t="str">
        <f>IFERROR(IF(0=LEN(ReferenceData!$E$36),"",ReferenceData!$E$36),"")</f>
        <v>Sum</v>
      </c>
      <c r="F36">
        <f ca="1">IFERROR(IF(0=LEN(ReferenceData!$F$36),"",ReferenceData!$F$36),"")</f>
        <v>15.623605530000001</v>
      </c>
      <c r="G36">
        <f ca="1">IFERROR(IF(0=LEN(ReferenceData!$G$36),"",ReferenceData!$G$36),"")</f>
        <v>11.29223977</v>
      </c>
      <c r="H36">
        <f ca="1">IFERROR(IF(0=LEN(ReferenceData!$H$36),"",ReferenceData!$H$36),"")</f>
        <v>16.025865079999999</v>
      </c>
      <c r="I36">
        <f ca="1">IFERROR(IF(0=LEN(ReferenceData!$I$36),"",ReferenceData!$I$36),"")</f>
        <v>10.609127109999999</v>
      </c>
      <c r="J36">
        <f ca="1">IFERROR(IF(0=LEN(ReferenceData!$J$36),"",ReferenceData!$J$36),"")</f>
        <v>9.8786828419999999</v>
      </c>
      <c r="K36">
        <f ca="1">IFERROR(IF(0=LEN(ReferenceData!$K$36),"",ReferenceData!$K$36),"")</f>
        <v>9.4596257999999995</v>
      </c>
      <c r="L36">
        <f ca="1">IFERROR(IF(0=LEN(ReferenceData!$L$36),"",ReferenceData!$L$36),"")</f>
        <v>11.094246890000001</v>
      </c>
      <c r="M36">
        <f ca="1">IFERROR(IF(0=LEN(ReferenceData!$M$36),"",ReferenceData!$M$36),"")</f>
        <v>9.5991347260000008</v>
      </c>
      <c r="N36">
        <f ca="1">IFERROR(IF(0=LEN(ReferenceData!$N$36),"",ReferenceData!$N$36),"")</f>
        <v>11.66071429</v>
      </c>
      <c r="O36">
        <f ca="1">IFERROR(IF(0=LEN(ReferenceData!$O$36),"",ReferenceData!$O$36),"")</f>
        <v>11.81469298</v>
      </c>
      <c r="P36">
        <f ca="1">IFERROR(IF(0=LEN(ReferenceData!$P$36),"",ReferenceData!$P$36),"")</f>
        <v>8.1195214030000002</v>
      </c>
      <c r="Q36">
        <f ca="1">IFERROR(IF(0=LEN(ReferenceData!$Q$36),"",ReferenceData!$Q$36),"")</f>
        <v>10.169977769999999</v>
      </c>
      <c r="R36">
        <f ca="1">IFERROR(IF(0=LEN(ReferenceData!$R$36),"",ReferenceData!$R$36),"")</f>
        <v>16.066970189999999</v>
      </c>
      <c r="S36">
        <f ca="1">IFERROR(IF(0=LEN(ReferenceData!$S$36),"",ReferenceData!$S$36),"")</f>
        <v>10.742918230000001</v>
      </c>
      <c r="T36">
        <f ca="1">IFERROR(IF(0=LEN(ReferenceData!$T$36),"",ReferenceData!$T$36),"")</f>
        <v>12.095683190000001</v>
      </c>
      <c r="U36">
        <f ca="1">IFERROR(IF(0=LEN(ReferenceData!$U$36),"",ReferenceData!$U$36),"")</f>
        <v>9.0592829249999998</v>
      </c>
      <c r="V36">
        <f ca="1">IFERROR(IF(0=LEN(ReferenceData!$V$36),"",ReferenceData!$V$36),"")</f>
        <v>8.4559224149999999</v>
      </c>
      <c r="W36">
        <f ca="1">IFERROR(IF(0=LEN(ReferenceData!$W$36),"",ReferenceData!$W$36),"")</f>
        <v>10.06816081</v>
      </c>
      <c r="X36">
        <f ca="1">IFERROR(IF(0=LEN(ReferenceData!$X$36),"",ReferenceData!$X$36),"")</f>
        <v>11.380989599999999</v>
      </c>
      <c r="Y36">
        <f ca="1">IFERROR(IF(0=LEN(ReferenceData!$Y$36),"",ReferenceData!$Y$36),"")</f>
        <v>11.750024959999999</v>
      </c>
      <c r="Z36">
        <f ca="1">IFERROR(IF(0=LEN(ReferenceData!$Z$36),"",ReferenceData!$Z$36),"")</f>
        <v>9.4419249179999998</v>
      </c>
      <c r="AA36">
        <f ca="1">IFERROR(IF(0=LEN(ReferenceData!$AA$36),"",ReferenceData!$AA$36),"")</f>
        <v>16.333312429999999</v>
      </c>
      <c r="AB36">
        <f ca="1">IFERROR(IF(0=LEN(ReferenceData!$AB$36),"",ReferenceData!$AB$36),"")</f>
        <v>10.426996580000001</v>
      </c>
      <c r="AC36">
        <f ca="1">IFERROR(IF(0=LEN(ReferenceData!$AC$36),"",ReferenceData!$AC$36),"")</f>
        <v>7.3942928559999999</v>
      </c>
      <c r="AD36">
        <f ca="1">IFERROR(IF(0=LEN(ReferenceData!$AD$36),"",ReferenceData!$AD$36),"")</f>
        <v>11.191316990000001</v>
      </c>
      <c r="AE36">
        <f ca="1">IFERROR(IF(0=LEN(ReferenceData!$AE$36),"",ReferenceData!$AE$36),"")</f>
        <v>10.91619792</v>
      </c>
      <c r="AF36">
        <f ca="1">IFERROR(IF(0=LEN(ReferenceData!$AF$36),"",ReferenceData!$AF$36),"")</f>
        <v>10.94595209</v>
      </c>
      <c r="AG36">
        <f ca="1">IFERROR(IF(0=LEN(ReferenceData!$AG$36),"",ReferenceData!$AG$36),"")</f>
        <v>12.58977428</v>
      </c>
      <c r="AH36">
        <f ca="1">IFERROR(IF(0=LEN(ReferenceData!$AH$36),"",ReferenceData!$AH$36),"")</f>
        <v>13.16328944</v>
      </c>
      <c r="AI36">
        <f ca="1">IFERROR(IF(0=LEN(ReferenceData!$AI$36),"",ReferenceData!$AI$36),"")</f>
        <v>11.16432623</v>
      </c>
      <c r="AJ36">
        <f ca="1">IFERROR(IF(0=LEN(ReferenceData!$AJ$36),"",ReferenceData!$AJ$36),"")</f>
        <v>12.5847189</v>
      </c>
      <c r="AK36">
        <f ca="1">IFERROR(IF(0=LEN(ReferenceData!$AK$36),"",ReferenceData!$AK$36),"")</f>
        <v>14.89722707</v>
      </c>
      <c r="AL36">
        <f ca="1">IFERROR(IF(0=LEN(ReferenceData!$AL$36),"",ReferenceData!$AL$36),"")</f>
        <v>10.673400669999999</v>
      </c>
      <c r="AM36">
        <f ca="1">IFERROR(IF(0=LEN(ReferenceData!$AM$36),"",ReferenceData!$AM$36),"")</f>
        <v>12.433085820000001</v>
      </c>
      <c r="AN36">
        <f ca="1">IFERROR(IF(0=LEN(ReferenceData!$AN$36),"",ReferenceData!$AN$36),"")</f>
        <v>9.735232474</v>
      </c>
      <c r="AO36">
        <f ca="1">IFERROR(IF(0=LEN(ReferenceData!$AO$36),"",ReferenceData!$AO$36),"")</f>
        <v>10.612953429999999</v>
      </c>
      <c r="AP36">
        <f ca="1">IFERROR(IF(0=LEN(ReferenceData!$AP$36),"",ReferenceData!$AP$36),"")</f>
        <v>15.949527959999999</v>
      </c>
      <c r="AQ36">
        <f ca="1">IFERROR(IF(0=LEN(ReferenceData!$AQ$36),"",ReferenceData!$AQ$36),"")</f>
        <v>14.403825080000001</v>
      </c>
      <c r="AR36">
        <f ca="1">IFERROR(IF(0=LEN(ReferenceData!$AR$36),"",ReferenceData!$AR$36),"")</f>
        <v>14.07245122</v>
      </c>
      <c r="AS36">
        <f ca="1">IFERROR(IF(0=LEN(ReferenceData!$AS$36),"",ReferenceData!$AS$36),"")</f>
        <v>16.431650080000001</v>
      </c>
    </row>
    <row r="37" spans="1:45" x14ac:dyDescent="0.25">
      <c r="A37" t="str">
        <f>IFERROR(IF(0=LEN(ReferenceData!$A$37),"",ReferenceData!$A$37),"")</f>
        <v xml:space="preserve">        International</v>
      </c>
      <c r="B37" t="str">
        <f>IFERROR(IF(0=LEN(ReferenceData!$B$37),"",ReferenceData!$B$37),"")</f>
        <v>NAV US Equity</v>
      </c>
      <c r="C37" t="str">
        <f>IFERROR(IF(0=LEN(ReferenceData!$C$37),"",ReferenceData!$C$37),"")</f>
        <v/>
      </c>
      <c r="D37" t="str">
        <f>IFERROR(IF(0=LEN(ReferenceData!$D$37),"",ReferenceData!$D$37),"")</f>
        <v/>
      </c>
      <c r="E37" t="str">
        <f>IFERROR(IF(0=LEN(ReferenceData!$E$37),"",ReferenceData!$E$37),"")</f>
        <v>Expression</v>
      </c>
      <c r="F37">
        <f ca="1">IFERROR(IF(0=LEN(ReferenceData!$F$37),"",ReferenceData!$F$37),"")</f>
        <v>15.623605530000001</v>
      </c>
      <c r="G37">
        <f ca="1">IFERROR(IF(0=LEN(ReferenceData!$G$37),"",ReferenceData!$G$37),"")</f>
        <v>11.29223977</v>
      </c>
      <c r="H37">
        <f ca="1">IFERROR(IF(0=LEN(ReferenceData!$H$37),"",ReferenceData!$H$37),"")</f>
        <v>16.025865079999999</v>
      </c>
      <c r="I37">
        <f ca="1">IFERROR(IF(0=LEN(ReferenceData!$I$37),"",ReferenceData!$I$37),"")</f>
        <v>10.609127109999999</v>
      </c>
      <c r="J37">
        <f ca="1">IFERROR(IF(0=LEN(ReferenceData!$J$37),"",ReferenceData!$J$37),"")</f>
        <v>9.8786828419999999</v>
      </c>
      <c r="K37">
        <f ca="1">IFERROR(IF(0=LEN(ReferenceData!$K$37),"",ReferenceData!$K$37),"")</f>
        <v>9.4596257999999995</v>
      </c>
      <c r="L37">
        <f ca="1">IFERROR(IF(0=LEN(ReferenceData!$L$37),"",ReferenceData!$L$37),"")</f>
        <v>11.094246890000001</v>
      </c>
      <c r="M37">
        <f ca="1">IFERROR(IF(0=LEN(ReferenceData!$M$37),"",ReferenceData!$M$37),"")</f>
        <v>9.5991347260000008</v>
      </c>
      <c r="N37">
        <f ca="1">IFERROR(IF(0=LEN(ReferenceData!$N$37),"",ReferenceData!$N$37),"")</f>
        <v>11.66071429</v>
      </c>
      <c r="O37">
        <f ca="1">IFERROR(IF(0=LEN(ReferenceData!$O$37),"",ReferenceData!$O$37),"")</f>
        <v>11.81469298</v>
      </c>
      <c r="P37">
        <f ca="1">IFERROR(IF(0=LEN(ReferenceData!$P$37),"",ReferenceData!$P$37),"")</f>
        <v>8.1195214030000002</v>
      </c>
      <c r="Q37">
        <f ca="1">IFERROR(IF(0=LEN(ReferenceData!$Q$37),"",ReferenceData!$Q$37),"")</f>
        <v>10.169977769999999</v>
      </c>
      <c r="R37">
        <f ca="1">IFERROR(IF(0=LEN(ReferenceData!$R$37),"",ReferenceData!$R$37),"")</f>
        <v>16.066970189999999</v>
      </c>
      <c r="S37">
        <f ca="1">IFERROR(IF(0=LEN(ReferenceData!$S$37),"",ReferenceData!$S$37),"")</f>
        <v>10.742918230000001</v>
      </c>
      <c r="T37">
        <f ca="1">IFERROR(IF(0=LEN(ReferenceData!$T$37),"",ReferenceData!$T$37),"")</f>
        <v>12.095683190000001</v>
      </c>
      <c r="U37">
        <f ca="1">IFERROR(IF(0=LEN(ReferenceData!$U$37),"",ReferenceData!$U$37),"")</f>
        <v>9.0592829249999998</v>
      </c>
      <c r="V37">
        <f ca="1">IFERROR(IF(0=LEN(ReferenceData!$V$37),"",ReferenceData!$V$37),"")</f>
        <v>8.4559224149999999</v>
      </c>
      <c r="W37">
        <f ca="1">IFERROR(IF(0=LEN(ReferenceData!$W$37),"",ReferenceData!$W$37),"")</f>
        <v>10.06816081</v>
      </c>
      <c r="X37">
        <f ca="1">IFERROR(IF(0=LEN(ReferenceData!$X$37),"",ReferenceData!$X$37),"")</f>
        <v>11.380989599999999</v>
      </c>
      <c r="Y37">
        <f ca="1">IFERROR(IF(0=LEN(ReferenceData!$Y$37),"",ReferenceData!$Y$37),"")</f>
        <v>11.750024959999999</v>
      </c>
      <c r="Z37">
        <f ca="1">IFERROR(IF(0=LEN(ReferenceData!$Z$37),"",ReferenceData!$Z$37),"")</f>
        <v>9.4419249179999998</v>
      </c>
      <c r="AA37">
        <f ca="1">IFERROR(IF(0=LEN(ReferenceData!$AA$37),"",ReferenceData!$AA$37),"")</f>
        <v>16.333312429999999</v>
      </c>
      <c r="AB37">
        <f ca="1">IFERROR(IF(0=LEN(ReferenceData!$AB$37),"",ReferenceData!$AB$37),"")</f>
        <v>10.426996580000001</v>
      </c>
      <c r="AC37">
        <f ca="1">IFERROR(IF(0=LEN(ReferenceData!$AC$37),"",ReferenceData!$AC$37),"")</f>
        <v>7.3942928559999999</v>
      </c>
      <c r="AD37">
        <f ca="1">IFERROR(IF(0=LEN(ReferenceData!$AD$37),"",ReferenceData!$AD$37),"")</f>
        <v>11.191316990000001</v>
      </c>
      <c r="AE37">
        <f ca="1">IFERROR(IF(0=LEN(ReferenceData!$AE$37),"",ReferenceData!$AE$37),"")</f>
        <v>10.91619792</v>
      </c>
      <c r="AF37">
        <f ca="1">IFERROR(IF(0=LEN(ReferenceData!$AF$37),"",ReferenceData!$AF$37),"")</f>
        <v>10.94595209</v>
      </c>
      <c r="AG37">
        <f ca="1">IFERROR(IF(0=LEN(ReferenceData!$AG$37),"",ReferenceData!$AG$37),"")</f>
        <v>12.58977428</v>
      </c>
      <c r="AH37">
        <f ca="1">IFERROR(IF(0=LEN(ReferenceData!$AH$37),"",ReferenceData!$AH$37),"")</f>
        <v>13.16328944</v>
      </c>
      <c r="AI37">
        <f ca="1">IFERROR(IF(0=LEN(ReferenceData!$AI$37),"",ReferenceData!$AI$37),"")</f>
        <v>11.16432623</v>
      </c>
      <c r="AJ37">
        <f ca="1">IFERROR(IF(0=LEN(ReferenceData!$AJ$37),"",ReferenceData!$AJ$37),"")</f>
        <v>12.5847189</v>
      </c>
      <c r="AK37">
        <f ca="1">IFERROR(IF(0=LEN(ReferenceData!$AK$37),"",ReferenceData!$AK$37),"")</f>
        <v>14.89722707</v>
      </c>
      <c r="AL37">
        <f ca="1">IFERROR(IF(0=LEN(ReferenceData!$AL$37),"",ReferenceData!$AL$37),"")</f>
        <v>10.673400669999999</v>
      </c>
      <c r="AM37">
        <f ca="1">IFERROR(IF(0=LEN(ReferenceData!$AM$37),"",ReferenceData!$AM$37),"")</f>
        <v>12.433085820000001</v>
      </c>
      <c r="AN37">
        <f ca="1">IFERROR(IF(0=LEN(ReferenceData!$AN$37),"",ReferenceData!$AN$37),"")</f>
        <v>9.735232474</v>
      </c>
      <c r="AO37">
        <f ca="1">IFERROR(IF(0=LEN(ReferenceData!$AO$37),"",ReferenceData!$AO$37),"")</f>
        <v>10.612953429999999</v>
      </c>
      <c r="AP37">
        <f ca="1">IFERROR(IF(0=LEN(ReferenceData!$AP$37),"",ReferenceData!$AP$37),"")</f>
        <v>15.949527959999999</v>
      </c>
      <c r="AQ37">
        <f ca="1">IFERROR(IF(0=LEN(ReferenceData!$AQ$37),"",ReferenceData!$AQ$37),"")</f>
        <v>14.403825080000001</v>
      </c>
      <c r="AR37">
        <f ca="1">IFERROR(IF(0=LEN(ReferenceData!$AR$37),"",ReferenceData!$AR$37),"")</f>
        <v>14.07245122</v>
      </c>
      <c r="AS37">
        <f ca="1">IFERROR(IF(0=LEN(ReferenceData!$AS$37),"",ReferenceData!$AS$37),"")</f>
        <v>16.431650080000001</v>
      </c>
    </row>
    <row r="38" spans="1:45" x14ac:dyDescent="0.25">
      <c r="A38" t="str">
        <f>IFERROR(IF(0=LEN(ReferenceData!$A$38),"",ReferenceData!$A$38),"")</f>
        <v xml:space="preserve">    Other</v>
      </c>
      <c r="B38" t="str">
        <f>IFERROR(IF(0=LEN(ReferenceData!$B$38),"",ReferenceData!$B$38),"")</f>
        <v/>
      </c>
      <c r="C38" t="str">
        <f>IFERROR(IF(0=LEN(ReferenceData!$C$38),"",ReferenceData!$C$38),"")</f>
        <v/>
      </c>
      <c r="D38" t="str">
        <f>IFERROR(IF(0=LEN(ReferenceData!$D$38),"",ReferenceData!$D$38),"")</f>
        <v/>
      </c>
      <c r="E38" t="str">
        <f>IFERROR(IF(0=LEN(ReferenceData!$E$38),"",ReferenceData!$E$38),"")</f>
        <v>Expression</v>
      </c>
      <c r="F38">
        <f ca="1">IFERROR(IF(0=LEN(ReferenceData!$F$38),"",ReferenceData!$F$38),"")</f>
        <v>6.6934404000000003E-2</v>
      </c>
      <c r="G38">
        <f ca="1">IFERROR(IF(0=LEN(ReferenceData!$G$38),"",ReferenceData!$G$38),"")</f>
        <v>0.10188487</v>
      </c>
      <c r="H38">
        <f ca="1">IFERROR(IF(0=LEN(ReferenceData!$H$38),"",ReferenceData!$H$38),"")</f>
        <v>0.122334848</v>
      </c>
      <c r="I38">
        <f ca="1">IFERROR(IF(0=LEN(ReferenceData!$I$38),"",ReferenceData!$I$38),"")</f>
        <v>0.13710256600000001</v>
      </c>
      <c r="J38">
        <f ca="1">IFERROR(IF(0=LEN(ReferenceData!$J$38),"",ReferenceData!$J$38),"")</f>
        <v>0.12709416500000001</v>
      </c>
      <c r="K38">
        <f ca="1">IFERROR(IF(0=LEN(ReferenceData!$K$38),"",ReferenceData!$K$38),"")</f>
        <v>6.7700640000000006E-2</v>
      </c>
      <c r="L38">
        <f ca="1">IFERROR(IF(0=LEN(ReferenceData!$L$38),"",ReferenceData!$L$38),"")</f>
        <v>6.5047701999999999E-2</v>
      </c>
      <c r="M38">
        <f ca="1">IFERROR(IF(0=LEN(ReferenceData!$M$38),"",ReferenceData!$M$38),"")</f>
        <v>1.3519908000000001E-2</v>
      </c>
      <c r="N38">
        <f ca="1">IFERROR(IF(0=LEN(ReferenceData!$N$38),"",ReferenceData!$N$38),"")</f>
        <v>2.6785713999999999E-2</v>
      </c>
      <c r="O38">
        <f ca="1">IFERROR(IF(0=LEN(ReferenceData!$O$38),"",ReferenceData!$O$38),"")</f>
        <v>3.6549708E-2</v>
      </c>
      <c r="P38">
        <f ca="1">IFERROR(IF(0=LEN(ReferenceData!$P$38),"",ReferenceData!$P$38),"")</f>
        <v>5.1186896000000003E-2</v>
      </c>
      <c r="Q38">
        <f ca="1">IFERROR(IF(0=LEN(ReferenceData!$Q$38),"",ReferenceData!$Q$38),"")</f>
        <v>7.1720576999999994E-2</v>
      </c>
      <c r="R38">
        <f ca="1">IFERROR(IF(0=LEN(ReferenceData!$R$38),"",ReferenceData!$R$38),"")</f>
        <v>2.2029666999999999E-2</v>
      </c>
      <c r="S38">
        <f ca="1">IFERROR(IF(0=LEN(ReferenceData!$S$38),"",ReferenceData!$S$38),"")</f>
        <v>0.16034206300000001</v>
      </c>
      <c r="T38">
        <f ca="1">IFERROR(IF(0=LEN(ReferenceData!$T$38),"",ReferenceData!$T$38),"")</f>
        <v>0.110687492</v>
      </c>
      <c r="U38">
        <f ca="1">IFERROR(IF(0=LEN(ReferenceData!$U$38),"",ReferenceData!$U$38),"")</f>
        <v>7.8097266999999998E-2</v>
      </c>
      <c r="V38">
        <f ca="1">IFERROR(IF(0=LEN(ReferenceData!$V$38),"",ReferenceData!$V$38),"")</f>
        <v>0.16345210900000001</v>
      </c>
      <c r="W38">
        <f ca="1">IFERROR(IF(0=LEN(ReferenceData!$W$38),"",ReferenceData!$W$38),"")</f>
        <v>5.1987061000000001E-2</v>
      </c>
      <c r="X38">
        <f ca="1">IFERROR(IF(0=LEN(ReferenceData!$X$38),"",ReferenceData!$X$38),"")</f>
        <v>4.2085011999999998E-2</v>
      </c>
      <c r="Y38">
        <f ca="1">IFERROR(IF(0=LEN(ReferenceData!$Y$38),"",ReferenceData!$Y$38),"")</f>
        <v>1.9966057999999998E-2</v>
      </c>
      <c r="Z38">
        <f ca="1">IFERROR(IF(0=LEN(ReferenceData!$Z$38),"",ReferenceData!$Z$38),"")</f>
        <v>0</v>
      </c>
      <c r="AA38">
        <f ca="1">IFERROR(IF(0=LEN(ReferenceData!$AA$38),"",ReferenceData!$AA$38),"")</f>
        <v>2.5079942000000001E-2</v>
      </c>
      <c r="AB38">
        <f ca="1">IFERROR(IF(0=LEN(ReferenceData!$AB$38),"",ReferenceData!$AB$38),"")</f>
        <v>1.4441824000000001E-2</v>
      </c>
      <c r="AC38">
        <f ca="1">IFERROR(IF(0=LEN(ReferenceData!$AC$38),"",ReferenceData!$AC$38),"")</f>
        <v>1.0414497E-2</v>
      </c>
      <c r="AD38">
        <f ca="1">IFERROR(IF(0=LEN(ReferenceData!$AD$38),"",ReferenceData!$AD$38),"")</f>
        <v>2.5965933E-2</v>
      </c>
      <c r="AE38">
        <f ca="1">IFERROR(IF(0=LEN(ReferenceData!$AE$38),"",ReferenceData!$AE$38),"")</f>
        <v>1.9067595E-2</v>
      </c>
      <c r="AF38">
        <f ca="1">IFERROR(IF(0=LEN(ReferenceData!$AF$38),"",ReferenceData!$AF$38),"")</f>
        <v>6.8184916999999998E-2</v>
      </c>
      <c r="AG38">
        <f ca="1">IFERROR(IF(0=LEN(ReferenceData!$AG$38),"",ReferenceData!$AG$38),"")</f>
        <v>5.5574554999999998E-2</v>
      </c>
      <c r="AH38">
        <f ca="1">IFERROR(IF(0=LEN(ReferenceData!$AH$38),"",ReferenceData!$AH$38),"")</f>
        <v>5.9134274000000001E-2</v>
      </c>
      <c r="AI38">
        <f ca="1">IFERROR(IF(0=LEN(ReferenceData!$AI$38),"",ReferenceData!$AI$38),"")</f>
        <v>1.8599461000000001E-2</v>
      </c>
      <c r="AJ38">
        <f ca="1">IFERROR(IF(0=LEN(ReferenceData!$AJ$38),"",ReferenceData!$AJ$38),"")</f>
        <v>2.9255448999999999E-2</v>
      </c>
      <c r="AK38">
        <f ca="1">IFERROR(IF(0=LEN(ReferenceData!$AK$38),"",ReferenceData!$AK$38),"")</f>
        <v>4.8477800000000003E-3</v>
      </c>
      <c r="AL38">
        <f ca="1">IFERROR(IF(0=LEN(ReferenceData!$AL$38),"",ReferenceData!$AL$38),"")</f>
        <v>5.6116719999999998E-3</v>
      </c>
      <c r="AM38">
        <f ca="1">IFERROR(IF(0=LEN(ReferenceData!$AM$38),"",ReferenceData!$AM$38),"")</f>
        <v>1.7268175E-2</v>
      </c>
      <c r="AN38">
        <f ca="1">IFERROR(IF(0=LEN(ReferenceData!$AN$38),"",ReferenceData!$AN$38),"")</f>
        <v>4.2773430000000003E-3</v>
      </c>
      <c r="AO38">
        <f ca="1">IFERROR(IF(0=LEN(ReferenceData!$AO$38),"",ReferenceData!$AO$38),"")</f>
        <v>4.1901112999999997E-2</v>
      </c>
      <c r="AP38">
        <f ca="1">IFERROR(IF(0=LEN(ReferenceData!$AP$38),"",ReferenceData!$AP$38),"")</f>
        <v>1.3616558000000001E-2</v>
      </c>
      <c r="AQ38">
        <f ca="1">IFERROR(IF(0=LEN(ReferenceData!$AQ$38),"",ReferenceData!$AQ$38),"")</f>
        <v>2.4902878999999999E-2</v>
      </c>
      <c r="AR38">
        <f ca="1">IFERROR(IF(0=LEN(ReferenceData!$AR$38),"",ReferenceData!$AR$38),"")</f>
        <v>5.6045244000000001E-2</v>
      </c>
      <c r="AS38">
        <f ca="1">IFERROR(IF(0=LEN(ReferenceData!$AS$38),"",ReferenceData!$AS$38),"")</f>
        <v>6.3853563000000002E-2</v>
      </c>
    </row>
    <row r="39" spans="1:45" x14ac:dyDescent="0.25">
      <c r="A39" t="str">
        <f>IFERROR(IF(0=LEN(ReferenceData!$A$39),"",ReferenceData!$A$39),"")</f>
        <v>Canada (Class 8)</v>
      </c>
      <c r="B39" t="str">
        <f>IFERROR(IF(0=LEN(ReferenceData!$B$39),"",ReferenceData!$B$39),"")</f>
        <v>TRCKCA8S Index</v>
      </c>
      <c r="C39" t="str">
        <f>IFERROR(IF(0=LEN(ReferenceData!$C$39),"",ReferenceData!$C$39),"")</f>
        <v/>
      </c>
      <c r="D39" t="str">
        <f>IFERROR(IF(0=LEN(ReferenceData!$D$39),"",ReferenceData!$D$39),"")</f>
        <v/>
      </c>
      <c r="E39" t="str">
        <f>IFERROR(IF(0=LEN(ReferenceData!$E$39),"",ReferenceData!$E$39),"")</f>
        <v>Sum</v>
      </c>
      <c r="F39">
        <f ca="1">IFERROR(IF(0=LEN(ReferenceData!$F$39),"",ReferenceData!$F$39),"")</f>
        <v>99.999999998000007</v>
      </c>
      <c r="G39">
        <f ca="1">IFERROR(IF(0=LEN(ReferenceData!$G$39),"",ReferenceData!$G$39),"")</f>
        <v>99.99999999000002</v>
      </c>
      <c r="H39">
        <f ca="1">IFERROR(IF(0=LEN(ReferenceData!$H$39),"",ReferenceData!$H$39),"")</f>
        <v>100</v>
      </c>
      <c r="I39">
        <f ca="1">IFERROR(IF(0=LEN(ReferenceData!$I$39),"",ReferenceData!$I$39),"")</f>
        <v>100.000000009</v>
      </c>
      <c r="J39">
        <f ca="1">IFERROR(IF(0=LEN(ReferenceData!$J$39),"",ReferenceData!$J$39),"")</f>
        <v>100.000000009</v>
      </c>
      <c r="K39">
        <f ca="1">IFERROR(IF(0=LEN(ReferenceData!$K$39),"",ReferenceData!$K$39),"")</f>
        <v>99.999999991999999</v>
      </c>
      <c r="L39">
        <f ca="1">IFERROR(IF(0=LEN(ReferenceData!$L$39),"",ReferenceData!$L$39),"")</f>
        <v>99.999999993000003</v>
      </c>
      <c r="M39">
        <f ca="1">IFERROR(IF(0=LEN(ReferenceData!$M$39),"",ReferenceData!$M$39),"")</f>
        <v>100.00000000300001</v>
      </c>
      <c r="N39">
        <f ca="1">IFERROR(IF(0=LEN(ReferenceData!$N$39),"",ReferenceData!$N$39),"")</f>
        <v>100.00000000000001</v>
      </c>
      <c r="O39">
        <f ca="1">IFERROR(IF(0=LEN(ReferenceData!$O$39),"",ReferenceData!$O$39),"")</f>
        <v>100.00000000000001</v>
      </c>
      <c r="P39">
        <f ca="1">IFERROR(IF(0=LEN(ReferenceData!$P$39),"",ReferenceData!$P$39),"")</f>
        <v>99.999999989999992</v>
      </c>
      <c r="Q39">
        <f ca="1">IFERROR(IF(0=LEN(ReferenceData!$Q$39),"",ReferenceData!$Q$39),"")</f>
        <v>100.000000008</v>
      </c>
      <c r="R39">
        <f ca="1">IFERROR(IF(0=LEN(ReferenceData!$R$39),"",ReferenceData!$R$39),"")</f>
        <v>99.999999992999989</v>
      </c>
      <c r="S39">
        <f ca="1">IFERROR(IF(0=LEN(ReferenceData!$S$39),"",ReferenceData!$S$39),"")</f>
        <v>100.00000000600001</v>
      </c>
      <c r="T39">
        <f ca="1">IFERROR(IF(0=LEN(ReferenceData!$T$39),"",ReferenceData!$T$39),"")</f>
        <v>99.999999999999986</v>
      </c>
      <c r="U39">
        <f ca="1">IFERROR(IF(0=LEN(ReferenceData!$U$39),"",ReferenceData!$U$39),"")</f>
        <v>99.999999999000011</v>
      </c>
      <c r="V39">
        <f ca="1">IFERROR(IF(0=LEN(ReferenceData!$V$39),"",ReferenceData!$V$39),"")</f>
        <v>99.99999999500001</v>
      </c>
      <c r="W39">
        <f ca="1">IFERROR(IF(0=LEN(ReferenceData!$W$39),"",ReferenceData!$W$39),"")</f>
        <v>100.00000000599999</v>
      </c>
      <c r="X39">
        <f ca="1">IFERROR(IF(0=LEN(ReferenceData!$X$39),"",ReferenceData!$X$39),"")</f>
        <v>99.999999988000013</v>
      </c>
      <c r="Y39">
        <f ca="1">IFERROR(IF(0=LEN(ReferenceData!$Y$39),"",ReferenceData!$Y$39),"")</f>
        <v>100.000000001</v>
      </c>
      <c r="Z39">
        <f ca="1">IFERROR(IF(0=LEN(ReferenceData!$Z$39),"",ReferenceData!$Z$39),"")</f>
        <v>99.999999999999986</v>
      </c>
      <c r="AA39">
        <f ca="1">IFERROR(IF(0=LEN(ReferenceData!$AA$39),"",ReferenceData!$AA$39),"")</f>
        <v>100.000000001</v>
      </c>
      <c r="AB39">
        <f ca="1">IFERROR(IF(0=LEN(ReferenceData!$AB$39),"",ReferenceData!$AB$39),"")</f>
        <v>100.00000000000001</v>
      </c>
      <c r="AC39">
        <f ca="1">IFERROR(IF(0=LEN(ReferenceData!$AC$39),"",ReferenceData!$AC$39),"")</f>
        <v>99.999999997000003</v>
      </c>
      <c r="AD39">
        <f ca="1">IFERROR(IF(0=LEN(ReferenceData!$AD$39),"",ReferenceData!$AD$39),"")</f>
        <v>100.00000000200001</v>
      </c>
      <c r="AE39">
        <f ca="1">IFERROR(IF(0=LEN(ReferenceData!$AE$39),"",ReferenceData!$AE$39),"")</f>
        <v>99.999999989999992</v>
      </c>
      <c r="AF39">
        <f ca="1">IFERROR(IF(0=LEN(ReferenceData!$AF$39),"",ReferenceData!$AF$39),"")</f>
        <v>100.00000000400001</v>
      </c>
      <c r="AG39">
        <f ca="1">IFERROR(IF(0=LEN(ReferenceData!$AG$39),"",ReferenceData!$AG$39),"")</f>
        <v>100.000000004</v>
      </c>
      <c r="AH39">
        <f ca="1">IFERROR(IF(0=LEN(ReferenceData!$AH$39),"",ReferenceData!$AH$39),"")</f>
        <v>99.999999986000006</v>
      </c>
      <c r="AI39">
        <f ca="1">IFERROR(IF(0=LEN(ReferenceData!$AI$39),"",ReferenceData!$AI$39),"")</f>
        <v>99.999999990999996</v>
      </c>
      <c r="AJ39">
        <f ca="1">IFERROR(IF(0=LEN(ReferenceData!$AJ$39),"",ReferenceData!$AJ$39),"")</f>
        <v>99.999999999999986</v>
      </c>
      <c r="AK39">
        <f ca="1">IFERROR(IF(0=LEN(ReferenceData!$AK$39),"",ReferenceData!$AK$39),"")</f>
        <v>99.99999999100001</v>
      </c>
      <c r="AL39">
        <f ca="1">IFERROR(IF(0=LEN(ReferenceData!$AL$39),"",ReferenceData!$AL$39),"")</f>
        <v>99.999999990999996</v>
      </c>
      <c r="AM39">
        <f ca="1">IFERROR(IF(0=LEN(ReferenceData!$AM$39),"",ReferenceData!$AM$39),"")</f>
        <v>100.00000001399999</v>
      </c>
      <c r="AN39">
        <f ca="1">IFERROR(IF(0=LEN(ReferenceData!$AN$39),"",ReferenceData!$AN$39),"")</f>
        <v>100</v>
      </c>
      <c r="AO39">
        <f ca="1">IFERROR(IF(0=LEN(ReferenceData!$AO$39),"",ReferenceData!$AO$39),"")</f>
        <v>100.000000004</v>
      </c>
      <c r="AP39">
        <f ca="1">IFERROR(IF(0=LEN(ReferenceData!$AP$39),"",ReferenceData!$AP$39),"")</f>
        <v>99.999999987999999</v>
      </c>
      <c r="AQ39">
        <f ca="1">IFERROR(IF(0=LEN(ReferenceData!$AQ$39),"",ReferenceData!$AQ$39),"")</f>
        <v>99.999999989000003</v>
      </c>
      <c r="AR39">
        <f ca="1">IFERROR(IF(0=LEN(ReferenceData!$AR$39),"",ReferenceData!$AR$39),"")</f>
        <v>99.999999991999999</v>
      </c>
      <c r="AS39">
        <f ca="1">IFERROR(IF(0=LEN(ReferenceData!$AS$39),"",ReferenceData!$AS$39),"")</f>
        <v>100.00000000300001</v>
      </c>
    </row>
    <row r="40" spans="1:45" x14ac:dyDescent="0.25">
      <c r="A40" t="str">
        <f>IFERROR(IF(0=LEN(ReferenceData!$A$40),"",ReferenceData!$A$40),"")</f>
        <v xml:space="preserve">    Daimler</v>
      </c>
      <c r="B40" t="str">
        <f>IFERROR(IF(0=LEN(ReferenceData!$B$40),"",ReferenceData!$B$40),"")</f>
        <v>DAI GR Equity</v>
      </c>
      <c r="C40" t="str">
        <f>IFERROR(IF(0=LEN(ReferenceData!$C$40),"",ReferenceData!$C$40),"")</f>
        <v/>
      </c>
      <c r="D40" t="str">
        <f>IFERROR(IF(0=LEN(ReferenceData!$D$40),"",ReferenceData!$D$40),"")</f>
        <v/>
      </c>
      <c r="E40" t="str">
        <f>IFERROR(IF(0=LEN(ReferenceData!$E$40),"",ReferenceData!$E$40),"")</f>
        <v>Sum</v>
      </c>
      <c r="F40">
        <f ca="1">IFERROR(IF(0=LEN(ReferenceData!$F$40),"",ReferenceData!$F$40),"")</f>
        <v>36.116219199</v>
      </c>
      <c r="G40">
        <f ca="1">IFERROR(IF(0=LEN(ReferenceData!$G$40),"",ReferenceData!$G$40),"")</f>
        <v>38.046166532000001</v>
      </c>
      <c r="H40">
        <f ca="1">IFERROR(IF(0=LEN(ReferenceData!$H$40),"",ReferenceData!$H$40),"")</f>
        <v>34.470377020000001</v>
      </c>
      <c r="I40">
        <f ca="1">IFERROR(IF(0=LEN(ReferenceData!$I$40),"",ReferenceData!$I$40),"")</f>
        <v>35.570469799999998</v>
      </c>
      <c r="J40">
        <f ca="1">IFERROR(IF(0=LEN(ReferenceData!$J$40),"",ReferenceData!$J$40),"")</f>
        <v>37.610976598999997</v>
      </c>
      <c r="K40">
        <f ca="1">IFERROR(IF(0=LEN(ReferenceData!$K$40),"",ReferenceData!$K$40),"")</f>
        <v>38.7473904</v>
      </c>
      <c r="L40">
        <f ca="1">IFERROR(IF(0=LEN(ReferenceData!$L$40),"",ReferenceData!$L$40),"")</f>
        <v>42.395833330000002</v>
      </c>
      <c r="M40">
        <f ca="1">IFERROR(IF(0=LEN(ReferenceData!$M$40),"",ReferenceData!$M$40),"")</f>
        <v>37.932715753000004</v>
      </c>
      <c r="N40">
        <f ca="1">IFERROR(IF(0=LEN(ReferenceData!$N$40),"",ReferenceData!$N$40),"")</f>
        <v>41.950886767</v>
      </c>
      <c r="O40">
        <f ca="1">IFERROR(IF(0=LEN(ReferenceData!$O$40),"",ReferenceData!$O$40),"")</f>
        <v>46.259985477000001</v>
      </c>
      <c r="P40">
        <f ca="1">IFERROR(IF(0=LEN(ReferenceData!$P$40),"",ReferenceData!$P$40),"")</f>
        <v>38.932496072999996</v>
      </c>
      <c r="Q40">
        <f ca="1">IFERROR(IF(0=LEN(ReferenceData!$Q$40),"",ReferenceData!$Q$40),"")</f>
        <v>46.919431279999998</v>
      </c>
      <c r="R40">
        <f ca="1">IFERROR(IF(0=LEN(ReferenceData!$R$40),"",ReferenceData!$R$40),"")</f>
        <v>33.906013135000002</v>
      </c>
      <c r="S40">
        <f ca="1">IFERROR(IF(0=LEN(ReferenceData!$S$40),"",ReferenceData!$S$40),"")</f>
        <v>42.325800379999997</v>
      </c>
      <c r="T40">
        <f ca="1">IFERROR(IF(0=LEN(ReferenceData!$T$40),"",ReferenceData!$T$40),"")</f>
        <v>40.662983421999996</v>
      </c>
      <c r="U40">
        <f ca="1">IFERROR(IF(0=LEN(ReferenceData!$U$40),"",ReferenceData!$U$40),"")</f>
        <v>44.510739860000001</v>
      </c>
      <c r="V40">
        <f ca="1">IFERROR(IF(0=LEN(ReferenceData!$V$40),"",ReferenceData!$V$40),"")</f>
        <v>43.849206350000003</v>
      </c>
      <c r="W40">
        <f ca="1">IFERROR(IF(0=LEN(ReferenceData!$W$40),"",ReferenceData!$W$40),"")</f>
        <v>45.858240819999999</v>
      </c>
      <c r="X40">
        <f ca="1">IFERROR(IF(0=LEN(ReferenceData!$X$40),"",ReferenceData!$X$40),"")</f>
        <v>42.046035799999999</v>
      </c>
      <c r="Y40">
        <f ca="1">IFERROR(IF(0=LEN(ReferenceData!$Y$40),"",ReferenceData!$Y$40),"")</f>
        <v>48.093994773999995</v>
      </c>
      <c r="Z40">
        <f ca="1">IFERROR(IF(0=LEN(ReferenceData!$Z$40),"",ReferenceData!$Z$40),"")</f>
        <v>50.161463943999998</v>
      </c>
      <c r="AA40">
        <f ca="1">IFERROR(IF(0=LEN(ReferenceData!$AA$40),"",ReferenceData!$AA$40),"")</f>
        <v>46.005154640000001</v>
      </c>
      <c r="AB40">
        <f ca="1">IFERROR(IF(0=LEN(ReferenceData!$AB$40),"",ReferenceData!$AB$40),"")</f>
        <v>41.039965620000004</v>
      </c>
      <c r="AC40">
        <f ca="1">IFERROR(IF(0=LEN(ReferenceData!$AC$40),"",ReferenceData!$AC$40),"")</f>
        <v>41.94280526</v>
      </c>
      <c r="AD40">
        <f ca="1">IFERROR(IF(0=LEN(ReferenceData!$AD$40),"",ReferenceData!$AD$40),"")</f>
        <v>41.578148709000004</v>
      </c>
      <c r="AE40">
        <f ca="1">IFERROR(IF(0=LEN(ReferenceData!$AE$40),"",ReferenceData!$AE$40),"")</f>
        <v>45.836200959999999</v>
      </c>
      <c r="AF40">
        <f ca="1">IFERROR(IF(0=LEN(ReferenceData!$AF$40),"",ReferenceData!$AF$40),"")</f>
        <v>33.065279097000001</v>
      </c>
      <c r="AG40">
        <f ca="1">IFERROR(IF(0=LEN(ReferenceData!$AG$40),"",ReferenceData!$AG$40),"")</f>
        <v>34.794965486000002</v>
      </c>
      <c r="AH40">
        <f ca="1">IFERROR(IF(0=LEN(ReferenceData!$AH$40),"",ReferenceData!$AH$40),"")</f>
        <v>38.057142853000002</v>
      </c>
      <c r="AI40">
        <f ca="1">IFERROR(IF(0=LEN(ReferenceData!$AI$40),"",ReferenceData!$AI$40),"")</f>
        <v>32.754061202999999</v>
      </c>
      <c r="AJ40">
        <f ca="1">IFERROR(IF(0=LEN(ReferenceData!$AJ$40),"",ReferenceData!$AJ$40),"")</f>
        <v>35.325670502999998</v>
      </c>
      <c r="AK40">
        <f ca="1">IFERROR(IF(0=LEN(ReferenceData!$AK$40),"",ReferenceData!$AK$40),"")</f>
        <v>40.972222219000002</v>
      </c>
      <c r="AL40">
        <f ca="1">IFERROR(IF(0=LEN(ReferenceData!$AL$40),"",ReferenceData!$AL$40),"")</f>
        <v>37.249143414000002</v>
      </c>
      <c r="AM40">
        <f ca="1">IFERROR(IF(0=LEN(ReferenceData!$AM$40),"",ReferenceData!$AM$40),"")</f>
        <v>33.991537381000001</v>
      </c>
      <c r="AN40">
        <f ca="1">IFERROR(IF(0=LEN(ReferenceData!$AN$40),"",ReferenceData!$AN$40),"")</f>
        <v>37.321830460000001</v>
      </c>
      <c r="AO40">
        <f ca="1">IFERROR(IF(0=LEN(ReferenceData!$AO$40),"",ReferenceData!$AO$40),"")</f>
        <v>34.610578922000002</v>
      </c>
      <c r="AP40">
        <f ca="1">IFERROR(IF(0=LEN(ReferenceData!$AP$40),"",ReferenceData!$AP$40),"")</f>
        <v>37.688614536000003</v>
      </c>
      <c r="AQ40">
        <f ca="1">IFERROR(IF(0=LEN(ReferenceData!$AQ$40),"",ReferenceData!$AQ$40),"")</f>
        <v>33.711824585000002</v>
      </c>
      <c r="AR40">
        <f ca="1">IFERROR(IF(0=LEN(ReferenceData!$AR$40),"",ReferenceData!$AR$40),"")</f>
        <v>33.889661562000001</v>
      </c>
      <c r="AS40">
        <f ca="1">IFERROR(IF(0=LEN(ReferenceData!$AS$40),"",ReferenceData!$AS$40),"")</f>
        <v>32.097791794999999</v>
      </c>
    </row>
    <row r="41" spans="1:45" x14ac:dyDescent="0.25">
      <c r="A41" t="str">
        <f>IFERROR(IF(0=LEN(ReferenceData!$A$41),"",ReferenceData!$A$41),"")</f>
        <v xml:space="preserve">        Freightliner</v>
      </c>
      <c r="B41" t="str">
        <f>IFERROR(IF(0=LEN(ReferenceData!$B$41),"",ReferenceData!$B$41),"")</f>
        <v>DAI GR Equity</v>
      </c>
      <c r="C41" t="str">
        <f>IFERROR(IF(0=LEN(ReferenceData!$C$41),"",ReferenceData!$C$41),"")</f>
        <v/>
      </c>
      <c r="D41" t="str">
        <f>IFERROR(IF(0=LEN(ReferenceData!$D$41),"",ReferenceData!$D$41),"")</f>
        <v/>
      </c>
      <c r="E41" t="str">
        <f>IFERROR(IF(0=LEN(ReferenceData!$E$41),"",ReferenceData!$E$41),"")</f>
        <v>Expression</v>
      </c>
      <c r="F41">
        <f ca="1">IFERROR(IF(0=LEN(ReferenceData!$F$41),"",ReferenceData!$F$41),"")</f>
        <v>27.694005149999999</v>
      </c>
      <c r="G41">
        <f ca="1">IFERROR(IF(0=LEN(ReferenceData!$G$41),"",ReferenceData!$G$41),"")</f>
        <v>28.44187964</v>
      </c>
      <c r="H41">
        <f ca="1">IFERROR(IF(0=LEN(ReferenceData!$H$41),"",ReferenceData!$H$41),"")</f>
        <v>24.41651706</v>
      </c>
      <c r="I41">
        <f ca="1">IFERROR(IF(0=LEN(ReferenceData!$I$41),"",ReferenceData!$I$41),"")</f>
        <v>24.688398849999999</v>
      </c>
      <c r="J41">
        <f ca="1">IFERROR(IF(0=LEN(ReferenceData!$J$41),"",ReferenceData!$J$41),"")</f>
        <v>28.208232450000001</v>
      </c>
      <c r="K41">
        <f ca="1">IFERROR(IF(0=LEN(ReferenceData!$K$41),"",ReferenceData!$K$41),"")</f>
        <v>29.89561587</v>
      </c>
      <c r="L41">
        <f ca="1">IFERROR(IF(0=LEN(ReferenceData!$L$41),"",ReferenceData!$L$41),"")</f>
        <v>32.708333330000002</v>
      </c>
      <c r="M41">
        <f ca="1">IFERROR(IF(0=LEN(ReferenceData!$M$41),"",ReferenceData!$M$41),"")</f>
        <v>28.620185280000001</v>
      </c>
      <c r="N41">
        <f ca="1">IFERROR(IF(0=LEN(ReferenceData!$N$41),"",ReferenceData!$N$41),"")</f>
        <v>33.151432470000003</v>
      </c>
      <c r="O41">
        <f ca="1">IFERROR(IF(0=LEN(ReferenceData!$O$41),"",ReferenceData!$O$41),"")</f>
        <v>37.690631809999999</v>
      </c>
      <c r="P41">
        <f ca="1">IFERROR(IF(0=LEN(ReferenceData!$P$41),"",ReferenceData!$P$41),"")</f>
        <v>29.14704343</v>
      </c>
      <c r="Q41">
        <f ca="1">IFERROR(IF(0=LEN(ReferenceData!$Q$41),"",ReferenceData!$Q$41),"")</f>
        <v>36.492891</v>
      </c>
      <c r="R41">
        <f ca="1">IFERROR(IF(0=LEN(ReferenceData!$R$41),"",ReferenceData!$R$41),"")</f>
        <v>26.528549770000001</v>
      </c>
      <c r="S41">
        <f ca="1">IFERROR(IF(0=LEN(ReferenceData!$S$41),"",ReferenceData!$S$41),"")</f>
        <v>31.49717514</v>
      </c>
      <c r="T41">
        <f ca="1">IFERROR(IF(0=LEN(ReferenceData!$T$41),"",ReferenceData!$T$41),"")</f>
        <v>30.773480660000001</v>
      </c>
      <c r="U41">
        <f ca="1">IFERROR(IF(0=LEN(ReferenceData!$U$41),"",ReferenceData!$U$41),"")</f>
        <v>34.069212409999999</v>
      </c>
      <c r="V41">
        <f ca="1">IFERROR(IF(0=LEN(ReferenceData!$V$41),"",ReferenceData!$V$41),"")</f>
        <v>30.109126979999999</v>
      </c>
      <c r="W41">
        <f ca="1">IFERROR(IF(0=LEN(ReferenceData!$W$41),"",ReferenceData!$W$41),"")</f>
        <v>34.500426990000001</v>
      </c>
      <c r="X41">
        <f ca="1">IFERROR(IF(0=LEN(ReferenceData!$X$41),"",ReferenceData!$X$41),"")</f>
        <v>31.457800509999998</v>
      </c>
      <c r="Y41">
        <f ca="1">IFERROR(IF(0=LEN(ReferenceData!$Y$41),"",ReferenceData!$Y$41),"")</f>
        <v>39.268929499999999</v>
      </c>
      <c r="Z41">
        <f ca="1">IFERROR(IF(0=LEN(ReferenceData!$Z$41),"",ReferenceData!$Z$41),"")</f>
        <v>40.796555439999999</v>
      </c>
      <c r="AA41">
        <f ca="1">IFERROR(IF(0=LEN(ReferenceData!$AA$41),"",ReferenceData!$AA$41),"")</f>
        <v>35.30927835</v>
      </c>
      <c r="AB41">
        <f ca="1">IFERROR(IF(0=LEN(ReferenceData!$AB$41),"",ReferenceData!$AB$41),"")</f>
        <v>30.89815213</v>
      </c>
      <c r="AC41">
        <f ca="1">IFERROR(IF(0=LEN(ReferenceData!$AC$41),"",ReferenceData!$AC$41),"")</f>
        <v>31.911030409999999</v>
      </c>
      <c r="AD41">
        <f ca="1">IFERROR(IF(0=LEN(ReferenceData!$AD$41),"",ReferenceData!$AD$41),"")</f>
        <v>33.270106220000002</v>
      </c>
      <c r="AE41">
        <f ca="1">IFERROR(IF(0=LEN(ReferenceData!$AE$41),"",ReferenceData!$AE$41),"")</f>
        <v>36.200963520000002</v>
      </c>
      <c r="AF41">
        <f ca="1">IFERROR(IF(0=LEN(ReferenceData!$AF$41),"",ReferenceData!$AF$41),"")</f>
        <v>26.49006623</v>
      </c>
      <c r="AG41">
        <f ca="1">IFERROR(IF(0=LEN(ReferenceData!$AG$41),"",ReferenceData!$AG$41),"")</f>
        <v>27.40560292</v>
      </c>
      <c r="AH41">
        <f ca="1">IFERROR(IF(0=LEN(ReferenceData!$AH$41),"",ReferenceData!$AH$41),"")</f>
        <v>28.114285710000001</v>
      </c>
      <c r="AI41">
        <f ca="1">IFERROR(IF(0=LEN(ReferenceData!$AI$41),"",ReferenceData!$AI$41),"")</f>
        <v>24.6694371</v>
      </c>
      <c r="AJ41">
        <f ca="1">IFERROR(IF(0=LEN(ReferenceData!$AJ$41),"",ReferenceData!$AJ$41),"")</f>
        <v>28.314176249999999</v>
      </c>
      <c r="AK41">
        <f ca="1">IFERROR(IF(0=LEN(ReferenceData!$AK$41),"",ReferenceData!$AK$41),"")</f>
        <v>33.958333330000002</v>
      </c>
      <c r="AL41">
        <f ca="1">IFERROR(IF(0=LEN(ReferenceData!$AL$41),"",ReferenceData!$AL$41),"")</f>
        <v>30.004894759999999</v>
      </c>
      <c r="AM41">
        <f ca="1">IFERROR(IF(0=LEN(ReferenceData!$AM$41),"",ReferenceData!$AM$41),"")</f>
        <v>25.763986840000001</v>
      </c>
      <c r="AN41">
        <f ca="1">IFERROR(IF(0=LEN(ReferenceData!$AN$41),"",ReferenceData!$AN$41),"")</f>
        <v>26.856714180000001</v>
      </c>
      <c r="AO41">
        <f ca="1">IFERROR(IF(0=LEN(ReferenceData!$AO$41),"",ReferenceData!$AO$41),"")</f>
        <v>25.156184920000001</v>
      </c>
      <c r="AP41">
        <f ca="1">IFERROR(IF(0=LEN(ReferenceData!$AP$41),"",ReferenceData!$AP$41),"")</f>
        <v>29.080932780000001</v>
      </c>
      <c r="AQ41">
        <f ca="1">IFERROR(IF(0=LEN(ReferenceData!$AQ$41),"",ReferenceData!$AQ$41),"")</f>
        <v>25.019577129999998</v>
      </c>
      <c r="AR41">
        <f ca="1">IFERROR(IF(0=LEN(ReferenceData!$AR$41),"",ReferenceData!$AR$41),"")</f>
        <v>25.034770510000001</v>
      </c>
      <c r="AS41">
        <f ca="1">IFERROR(IF(0=LEN(ReferenceData!$AS$41),"",ReferenceData!$AS$41),"")</f>
        <v>24.014195579999999</v>
      </c>
    </row>
    <row r="42" spans="1:45" x14ac:dyDescent="0.25">
      <c r="A42" t="str">
        <f>IFERROR(IF(0=LEN(ReferenceData!$A$42),"",ReferenceData!$A$42),"")</f>
        <v xml:space="preserve">        Western Star</v>
      </c>
      <c r="B42" t="str">
        <f>IFERROR(IF(0=LEN(ReferenceData!$B$42),"",ReferenceData!$B$42),"")</f>
        <v>DAI GR Equity</v>
      </c>
      <c r="C42" t="str">
        <f>IFERROR(IF(0=LEN(ReferenceData!$C$42),"",ReferenceData!$C$42),"")</f>
        <v/>
      </c>
      <c r="D42" t="str">
        <f>IFERROR(IF(0=LEN(ReferenceData!$D$42),"",ReferenceData!$D$42),"")</f>
        <v/>
      </c>
      <c r="E42" t="str">
        <f>IFERROR(IF(0=LEN(ReferenceData!$E$42),"",ReferenceData!$E$42),"")</f>
        <v>Expression</v>
      </c>
      <c r="F42">
        <f ca="1">IFERROR(IF(0=LEN(ReferenceData!$F$42),"",ReferenceData!$F$42),"")</f>
        <v>8.4222140490000008</v>
      </c>
      <c r="G42">
        <f ca="1">IFERROR(IF(0=LEN(ReferenceData!$G$42),"",ReferenceData!$G$42),"")</f>
        <v>9.6042868919999993</v>
      </c>
      <c r="H42">
        <f ca="1">IFERROR(IF(0=LEN(ReferenceData!$H$42),"",ReferenceData!$H$42),"")</f>
        <v>10.05385996</v>
      </c>
      <c r="I42">
        <f ca="1">IFERROR(IF(0=LEN(ReferenceData!$I$42),"",ReferenceData!$I$42),"")</f>
        <v>10.882070949999999</v>
      </c>
      <c r="J42">
        <f ca="1">IFERROR(IF(0=LEN(ReferenceData!$J$42),"",ReferenceData!$J$42),"")</f>
        <v>9.4027441490000001</v>
      </c>
      <c r="K42">
        <f ca="1">IFERROR(IF(0=LEN(ReferenceData!$K$42),"",ReferenceData!$K$42),"")</f>
        <v>8.8517745300000001</v>
      </c>
      <c r="L42">
        <f ca="1">IFERROR(IF(0=LEN(ReferenceData!$L$42),"",ReferenceData!$L$42),"")</f>
        <v>9.6875</v>
      </c>
      <c r="M42">
        <f ca="1">IFERROR(IF(0=LEN(ReferenceData!$M$42),"",ReferenceData!$M$42),"")</f>
        <v>9.3125304730000007</v>
      </c>
      <c r="N42">
        <f ca="1">IFERROR(IF(0=LEN(ReferenceData!$N$42),"",ReferenceData!$N$42),"")</f>
        <v>8.7994542970000005</v>
      </c>
      <c r="O42">
        <f ca="1">IFERROR(IF(0=LEN(ReferenceData!$O$42),"",ReferenceData!$O$42),"")</f>
        <v>8.5693536669999997</v>
      </c>
      <c r="P42">
        <f ca="1">IFERROR(IF(0=LEN(ReferenceData!$P$42),"",ReferenceData!$P$42),"")</f>
        <v>9.7854526429999993</v>
      </c>
      <c r="Q42">
        <f ca="1">IFERROR(IF(0=LEN(ReferenceData!$Q$42),"",ReferenceData!$Q$42),"")</f>
        <v>10.426540279999999</v>
      </c>
      <c r="R42">
        <f ca="1">IFERROR(IF(0=LEN(ReferenceData!$R$42),"",ReferenceData!$R$42),"")</f>
        <v>7.3774633649999997</v>
      </c>
      <c r="S42">
        <f ca="1">IFERROR(IF(0=LEN(ReferenceData!$S$42),"",ReferenceData!$S$42),"")</f>
        <v>10.828625239999999</v>
      </c>
      <c r="T42">
        <f ca="1">IFERROR(IF(0=LEN(ReferenceData!$T$42),"",ReferenceData!$T$42),"")</f>
        <v>9.8895027619999993</v>
      </c>
      <c r="U42">
        <f ca="1">IFERROR(IF(0=LEN(ReferenceData!$U$42),"",ReferenceData!$U$42),"")</f>
        <v>10.441527450000001</v>
      </c>
      <c r="V42">
        <f ca="1">IFERROR(IF(0=LEN(ReferenceData!$V$42),"",ReferenceData!$V$42),"")</f>
        <v>13.74007937</v>
      </c>
      <c r="W42">
        <f ca="1">IFERROR(IF(0=LEN(ReferenceData!$W$42),"",ReferenceData!$W$42),"")</f>
        <v>11.35781383</v>
      </c>
      <c r="X42">
        <f ca="1">IFERROR(IF(0=LEN(ReferenceData!$X$42),"",ReferenceData!$X$42),"")</f>
        <v>10.58823529</v>
      </c>
      <c r="Y42">
        <f ca="1">IFERROR(IF(0=LEN(ReferenceData!$Y$42),"",ReferenceData!$Y$42),"")</f>
        <v>8.825065274</v>
      </c>
      <c r="Z42">
        <f ca="1">IFERROR(IF(0=LEN(ReferenceData!$Z$42),"",ReferenceData!$Z$42),"")</f>
        <v>9.3649085040000006</v>
      </c>
      <c r="AA42">
        <f ca="1">IFERROR(IF(0=LEN(ReferenceData!$AA$42),"",ReferenceData!$AA$42),"")</f>
        <v>10.695876289999999</v>
      </c>
      <c r="AB42">
        <f ca="1">IFERROR(IF(0=LEN(ReferenceData!$AB$42),"",ReferenceData!$AB$42),"")</f>
        <v>10.141813490000001</v>
      </c>
      <c r="AC42">
        <f ca="1">IFERROR(IF(0=LEN(ReferenceData!$AC$42),"",ReferenceData!$AC$42),"")</f>
        <v>10.03177485</v>
      </c>
      <c r="AD42">
        <f ca="1">IFERROR(IF(0=LEN(ReferenceData!$AD$42),"",ReferenceData!$AD$42),"")</f>
        <v>8.308042489</v>
      </c>
      <c r="AE42">
        <f ca="1">IFERROR(IF(0=LEN(ReferenceData!$AE$42),"",ReferenceData!$AE$42),"")</f>
        <v>9.6352374399999992</v>
      </c>
      <c r="AF42">
        <f ca="1">IFERROR(IF(0=LEN(ReferenceData!$AF$42),"",ReferenceData!$AF$42),"")</f>
        <v>6.5752128670000003</v>
      </c>
      <c r="AG42">
        <f ca="1">IFERROR(IF(0=LEN(ReferenceData!$AG$42),"",ReferenceData!$AG$42),"")</f>
        <v>7.389362566</v>
      </c>
      <c r="AH42">
        <f ca="1">IFERROR(IF(0=LEN(ReferenceData!$AH$42),"",ReferenceData!$AH$42),"")</f>
        <v>9.9428571429999995</v>
      </c>
      <c r="AI42">
        <f ca="1">IFERROR(IF(0=LEN(ReferenceData!$AI$42),"",ReferenceData!$AI$42),"")</f>
        <v>8.0846241029999995</v>
      </c>
      <c r="AJ42">
        <f ca="1">IFERROR(IF(0=LEN(ReferenceData!$AJ$42),"",ReferenceData!$AJ$42),"")</f>
        <v>7.0114942530000004</v>
      </c>
      <c r="AK42">
        <f ca="1">IFERROR(IF(0=LEN(ReferenceData!$AK$42),"",ReferenceData!$AK$42),"")</f>
        <v>7.0138888890000004</v>
      </c>
      <c r="AL42">
        <f ca="1">IFERROR(IF(0=LEN(ReferenceData!$AL$42),"",ReferenceData!$AL$42),"")</f>
        <v>7.2442486539999997</v>
      </c>
      <c r="AM42">
        <f ca="1">IFERROR(IF(0=LEN(ReferenceData!$AM$42),"",ReferenceData!$AM$42),"")</f>
        <v>8.2275505409999994</v>
      </c>
      <c r="AN42">
        <f ca="1">IFERROR(IF(0=LEN(ReferenceData!$AN$42),"",ReferenceData!$AN$42),"")</f>
        <v>10.46511628</v>
      </c>
      <c r="AO42">
        <f ca="1">IFERROR(IF(0=LEN(ReferenceData!$AO$42),"",ReferenceData!$AO$42),"")</f>
        <v>9.4543940020000008</v>
      </c>
      <c r="AP42">
        <f ca="1">IFERROR(IF(0=LEN(ReferenceData!$AP$42),"",ReferenceData!$AP$42),"")</f>
        <v>8.6076817559999999</v>
      </c>
      <c r="AQ42">
        <f ca="1">IFERROR(IF(0=LEN(ReferenceData!$AQ$42),"",ReferenceData!$AQ$42),"")</f>
        <v>8.6922474550000004</v>
      </c>
      <c r="AR42">
        <f ca="1">IFERROR(IF(0=LEN(ReferenceData!$AR$42),"",ReferenceData!$AR$42),"")</f>
        <v>8.8548910519999993</v>
      </c>
      <c r="AS42">
        <f ca="1">IFERROR(IF(0=LEN(ReferenceData!$AS$42),"",ReferenceData!$AS$42),"")</f>
        <v>8.083596215</v>
      </c>
    </row>
    <row r="43" spans="1:45" x14ac:dyDescent="0.25">
      <c r="A43" t="str">
        <f>IFERROR(IF(0=LEN(ReferenceData!$A$43),"",ReferenceData!$A$43),"")</f>
        <v xml:space="preserve">        Sterling</v>
      </c>
      <c r="B43" t="str">
        <f>IFERROR(IF(0=LEN(ReferenceData!$B$43),"",ReferenceData!$B$43),"")</f>
        <v>DAI GR Equity</v>
      </c>
      <c r="C43" t="str">
        <f>IFERROR(IF(0=LEN(ReferenceData!$C$43),"",ReferenceData!$C$43),"")</f>
        <v/>
      </c>
      <c r="D43" t="str">
        <f>IFERROR(IF(0=LEN(ReferenceData!$D$43),"",ReferenceData!$D$43),"")</f>
        <v/>
      </c>
      <c r="E43" t="str">
        <f>IFERROR(IF(0=LEN(ReferenceData!$E$43),"",ReferenceData!$E$43),"")</f>
        <v>Expression</v>
      </c>
      <c r="F43" t="str">
        <f ca="1">IFERROR(IF(0=LEN(ReferenceData!$F$43),"",ReferenceData!$F$43),"")</f>
        <v/>
      </c>
      <c r="G43" t="str">
        <f ca="1">IFERROR(IF(0=LEN(ReferenceData!$G$43),"",ReferenceData!$G$43),"")</f>
        <v/>
      </c>
      <c r="H43" t="str">
        <f ca="1">IFERROR(IF(0=LEN(ReferenceData!$H$43),"",ReferenceData!$H$43),"")</f>
        <v/>
      </c>
      <c r="I43" t="str">
        <f ca="1">IFERROR(IF(0=LEN(ReferenceData!$I$43),"",ReferenceData!$I$43),"")</f>
        <v/>
      </c>
      <c r="J43" t="str">
        <f ca="1">IFERROR(IF(0=LEN(ReferenceData!$J$43),"",ReferenceData!$J$43),"")</f>
        <v/>
      </c>
      <c r="K43" t="str">
        <f ca="1">IFERROR(IF(0=LEN(ReferenceData!$K$43),"",ReferenceData!$K$43),"")</f>
        <v/>
      </c>
      <c r="L43" t="str">
        <f ca="1">IFERROR(IF(0=LEN(ReferenceData!$L$43),"",ReferenceData!$L$43),"")</f>
        <v/>
      </c>
      <c r="M43" t="str">
        <f ca="1">IFERROR(IF(0=LEN(ReferenceData!$M$43),"",ReferenceData!$M$43),"")</f>
        <v/>
      </c>
      <c r="N43" t="str">
        <f ca="1">IFERROR(IF(0=LEN(ReferenceData!$N$43),"",ReferenceData!$N$43),"")</f>
        <v/>
      </c>
      <c r="O43" t="str">
        <f ca="1">IFERROR(IF(0=LEN(ReferenceData!$O$43),"",ReferenceData!$O$43),"")</f>
        <v/>
      </c>
      <c r="P43" t="str">
        <f ca="1">IFERROR(IF(0=LEN(ReferenceData!$P$43),"",ReferenceData!$P$43),"")</f>
        <v/>
      </c>
      <c r="Q43" t="str">
        <f ca="1">IFERROR(IF(0=LEN(ReferenceData!$Q$43),"",ReferenceData!$Q$43),"")</f>
        <v/>
      </c>
      <c r="R43" t="str">
        <f ca="1">IFERROR(IF(0=LEN(ReferenceData!$R$43),"",ReferenceData!$R$43),"")</f>
        <v/>
      </c>
      <c r="S43" t="str">
        <f ca="1">IFERROR(IF(0=LEN(ReferenceData!$S$43),"",ReferenceData!$S$43),"")</f>
        <v/>
      </c>
      <c r="T43" t="str">
        <f ca="1">IFERROR(IF(0=LEN(ReferenceData!$T$43),"",ReferenceData!$T$43),"")</f>
        <v/>
      </c>
      <c r="U43" t="str">
        <f ca="1">IFERROR(IF(0=LEN(ReferenceData!$U$43),"",ReferenceData!$U$43),"")</f>
        <v/>
      </c>
      <c r="V43" t="str">
        <f ca="1">IFERROR(IF(0=LEN(ReferenceData!$V$43),"",ReferenceData!$V$43),"")</f>
        <v/>
      </c>
      <c r="W43" t="str">
        <f ca="1">IFERROR(IF(0=LEN(ReferenceData!$W$43),"",ReferenceData!$W$43),"")</f>
        <v/>
      </c>
      <c r="X43" t="str">
        <f ca="1">IFERROR(IF(0=LEN(ReferenceData!$X$43),"",ReferenceData!$X$43),"")</f>
        <v/>
      </c>
      <c r="Y43" t="str">
        <f ca="1">IFERROR(IF(0=LEN(ReferenceData!$Y$43),"",ReferenceData!$Y$43),"")</f>
        <v/>
      </c>
      <c r="Z43" t="str">
        <f ca="1">IFERROR(IF(0=LEN(ReferenceData!$Z$43),"",ReferenceData!$Z$43),"")</f>
        <v/>
      </c>
      <c r="AA43" t="str">
        <f ca="1">IFERROR(IF(0=LEN(ReferenceData!$AA$43),"",ReferenceData!$AA$43),"")</f>
        <v/>
      </c>
      <c r="AB43" t="str">
        <f ca="1">IFERROR(IF(0=LEN(ReferenceData!$AB$43),"",ReferenceData!$AB$43),"")</f>
        <v/>
      </c>
      <c r="AC43" t="str">
        <f ca="1">IFERROR(IF(0=LEN(ReferenceData!$AC$43),"",ReferenceData!$AC$43),"")</f>
        <v/>
      </c>
      <c r="AD43" t="str">
        <f ca="1">IFERROR(IF(0=LEN(ReferenceData!$AD$43),"",ReferenceData!$AD$43),"")</f>
        <v/>
      </c>
      <c r="AE43" t="str">
        <f ca="1">IFERROR(IF(0=LEN(ReferenceData!$AE$43),"",ReferenceData!$AE$43),"")</f>
        <v/>
      </c>
      <c r="AF43" t="str">
        <f ca="1">IFERROR(IF(0=LEN(ReferenceData!$AF$43),"",ReferenceData!$AF$43),"")</f>
        <v/>
      </c>
      <c r="AG43" t="str">
        <f ca="1">IFERROR(IF(0=LEN(ReferenceData!$AG$43),"",ReferenceData!$AG$43),"")</f>
        <v/>
      </c>
      <c r="AH43" t="str">
        <f ca="1">IFERROR(IF(0=LEN(ReferenceData!$AH$43),"",ReferenceData!$AH$43),"")</f>
        <v/>
      </c>
      <c r="AI43" t="str">
        <f ca="1">IFERROR(IF(0=LEN(ReferenceData!$AI$43),"",ReferenceData!$AI$43),"")</f>
        <v/>
      </c>
      <c r="AJ43" t="str">
        <f ca="1">IFERROR(IF(0=LEN(ReferenceData!$AJ$43),"",ReferenceData!$AJ$43),"")</f>
        <v/>
      </c>
      <c r="AK43" t="str">
        <f ca="1">IFERROR(IF(0=LEN(ReferenceData!$AK$43),"",ReferenceData!$AK$43),"")</f>
        <v/>
      </c>
      <c r="AL43" t="str">
        <f ca="1">IFERROR(IF(0=LEN(ReferenceData!$AL$43),"",ReferenceData!$AL$43),"")</f>
        <v/>
      </c>
      <c r="AM43" t="str">
        <f ca="1">IFERROR(IF(0=LEN(ReferenceData!$AM$43),"",ReferenceData!$AM$43),"")</f>
        <v/>
      </c>
      <c r="AN43" t="str">
        <f ca="1">IFERROR(IF(0=LEN(ReferenceData!$AN$43),"",ReferenceData!$AN$43),"")</f>
        <v/>
      </c>
      <c r="AO43" t="str">
        <f ca="1">IFERROR(IF(0=LEN(ReferenceData!$AO$43),"",ReferenceData!$AO$43),"")</f>
        <v/>
      </c>
      <c r="AP43" t="str">
        <f ca="1">IFERROR(IF(0=LEN(ReferenceData!$AP$43),"",ReferenceData!$AP$43),"")</f>
        <v/>
      </c>
      <c r="AQ43" t="str">
        <f ca="1">IFERROR(IF(0=LEN(ReferenceData!$AQ$43),"",ReferenceData!$AQ$43),"")</f>
        <v/>
      </c>
      <c r="AR43" t="str">
        <f ca="1">IFERROR(IF(0=LEN(ReferenceData!$AR$43),"",ReferenceData!$AR$43),"")</f>
        <v/>
      </c>
      <c r="AS43" t="str">
        <f ca="1">IFERROR(IF(0=LEN(ReferenceData!$AS$43),"",ReferenceData!$AS$43),"")</f>
        <v/>
      </c>
    </row>
    <row r="44" spans="1:45" x14ac:dyDescent="0.25">
      <c r="A44" t="str">
        <f>IFERROR(IF(0=LEN(ReferenceData!$A$44),"",ReferenceData!$A$44),"")</f>
        <v xml:space="preserve">    PACCAR</v>
      </c>
      <c r="B44" t="str">
        <f>IFERROR(IF(0=LEN(ReferenceData!$B$44),"",ReferenceData!$B$44),"")</f>
        <v>PCAR US Equity</v>
      </c>
      <c r="C44" t="str">
        <f>IFERROR(IF(0=LEN(ReferenceData!$C$44),"",ReferenceData!$C$44),"")</f>
        <v/>
      </c>
      <c r="D44" t="str">
        <f>IFERROR(IF(0=LEN(ReferenceData!$D$44),"",ReferenceData!$D$44),"")</f>
        <v/>
      </c>
      <c r="E44" t="str">
        <f>IFERROR(IF(0=LEN(ReferenceData!$E$44),"",ReferenceData!$E$44),"")</f>
        <v>Sum</v>
      </c>
      <c r="F44">
        <f ca="1">IFERROR(IF(0=LEN(ReferenceData!$F$44),"",ReferenceData!$F$44),"")</f>
        <v>25.891872012</v>
      </c>
      <c r="G44">
        <f ca="1">IFERROR(IF(0=LEN(ReferenceData!$G$44),"",ReferenceData!$G$44),"")</f>
        <v>27.617477319999999</v>
      </c>
      <c r="H44">
        <f ca="1">IFERROR(IF(0=LEN(ReferenceData!$H$44),"",ReferenceData!$H$44),"")</f>
        <v>29.08438061</v>
      </c>
      <c r="I44">
        <f ca="1">IFERROR(IF(0=LEN(ReferenceData!$I$44),"",ReferenceData!$I$44),"")</f>
        <v>33.509108349999998</v>
      </c>
      <c r="J44">
        <f ca="1">IFERROR(IF(0=LEN(ReferenceData!$J$44),"",ReferenceData!$J$44),"")</f>
        <v>26.795803069999998</v>
      </c>
      <c r="K44">
        <f ca="1">IFERROR(IF(0=LEN(ReferenceData!$K$44),"",ReferenceData!$K$44),"")</f>
        <v>29.853862209999999</v>
      </c>
      <c r="L44">
        <f ca="1">IFERROR(IF(0=LEN(ReferenceData!$L$44),"",ReferenceData!$L$44),"")</f>
        <v>25</v>
      </c>
      <c r="M44">
        <f ca="1">IFERROR(IF(0=LEN(ReferenceData!$M$44),"",ReferenceData!$M$44),"")</f>
        <v>26.182350069999998</v>
      </c>
      <c r="N44">
        <f ca="1">IFERROR(IF(0=LEN(ReferenceData!$N$44),"",ReferenceData!$N$44),"")</f>
        <v>28.171896310000001</v>
      </c>
      <c r="O44">
        <f ca="1">IFERROR(IF(0=LEN(ReferenceData!$O$44),"",ReferenceData!$O$44),"")</f>
        <v>25.708061000000001</v>
      </c>
      <c r="P44">
        <f ca="1">IFERROR(IF(0=LEN(ReferenceData!$P$44),"",ReferenceData!$P$44),"")</f>
        <v>25.53636839</v>
      </c>
      <c r="Q44">
        <f ca="1">IFERROR(IF(0=LEN(ReferenceData!$Q$44),"",ReferenceData!$Q$44),"")</f>
        <v>24.381253300000001</v>
      </c>
      <c r="R44">
        <f ca="1">IFERROR(IF(0=LEN(ReferenceData!$R$44),"",ReferenceData!$R$44),"")</f>
        <v>27.03385548</v>
      </c>
      <c r="S44">
        <f ca="1">IFERROR(IF(0=LEN(ReferenceData!$S$44),"",ReferenceData!$S$44),"")</f>
        <v>23.634651601000002</v>
      </c>
      <c r="T44">
        <f ca="1">IFERROR(IF(0=LEN(ReferenceData!$T$44),"",ReferenceData!$T$44),"")</f>
        <v>28.950276240000001</v>
      </c>
      <c r="U44">
        <f ca="1">IFERROR(IF(0=LEN(ReferenceData!$U$44),"",ReferenceData!$U$44),"")</f>
        <v>27.863961809999999</v>
      </c>
      <c r="V44">
        <f ca="1">IFERROR(IF(0=LEN(ReferenceData!$V$44),"",ReferenceData!$V$44),"")</f>
        <v>26.240079360000003</v>
      </c>
      <c r="W44">
        <f ca="1">IFERROR(IF(0=LEN(ReferenceData!$W$44),"",ReferenceData!$W$44),"")</f>
        <v>21.007685742</v>
      </c>
      <c r="X44">
        <f ca="1">IFERROR(IF(0=LEN(ReferenceData!$X$44),"",ReferenceData!$X$44),"")</f>
        <v>21.739130429999999</v>
      </c>
      <c r="Y44">
        <f ca="1">IFERROR(IF(0=LEN(ReferenceData!$Y$44),"",ReferenceData!$Y$44),"")</f>
        <v>22.297650132999998</v>
      </c>
      <c r="Z44">
        <f ca="1">IFERROR(IF(0=LEN(ReferenceData!$Z$44),"",ReferenceData!$Z$44),"")</f>
        <v>17.384284176000001</v>
      </c>
      <c r="AA44">
        <f ca="1">IFERROR(IF(0=LEN(ReferenceData!$AA$44),"",ReferenceData!$AA$44),"")</f>
        <v>18.75</v>
      </c>
      <c r="AB44">
        <f ca="1">IFERROR(IF(0=LEN(ReferenceData!$AB$44),"",ReferenceData!$AB$44),"")</f>
        <v>20.928233773999999</v>
      </c>
      <c r="AC44">
        <f ca="1">IFERROR(IF(0=LEN(ReferenceData!$AC$44),"",ReferenceData!$AC$44),"")</f>
        <v>22.968679074999997</v>
      </c>
      <c r="AD44">
        <f ca="1">IFERROR(IF(0=LEN(ReferenceData!$AD$44),"",ReferenceData!$AD$44),"")</f>
        <v>19.537177542999999</v>
      </c>
      <c r="AE44">
        <f ca="1">IFERROR(IF(0=LEN(ReferenceData!$AE$44),"",ReferenceData!$AE$44),"")</f>
        <v>23.090158289999998</v>
      </c>
      <c r="AF44">
        <f ca="1">IFERROR(IF(0=LEN(ReferenceData!$AF$44),"",ReferenceData!$AF$44),"")</f>
        <v>28.240302740000001</v>
      </c>
      <c r="AG44">
        <f ca="1">IFERROR(IF(0=LEN(ReferenceData!$AG$44),"",ReferenceData!$AG$44),"")</f>
        <v>27.933414540000001</v>
      </c>
      <c r="AH44">
        <f ca="1">IFERROR(IF(0=LEN(ReferenceData!$AH$44),"",ReferenceData!$AH$44),"")</f>
        <v>22.323809519999998</v>
      </c>
      <c r="AI44">
        <f ca="1">IFERROR(IF(0=LEN(ReferenceData!$AI$44),"",ReferenceData!$AI$44),"")</f>
        <v>26.48281072</v>
      </c>
      <c r="AJ44">
        <f ca="1">IFERROR(IF(0=LEN(ReferenceData!$AJ$44),"",ReferenceData!$AJ$44),"")</f>
        <v>27.62452107</v>
      </c>
      <c r="AK44">
        <f ca="1">IFERROR(IF(0=LEN(ReferenceData!$AK$44),"",ReferenceData!$AK$44),"")</f>
        <v>24.82638889</v>
      </c>
      <c r="AL44">
        <f ca="1">IFERROR(IF(0=LEN(ReferenceData!$AL$44),"",ReferenceData!$AL$44),"")</f>
        <v>25.403817912999997</v>
      </c>
      <c r="AM44">
        <f ca="1">IFERROR(IF(0=LEN(ReferenceData!$AM$44),"",ReferenceData!$AM$44),"")</f>
        <v>28.25575929</v>
      </c>
      <c r="AN44">
        <f ca="1">IFERROR(IF(0=LEN(ReferenceData!$AN$44),"",ReferenceData!$AN$44),"")</f>
        <v>28.919729929999999</v>
      </c>
      <c r="AO44">
        <f ca="1">IFERROR(IF(0=LEN(ReferenceData!$AO$44),"",ReferenceData!$AO$44),"")</f>
        <v>31.070387340000003</v>
      </c>
      <c r="AP44">
        <f ca="1">IFERROR(IF(0=LEN(ReferenceData!$AP$44),"",ReferenceData!$AP$44),"")</f>
        <v>29.252400539999996</v>
      </c>
      <c r="AQ44">
        <f ca="1">IFERROR(IF(0=LEN(ReferenceData!$AQ$44),"",ReferenceData!$AQ$44),"")</f>
        <v>32.223962409999999</v>
      </c>
      <c r="AR44">
        <f ca="1">IFERROR(IF(0=LEN(ReferenceData!$AR$44),"",ReferenceData!$AR$44),"")</f>
        <v>33.657858130000001</v>
      </c>
      <c r="AS44">
        <f ca="1">IFERROR(IF(0=LEN(ReferenceData!$AS$44),"",ReferenceData!$AS$44),"")</f>
        <v>30.08675079</v>
      </c>
    </row>
    <row r="45" spans="1:45" x14ac:dyDescent="0.25">
      <c r="A45" t="str">
        <f>IFERROR(IF(0=LEN(ReferenceData!$A$45),"",ReferenceData!$A$45),"")</f>
        <v xml:space="preserve">        Kenworth</v>
      </c>
      <c r="B45" t="str">
        <f>IFERROR(IF(0=LEN(ReferenceData!$B$45),"",ReferenceData!$B$45),"")</f>
        <v>PCAR US Equity</v>
      </c>
      <c r="C45" t="str">
        <f>IFERROR(IF(0=LEN(ReferenceData!$C$45),"",ReferenceData!$C$45),"")</f>
        <v/>
      </c>
      <c r="D45" t="str">
        <f>IFERROR(IF(0=LEN(ReferenceData!$D$45),"",ReferenceData!$D$45),"")</f>
        <v/>
      </c>
      <c r="E45" t="str">
        <f>IFERROR(IF(0=LEN(ReferenceData!$E$45),"",ReferenceData!$E$45),"")</f>
        <v>Expression</v>
      </c>
      <c r="F45">
        <f ca="1">IFERROR(IF(0=LEN(ReferenceData!$F$45),"",ReferenceData!$F$45),"")</f>
        <v>16.550202280000001</v>
      </c>
      <c r="G45">
        <f ca="1">IFERROR(IF(0=LEN(ReferenceData!$G$45),"",ReferenceData!$G$45),"")</f>
        <v>17.31244847</v>
      </c>
      <c r="H45">
        <f ca="1">IFERROR(IF(0=LEN(ReferenceData!$H$45),"",ReferenceData!$H$45),"")</f>
        <v>16.786355480000001</v>
      </c>
      <c r="I45">
        <f ca="1">IFERROR(IF(0=LEN(ReferenceData!$I$45),"",ReferenceData!$I$45),"")</f>
        <v>20.5177373</v>
      </c>
      <c r="J45">
        <f ca="1">IFERROR(IF(0=LEN(ReferenceData!$J$45),"",ReferenceData!$J$45),"")</f>
        <v>15.81920904</v>
      </c>
      <c r="K45">
        <f ca="1">IFERROR(IF(0=LEN(ReferenceData!$K$45),"",ReferenceData!$K$45),"")</f>
        <v>17.45302714</v>
      </c>
      <c r="L45">
        <f ca="1">IFERROR(IF(0=LEN(ReferenceData!$L$45),"",ReferenceData!$L$45),"")</f>
        <v>13.28125</v>
      </c>
      <c r="M45">
        <f ca="1">IFERROR(IF(0=LEN(ReferenceData!$M$45),"",ReferenceData!$M$45),"")</f>
        <v>14.480741099999999</v>
      </c>
      <c r="N45">
        <f ca="1">IFERROR(IF(0=LEN(ReferenceData!$N$45),"",ReferenceData!$N$45),"")</f>
        <v>13.84720327</v>
      </c>
      <c r="O45">
        <f ca="1">IFERROR(IF(0=LEN(ReferenceData!$O$45),"",ReferenceData!$O$45),"")</f>
        <v>14.81481481</v>
      </c>
      <c r="P45">
        <f ca="1">IFERROR(IF(0=LEN(ReferenceData!$P$45),"",ReferenceData!$P$45),"")</f>
        <v>14.80900052</v>
      </c>
      <c r="Q45">
        <f ca="1">IFERROR(IF(0=LEN(ReferenceData!$Q$45),"",ReferenceData!$Q$45),"")</f>
        <v>13.691416540000001</v>
      </c>
      <c r="R45">
        <f ca="1">IFERROR(IF(0=LEN(ReferenceData!$R$45),"",ReferenceData!$R$45),"")</f>
        <v>14.95704901</v>
      </c>
      <c r="S45">
        <f ca="1">IFERROR(IF(0=LEN(ReferenceData!$S$45),"",ReferenceData!$S$45),"")</f>
        <v>15.16007533</v>
      </c>
      <c r="T45">
        <f ca="1">IFERROR(IF(0=LEN(ReferenceData!$T$45),"",ReferenceData!$T$45),"")</f>
        <v>15.856353589999999</v>
      </c>
      <c r="U45">
        <f ca="1">IFERROR(IF(0=LEN(ReferenceData!$U$45),"",ReferenceData!$U$45),"")</f>
        <v>15.93078759</v>
      </c>
      <c r="V45">
        <f ca="1">IFERROR(IF(0=LEN(ReferenceData!$V$45),"",ReferenceData!$V$45),"")</f>
        <v>13.83928571</v>
      </c>
      <c r="W45">
        <f ca="1">IFERROR(IF(0=LEN(ReferenceData!$W$45),"",ReferenceData!$W$45),"")</f>
        <v>12.04099061</v>
      </c>
      <c r="X45">
        <f ca="1">IFERROR(IF(0=LEN(ReferenceData!$X$45),"",ReferenceData!$X$45),"")</f>
        <v>12.5831202</v>
      </c>
      <c r="Y45">
        <f ca="1">IFERROR(IF(0=LEN(ReferenceData!$Y$45),"",ReferenceData!$Y$45),"")</f>
        <v>13.05483029</v>
      </c>
      <c r="Z45">
        <f ca="1">IFERROR(IF(0=LEN(ReferenceData!$Z$45),"",ReferenceData!$Z$45),"")</f>
        <v>9.9569429490000001</v>
      </c>
      <c r="AA45">
        <f ca="1">IFERROR(IF(0=LEN(ReferenceData!$AA$45),"",ReferenceData!$AA$45),"")</f>
        <v>9.0206185570000006</v>
      </c>
      <c r="AB45">
        <f ca="1">IFERROR(IF(0=LEN(ReferenceData!$AB$45),"",ReferenceData!$AB$45),"")</f>
        <v>12.07563386</v>
      </c>
      <c r="AC45">
        <f ca="1">IFERROR(IF(0=LEN(ReferenceData!$AC$45),"",ReferenceData!$AC$45),"")</f>
        <v>13.345438039999999</v>
      </c>
      <c r="AD45">
        <f ca="1">IFERROR(IF(0=LEN(ReferenceData!$AD$45),"",ReferenceData!$AD$45),"")</f>
        <v>11.15326252</v>
      </c>
      <c r="AE45">
        <f ca="1">IFERROR(IF(0=LEN(ReferenceData!$AE$45),"",ReferenceData!$AE$45),"")</f>
        <v>13.90227116</v>
      </c>
      <c r="AF45">
        <f ca="1">IFERROR(IF(0=LEN(ReferenceData!$AF$45),"",ReferenceData!$AF$45),"")</f>
        <v>15.042573320000001</v>
      </c>
      <c r="AG45">
        <f ca="1">IFERROR(IF(0=LEN(ReferenceData!$AG$45),"",ReferenceData!$AG$45),"")</f>
        <v>14.250913519999999</v>
      </c>
      <c r="AH45">
        <f ca="1">IFERROR(IF(0=LEN(ReferenceData!$AH$45),"",ReferenceData!$AH$45),"")</f>
        <v>11.390476189999999</v>
      </c>
      <c r="AI45">
        <f ca="1">IFERROR(IF(0=LEN(ReferenceData!$AI$45),"",ReferenceData!$AI$45),"")</f>
        <v>14.506989040000001</v>
      </c>
      <c r="AJ45">
        <f ca="1">IFERROR(IF(0=LEN(ReferenceData!$AJ$45),"",ReferenceData!$AJ$45),"")</f>
        <v>15.05747126</v>
      </c>
      <c r="AK45">
        <f ca="1">IFERROR(IF(0=LEN(ReferenceData!$AK$45),"",ReferenceData!$AK$45),"")</f>
        <v>15.13888889</v>
      </c>
      <c r="AL45">
        <f ca="1">IFERROR(IF(0=LEN(ReferenceData!$AL$45),"",ReferenceData!$AL$45),"")</f>
        <v>16.789035729999998</v>
      </c>
      <c r="AM45">
        <f ca="1">IFERROR(IF(0=LEN(ReferenceData!$AM$45),"",ReferenceData!$AM$45),"")</f>
        <v>16.07898449</v>
      </c>
      <c r="AN45">
        <f ca="1">IFERROR(IF(0=LEN(ReferenceData!$AN$45),"",ReferenceData!$AN$45),"")</f>
        <v>16.691672919999998</v>
      </c>
      <c r="AO45">
        <f ca="1">IFERROR(IF(0=LEN(ReferenceData!$AO$45),"",ReferenceData!$AO$45),"")</f>
        <v>17.159516870000001</v>
      </c>
      <c r="AP45">
        <f ca="1">IFERROR(IF(0=LEN(ReferenceData!$AP$45),"",ReferenceData!$AP$45),"")</f>
        <v>17.009602189999999</v>
      </c>
      <c r="AQ45">
        <f ca="1">IFERROR(IF(0=LEN(ReferenceData!$AQ$45),"",ReferenceData!$AQ$45),"")</f>
        <v>19.303054029999998</v>
      </c>
      <c r="AR45">
        <f ca="1">IFERROR(IF(0=LEN(ReferenceData!$AR$45),"",ReferenceData!$AR$45),"")</f>
        <v>19.286045430000001</v>
      </c>
      <c r="AS45">
        <f ca="1">IFERROR(IF(0=LEN(ReferenceData!$AS$45),"",ReferenceData!$AS$45),"")</f>
        <v>16.522082019999999</v>
      </c>
    </row>
    <row r="46" spans="1:45" x14ac:dyDescent="0.25">
      <c r="A46" t="str">
        <f>IFERROR(IF(0=LEN(ReferenceData!$A$46),"",ReferenceData!$A$46),"")</f>
        <v xml:space="preserve">        Peterbilt</v>
      </c>
      <c r="B46" t="str">
        <f>IFERROR(IF(0=LEN(ReferenceData!$B$46),"",ReferenceData!$B$46),"")</f>
        <v>PCAR US Equity</v>
      </c>
      <c r="C46" t="str">
        <f>IFERROR(IF(0=LEN(ReferenceData!$C$46),"",ReferenceData!$C$46),"")</f>
        <v/>
      </c>
      <c r="D46" t="str">
        <f>IFERROR(IF(0=LEN(ReferenceData!$D$46),"",ReferenceData!$D$46),"")</f>
        <v/>
      </c>
      <c r="E46" t="str">
        <f>IFERROR(IF(0=LEN(ReferenceData!$E$46),"",ReferenceData!$E$46),"")</f>
        <v>Expression</v>
      </c>
      <c r="F46">
        <f ca="1">IFERROR(IF(0=LEN(ReferenceData!$F$46),"",ReferenceData!$F$46),"")</f>
        <v>9.3416697319999997</v>
      </c>
      <c r="G46">
        <f ca="1">IFERROR(IF(0=LEN(ReferenceData!$G$46),"",ReferenceData!$G$46),"")</f>
        <v>10.305028849999999</v>
      </c>
      <c r="H46">
        <f ca="1">IFERROR(IF(0=LEN(ReferenceData!$H$46),"",ReferenceData!$H$46),"")</f>
        <v>12.298025129999999</v>
      </c>
      <c r="I46">
        <f ca="1">IFERROR(IF(0=LEN(ReferenceData!$I$46),"",ReferenceData!$I$46),"")</f>
        <v>12.99137105</v>
      </c>
      <c r="J46">
        <f ca="1">IFERROR(IF(0=LEN(ReferenceData!$J$46),"",ReferenceData!$J$46),"")</f>
        <v>10.976594029999999</v>
      </c>
      <c r="K46">
        <f ca="1">IFERROR(IF(0=LEN(ReferenceData!$K$46),"",ReferenceData!$K$46),"")</f>
        <v>12.400835069999999</v>
      </c>
      <c r="L46">
        <f ca="1">IFERROR(IF(0=LEN(ReferenceData!$L$46),"",ReferenceData!$L$46),"")</f>
        <v>11.71875</v>
      </c>
      <c r="M46">
        <f ca="1">IFERROR(IF(0=LEN(ReferenceData!$M$46),"",ReferenceData!$M$46),"")</f>
        <v>11.701608970000001</v>
      </c>
      <c r="N46">
        <f ca="1">IFERROR(IF(0=LEN(ReferenceData!$N$46),"",ReferenceData!$N$46),"")</f>
        <v>14.32469304</v>
      </c>
      <c r="O46">
        <f ca="1">IFERROR(IF(0=LEN(ReferenceData!$O$46),"",ReferenceData!$O$46),"")</f>
        <v>10.893246189999999</v>
      </c>
      <c r="P46">
        <f ca="1">IFERROR(IF(0=LEN(ReferenceData!$P$46),"",ReferenceData!$P$46),"")</f>
        <v>10.72736787</v>
      </c>
      <c r="Q46">
        <f ca="1">IFERROR(IF(0=LEN(ReferenceData!$Q$46),"",ReferenceData!$Q$46),"")</f>
        <v>10.68983676</v>
      </c>
      <c r="R46">
        <f ca="1">IFERROR(IF(0=LEN(ReferenceData!$R$46),"",ReferenceData!$R$46),"")</f>
        <v>12.076806469999999</v>
      </c>
      <c r="S46">
        <f ca="1">IFERROR(IF(0=LEN(ReferenceData!$S$46),"",ReferenceData!$S$46),"")</f>
        <v>8.4745762710000001</v>
      </c>
      <c r="T46">
        <f ca="1">IFERROR(IF(0=LEN(ReferenceData!$T$46),"",ReferenceData!$T$46),"")</f>
        <v>13.09392265</v>
      </c>
      <c r="U46">
        <f ca="1">IFERROR(IF(0=LEN(ReferenceData!$U$46),"",ReferenceData!$U$46),"")</f>
        <v>11.93317422</v>
      </c>
      <c r="V46">
        <f ca="1">IFERROR(IF(0=LEN(ReferenceData!$V$46),"",ReferenceData!$V$46),"")</f>
        <v>12.400793650000001</v>
      </c>
      <c r="W46">
        <f ca="1">IFERROR(IF(0=LEN(ReferenceData!$W$46),"",ReferenceData!$W$46),"")</f>
        <v>8.9666951319999999</v>
      </c>
      <c r="X46">
        <f ca="1">IFERROR(IF(0=LEN(ReferenceData!$X$46),"",ReferenceData!$X$46),"")</f>
        <v>9.1560102299999997</v>
      </c>
      <c r="Y46">
        <f ca="1">IFERROR(IF(0=LEN(ReferenceData!$Y$46),"",ReferenceData!$Y$46),"")</f>
        <v>9.2428198429999995</v>
      </c>
      <c r="Z46">
        <f ca="1">IFERROR(IF(0=LEN(ReferenceData!$Z$46),"",ReferenceData!$Z$46),"")</f>
        <v>7.4273412270000003</v>
      </c>
      <c r="AA46">
        <f ca="1">IFERROR(IF(0=LEN(ReferenceData!$AA$46),"",ReferenceData!$AA$46),"")</f>
        <v>9.7293814429999994</v>
      </c>
      <c r="AB46">
        <f ca="1">IFERROR(IF(0=LEN(ReferenceData!$AB$46),"",ReferenceData!$AB$46),"")</f>
        <v>8.8525999140000007</v>
      </c>
      <c r="AC46">
        <f ca="1">IFERROR(IF(0=LEN(ReferenceData!$AC$46),"",ReferenceData!$AC$46),"")</f>
        <v>9.6232410349999995</v>
      </c>
      <c r="AD46">
        <f ca="1">IFERROR(IF(0=LEN(ReferenceData!$AD$46),"",ReferenceData!$AD$46),"")</f>
        <v>8.3839150230000001</v>
      </c>
      <c r="AE46">
        <f ca="1">IFERROR(IF(0=LEN(ReferenceData!$AE$46),"",ReferenceData!$AE$46),"")</f>
        <v>9.18788713</v>
      </c>
      <c r="AF46">
        <f ca="1">IFERROR(IF(0=LEN(ReferenceData!$AF$46),"",ReferenceData!$AF$46),"")</f>
        <v>13.19772942</v>
      </c>
      <c r="AG46">
        <f ca="1">IFERROR(IF(0=LEN(ReferenceData!$AG$46),"",ReferenceData!$AG$46),"")</f>
        <v>13.68250102</v>
      </c>
      <c r="AH46">
        <f ca="1">IFERROR(IF(0=LEN(ReferenceData!$AH$46),"",ReferenceData!$AH$46),"")</f>
        <v>10.93333333</v>
      </c>
      <c r="AI46">
        <f ca="1">IFERROR(IF(0=LEN(ReferenceData!$AI$46),"",ReferenceData!$AI$46),"")</f>
        <v>11.975821679999999</v>
      </c>
      <c r="AJ46">
        <f ca="1">IFERROR(IF(0=LEN(ReferenceData!$AJ$46),"",ReferenceData!$AJ$46),"")</f>
        <v>12.56704981</v>
      </c>
      <c r="AK46">
        <f ca="1">IFERROR(IF(0=LEN(ReferenceData!$AK$46),"",ReferenceData!$AK$46),"")</f>
        <v>9.6875</v>
      </c>
      <c r="AL46">
        <f ca="1">IFERROR(IF(0=LEN(ReferenceData!$AL$46),"",ReferenceData!$AL$46),"")</f>
        <v>8.6147821830000009</v>
      </c>
      <c r="AM46">
        <f ca="1">IFERROR(IF(0=LEN(ReferenceData!$AM$46),"",ReferenceData!$AM$46),"")</f>
        <v>12.1767748</v>
      </c>
      <c r="AN46">
        <f ca="1">IFERROR(IF(0=LEN(ReferenceData!$AN$46),"",ReferenceData!$AN$46),"")</f>
        <v>12.228057010000001</v>
      </c>
      <c r="AO46">
        <f ca="1">IFERROR(IF(0=LEN(ReferenceData!$AO$46),"",ReferenceData!$AO$46),"")</f>
        <v>13.910870470000001</v>
      </c>
      <c r="AP46">
        <f ca="1">IFERROR(IF(0=LEN(ReferenceData!$AP$46),"",ReferenceData!$AP$46),"")</f>
        <v>12.242798349999999</v>
      </c>
      <c r="AQ46">
        <f ca="1">IFERROR(IF(0=LEN(ReferenceData!$AQ$46),"",ReferenceData!$AQ$46),"")</f>
        <v>12.92090838</v>
      </c>
      <c r="AR46">
        <f ca="1">IFERROR(IF(0=LEN(ReferenceData!$AR$46),"",ReferenceData!$AR$46),"")</f>
        <v>14.3718127</v>
      </c>
      <c r="AS46">
        <f ca="1">IFERROR(IF(0=LEN(ReferenceData!$AS$46),"",ReferenceData!$AS$46),"")</f>
        <v>13.564668770000001</v>
      </c>
    </row>
    <row r="47" spans="1:45" x14ac:dyDescent="0.25">
      <c r="A47" t="str">
        <f>IFERROR(IF(0=LEN(ReferenceData!$A$47),"",ReferenceData!$A$47),"")</f>
        <v xml:space="preserve">    Volvo</v>
      </c>
      <c r="B47" t="str">
        <f>IFERROR(IF(0=LEN(ReferenceData!$B$47),"",ReferenceData!$B$47),"")</f>
        <v>VOLVB SS Equity</v>
      </c>
      <c r="C47" t="str">
        <f>IFERROR(IF(0=LEN(ReferenceData!$C$47),"",ReferenceData!$C$47),"")</f>
        <v/>
      </c>
      <c r="D47" t="str">
        <f>IFERROR(IF(0=LEN(ReferenceData!$D$47),"",ReferenceData!$D$47),"")</f>
        <v/>
      </c>
      <c r="E47" t="str">
        <f>IFERROR(IF(0=LEN(ReferenceData!$E$47),"",ReferenceData!$E$47),"")</f>
        <v>Sum</v>
      </c>
      <c r="F47">
        <f ca="1">IFERROR(IF(0=LEN(ReferenceData!$F$47),"",ReferenceData!$F$47),"")</f>
        <v>14.564178006999999</v>
      </c>
      <c r="G47">
        <f ca="1">IFERROR(IF(0=LEN(ReferenceData!$G$47),"",ReferenceData!$G$47),"")</f>
        <v>21.063478977999999</v>
      </c>
      <c r="H47">
        <f ca="1">IFERROR(IF(0=LEN(ReferenceData!$H$47),"",ReferenceData!$H$47),"")</f>
        <v>20.062836619999999</v>
      </c>
      <c r="I47">
        <f ca="1">IFERROR(IF(0=LEN(ReferenceData!$I$47),"",ReferenceData!$I$47),"")</f>
        <v>16.874400768999998</v>
      </c>
      <c r="J47">
        <f ca="1">IFERROR(IF(0=LEN(ReferenceData!$J$47),"",ReferenceData!$J$47),"")</f>
        <v>18.684422919999999</v>
      </c>
      <c r="K47">
        <f ca="1">IFERROR(IF(0=LEN(ReferenceData!$K$47),"",ReferenceData!$K$47),"")</f>
        <v>17.661795401999999</v>
      </c>
      <c r="L47">
        <f ca="1">IFERROR(IF(0=LEN(ReferenceData!$L$47),"",ReferenceData!$L$47),"")</f>
        <v>15.052083333000001</v>
      </c>
      <c r="M47">
        <f ca="1">IFERROR(IF(0=LEN(ReferenceData!$M$47),"",ReferenceData!$M$47),"")</f>
        <v>22.62311068</v>
      </c>
      <c r="N47">
        <f ca="1">IFERROR(IF(0=LEN(ReferenceData!$N$47),"",ReferenceData!$N$47),"")</f>
        <v>18.553888133000001</v>
      </c>
      <c r="O47">
        <f ca="1">IFERROR(IF(0=LEN(ReferenceData!$O$47),"",ReferenceData!$O$47),"")</f>
        <v>10.021786493</v>
      </c>
      <c r="P47">
        <f ca="1">IFERROR(IF(0=LEN(ReferenceData!$P$47),"",ReferenceData!$P$47),"")</f>
        <v>26.687598112000003</v>
      </c>
      <c r="Q47">
        <f ca="1">IFERROR(IF(0=LEN(ReferenceData!$Q$47),"",ReferenceData!$Q$47),"")</f>
        <v>19.062664558999998</v>
      </c>
      <c r="R47">
        <f ca="1">IFERROR(IF(0=LEN(ReferenceData!$R$47),"",ReferenceData!$R$47),"")</f>
        <v>18.393127837999998</v>
      </c>
      <c r="S47">
        <f ca="1">IFERROR(IF(0=LEN(ReferenceData!$S$47),"",ReferenceData!$S$47),"")</f>
        <v>18.596986815000001</v>
      </c>
      <c r="T47">
        <f ca="1">IFERROR(IF(0=LEN(ReferenceData!$T$47),"",ReferenceData!$T$47),"")</f>
        <v>18.950276248000002</v>
      </c>
      <c r="U47">
        <f ca="1">IFERROR(IF(0=LEN(ReferenceData!$U$47),"",ReferenceData!$U$47),"")</f>
        <v>17.004773269000001</v>
      </c>
      <c r="V47">
        <f ca="1">IFERROR(IF(0=LEN(ReferenceData!$V$47),"",ReferenceData!$V$47),"")</f>
        <v>17.509920635</v>
      </c>
      <c r="W47">
        <f ca="1">IFERROR(IF(0=LEN(ReferenceData!$W$47),"",ReferenceData!$W$47),"")</f>
        <v>21.648163963999998</v>
      </c>
      <c r="X47">
        <f ca="1">IFERROR(IF(0=LEN(ReferenceData!$X$47),"",ReferenceData!$X$47),"")</f>
        <v>21.585677748000002</v>
      </c>
      <c r="Y47">
        <f ca="1">IFERROR(IF(0=LEN(ReferenceData!$Y$47),"",ReferenceData!$Y$47),"")</f>
        <v>18.328981724000002</v>
      </c>
      <c r="Z47">
        <f ca="1">IFERROR(IF(0=LEN(ReferenceData!$Z$47),"",ReferenceData!$Z$47),"")</f>
        <v>22.551130243999999</v>
      </c>
      <c r="AA47">
        <f ca="1">IFERROR(IF(0=LEN(ReferenceData!$AA$47),"",ReferenceData!$AA$47),"")</f>
        <v>21.907216491</v>
      </c>
      <c r="AB47">
        <f ca="1">IFERROR(IF(0=LEN(ReferenceData!$AB$47),"",ReferenceData!$AB$47),"")</f>
        <v>29.480017194000002</v>
      </c>
      <c r="AC47">
        <f ca="1">IFERROR(IF(0=LEN(ReferenceData!$AC$47),"",ReferenceData!$AC$47),"")</f>
        <v>26.554698139999999</v>
      </c>
      <c r="AD47">
        <f ca="1">IFERROR(IF(0=LEN(ReferenceData!$AD$47),"",ReferenceData!$AD$47),"")</f>
        <v>20.97875569</v>
      </c>
      <c r="AE47">
        <f ca="1">IFERROR(IF(0=LEN(ReferenceData!$AE$47),"",ReferenceData!$AE$47),"")</f>
        <v>19.752236750000002</v>
      </c>
      <c r="AF47">
        <f ca="1">IFERROR(IF(0=LEN(ReferenceData!$AF$47),"",ReferenceData!$AF$47),"")</f>
        <v>20.245979187</v>
      </c>
      <c r="AG47">
        <f ca="1">IFERROR(IF(0=LEN(ReferenceData!$AG$47),"",ReferenceData!$AG$47),"")</f>
        <v>22.533495737999999</v>
      </c>
      <c r="AH47">
        <f ca="1">IFERROR(IF(0=LEN(ReferenceData!$AH$47),"",ReferenceData!$AH$47),"")</f>
        <v>25.866666663</v>
      </c>
      <c r="AI47">
        <f ca="1">IFERROR(IF(0=LEN(ReferenceData!$AI$47),"",ReferenceData!$AI$47),"")</f>
        <v>26.633925198</v>
      </c>
      <c r="AJ47">
        <f ca="1">IFERROR(IF(0=LEN(ReferenceData!$AJ$47),"",ReferenceData!$AJ$47),"")</f>
        <v>23.831417627</v>
      </c>
      <c r="AK47">
        <f ca="1">IFERROR(IF(0=LEN(ReferenceData!$AK$47),"",ReferenceData!$AK$47),"")</f>
        <v>23.506944442000002</v>
      </c>
      <c r="AL47">
        <f ca="1">IFERROR(IF(0=LEN(ReferenceData!$AL$47),"",ReferenceData!$AL$47),"")</f>
        <v>24.278022514</v>
      </c>
      <c r="AM47">
        <f ca="1">IFERROR(IF(0=LEN(ReferenceData!$AM$47),"",ReferenceData!$AM$47),"")</f>
        <v>23.930418433</v>
      </c>
      <c r="AN47">
        <f ca="1">IFERROR(IF(0=LEN(ReferenceData!$AN$47),"",ReferenceData!$AN$47),"")</f>
        <v>20.292573140000002</v>
      </c>
      <c r="AO47">
        <f ca="1">IFERROR(IF(0=LEN(ReferenceData!$AO$47),"",ReferenceData!$AO$47),"")</f>
        <v>21.074552271999998</v>
      </c>
      <c r="AP47">
        <f ca="1">IFERROR(IF(0=LEN(ReferenceData!$AP$47),"",ReferenceData!$AP$47),"")</f>
        <v>18.964334701999999</v>
      </c>
      <c r="AQ47">
        <f ca="1">IFERROR(IF(0=LEN(ReferenceData!$AQ$47),"",ReferenceData!$AQ$47),"")</f>
        <v>20.321064994</v>
      </c>
      <c r="AR47">
        <f ca="1">IFERROR(IF(0=LEN(ReferenceData!$AR$47),"",ReferenceData!$AR$47),"")</f>
        <v>22.855818269</v>
      </c>
      <c r="AS47">
        <f ca="1">IFERROR(IF(0=LEN(ReferenceData!$AS$47),"",ReferenceData!$AS$47),"")</f>
        <v>22.555205047999998</v>
      </c>
    </row>
    <row r="48" spans="1:45" x14ac:dyDescent="0.25">
      <c r="A48" t="str">
        <f>IFERROR(IF(0=LEN(ReferenceData!$A$48),"",ReferenceData!$A$48),"")</f>
        <v xml:space="preserve">        Volvo Truck</v>
      </c>
      <c r="B48" t="str">
        <f>IFERROR(IF(0=LEN(ReferenceData!$B$48),"",ReferenceData!$B$48),"")</f>
        <v>VOLVB SS Equity</v>
      </c>
      <c r="C48" t="str">
        <f>IFERROR(IF(0=LEN(ReferenceData!$C$48),"",ReferenceData!$C$48),"")</f>
        <v/>
      </c>
      <c r="D48" t="str">
        <f>IFERROR(IF(0=LEN(ReferenceData!$D$48),"",ReferenceData!$D$48),"")</f>
        <v/>
      </c>
      <c r="E48" t="str">
        <f>IFERROR(IF(0=LEN(ReferenceData!$E$48),"",ReferenceData!$E$48),"")</f>
        <v>Expression</v>
      </c>
      <c r="F48">
        <f ca="1">IFERROR(IF(0=LEN(ReferenceData!$F$48),"",ReferenceData!$F$48),"")</f>
        <v>9.5991173229999998</v>
      </c>
      <c r="G48">
        <f ca="1">IFERROR(IF(0=LEN(ReferenceData!$G$48),"",ReferenceData!$G$48),"")</f>
        <v>12.860676010000001</v>
      </c>
      <c r="H48">
        <f ca="1">IFERROR(IF(0=LEN(ReferenceData!$H$48),"",ReferenceData!$H$48),"")</f>
        <v>14.138240570000001</v>
      </c>
      <c r="I48">
        <f ca="1">IFERROR(IF(0=LEN(ReferenceData!$I$48),"",ReferenceData!$I$48),"")</f>
        <v>10.930009589999999</v>
      </c>
      <c r="J48">
        <f ca="1">IFERROR(IF(0=LEN(ReferenceData!$J$48),"",ReferenceData!$J$48),"")</f>
        <v>10.85552865</v>
      </c>
      <c r="K48">
        <f ca="1">IFERROR(IF(0=LEN(ReferenceData!$K$48),"",ReferenceData!$K$48),"")</f>
        <v>10.605427969999999</v>
      </c>
      <c r="L48">
        <f ca="1">IFERROR(IF(0=LEN(ReferenceData!$L$48),"",ReferenceData!$L$48),"")</f>
        <v>9.5833333330000006</v>
      </c>
      <c r="M48">
        <f ca="1">IFERROR(IF(0=LEN(ReferenceData!$M$48),"",ReferenceData!$M$48),"")</f>
        <v>11.75036568</v>
      </c>
      <c r="N48">
        <f ca="1">IFERROR(IF(0=LEN(ReferenceData!$N$48),"",ReferenceData!$N$48),"")</f>
        <v>11.18690314</v>
      </c>
      <c r="O48">
        <f ca="1">IFERROR(IF(0=LEN(ReferenceData!$O$48),"",ReferenceData!$O$48),"")</f>
        <v>5.1561365290000003</v>
      </c>
      <c r="P48">
        <f ca="1">IFERROR(IF(0=LEN(ReferenceData!$P$48),"",ReferenceData!$P$48),"")</f>
        <v>17.739403450000001</v>
      </c>
      <c r="Q48">
        <f ca="1">IFERROR(IF(0=LEN(ReferenceData!$Q$48),"",ReferenceData!$Q$48),"")</f>
        <v>12.796208529999999</v>
      </c>
      <c r="R48">
        <f ca="1">IFERROR(IF(0=LEN(ReferenceData!$R$48),"",ReferenceData!$R$48),"")</f>
        <v>12.379989889999999</v>
      </c>
      <c r="S48">
        <f ca="1">IFERROR(IF(0=LEN(ReferenceData!$S$48),"",ReferenceData!$S$48),"")</f>
        <v>12.33521657</v>
      </c>
      <c r="T48">
        <f ca="1">IFERROR(IF(0=LEN(ReferenceData!$T$48),"",ReferenceData!$T$48),"")</f>
        <v>12.48618785</v>
      </c>
      <c r="U48">
        <f ca="1">IFERROR(IF(0=LEN(ReferenceData!$U$48),"",ReferenceData!$U$48),"")</f>
        <v>8.0548926010000006</v>
      </c>
      <c r="V48">
        <f ca="1">IFERROR(IF(0=LEN(ReferenceData!$V$48),"",ReferenceData!$V$48),"")</f>
        <v>8.9781746029999994</v>
      </c>
      <c r="W48">
        <f ca="1">IFERROR(IF(0=LEN(ReferenceData!$W$48),"",ReferenceData!$W$48),"")</f>
        <v>14.43210931</v>
      </c>
      <c r="X48">
        <f ca="1">IFERROR(IF(0=LEN(ReferenceData!$X$48),"",ReferenceData!$X$48),"")</f>
        <v>13.35038363</v>
      </c>
      <c r="Y48">
        <f ca="1">IFERROR(IF(0=LEN(ReferenceData!$Y$48),"",ReferenceData!$Y$48),"")</f>
        <v>9.3472584859999994</v>
      </c>
      <c r="Z48">
        <f ca="1">IFERROR(IF(0=LEN(ReferenceData!$Z$48),"",ReferenceData!$Z$48),"")</f>
        <v>15.17761033</v>
      </c>
      <c r="AA48">
        <f ca="1">IFERROR(IF(0=LEN(ReferenceData!$AA$48),"",ReferenceData!$AA$48),"")</f>
        <v>13.7242268</v>
      </c>
      <c r="AB48">
        <f ca="1">IFERROR(IF(0=LEN(ReferenceData!$AB$48),"",ReferenceData!$AB$48),"")</f>
        <v>20.412548350000002</v>
      </c>
      <c r="AC48">
        <f ca="1">IFERROR(IF(0=LEN(ReferenceData!$AC$48),"",ReferenceData!$AC$48),"")</f>
        <v>16.341352700000002</v>
      </c>
      <c r="AD48">
        <f ca="1">IFERROR(IF(0=LEN(ReferenceData!$AD$48),"",ReferenceData!$AD$48),"")</f>
        <v>15.02276176</v>
      </c>
      <c r="AE48">
        <f ca="1">IFERROR(IF(0=LEN(ReferenceData!$AE$48),"",ReferenceData!$AE$48),"")</f>
        <v>13.282863040000001</v>
      </c>
      <c r="AF48">
        <f ca="1">IFERROR(IF(0=LEN(ReferenceData!$AF$48),"",ReferenceData!$AF$48),"")</f>
        <v>13.7653737</v>
      </c>
      <c r="AG48">
        <f ca="1">IFERROR(IF(0=LEN(ReferenceData!$AG$48),"",ReferenceData!$AG$48),"")</f>
        <v>16.889971580000001</v>
      </c>
      <c r="AH48">
        <f ca="1">IFERROR(IF(0=LEN(ReferenceData!$AH$48),"",ReferenceData!$AH$48),"")</f>
        <v>18.133333329999999</v>
      </c>
      <c r="AI48">
        <f ca="1">IFERROR(IF(0=LEN(ReferenceData!$AI$48),"",ReferenceData!$AI$48),"")</f>
        <v>17.075935019999999</v>
      </c>
      <c r="AJ48">
        <f ca="1">IFERROR(IF(0=LEN(ReferenceData!$AJ$48),"",ReferenceData!$AJ$48),"")</f>
        <v>17.164750959999999</v>
      </c>
      <c r="AK48">
        <f ca="1">IFERROR(IF(0=LEN(ReferenceData!$AK$48),"",ReferenceData!$AK$48),"")</f>
        <v>15.972222220000001</v>
      </c>
      <c r="AL48">
        <f ca="1">IFERROR(IF(0=LEN(ReferenceData!$AL$48),"",ReferenceData!$AL$48),"")</f>
        <v>18.89378365</v>
      </c>
      <c r="AM48">
        <f ca="1">IFERROR(IF(0=LEN(ReferenceData!$AM$48),"",ReferenceData!$AM$48),"")</f>
        <v>15.89092619</v>
      </c>
      <c r="AN48">
        <f ca="1">IFERROR(IF(0=LEN(ReferenceData!$AN$48),"",ReferenceData!$AN$48),"")</f>
        <v>14.216054010000001</v>
      </c>
      <c r="AO48">
        <f ca="1">IFERROR(IF(0=LEN(ReferenceData!$AO$48),"",ReferenceData!$AO$48),"")</f>
        <v>15.368596419999999</v>
      </c>
      <c r="AP48">
        <f ca="1">IFERROR(IF(0=LEN(ReferenceData!$AP$48),"",ReferenceData!$AP$48),"")</f>
        <v>15.15775034</v>
      </c>
      <c r="AQ48">
        <f ca="1">IFERROR(IF(0=LEN(ReferenceData!$AQ$48),"",ReferenceData!$AQ$48),"")</f>
        <v>13.58653093</v>
      </c>
      <c r="AR48">
        <f ca="1">IFERROR(IF(0=LEN(ReferenceData!$AR$48),"",ReferenceData!$AR$48),"")</f>
        <v>15.15994437</v>
      </c>
      <c r="AS48">
        <f ca="1">IFERROR(IF(0=LEN(ReferenceData!$AS$48),"",ReferenceData!$AS$48),"")</f>
        <v>13.32807571</v>
      </c>
    </row>
    <row r="49" spans="1:45" x14ac:dyDescent="0.25">
      <c r="A49" t="str">
        <f>IFERROR(IF(0=LEN(ReferenceData!$A$49),"",ReferenceData!$A$49),"")</f>
        <v xml:space="preserve">        Mack</v>
      </c>
      <c r="B49" t="str">
        <f>IFERROR(IF(0=LEN(ReferenceData!$B$49),"",ReferenceData!$B$49),"")</f>
        <v>VOLVB SS Equity</v>
      </c>
      <c r="C49" t="str">
        <f>IFERROR(IF(0=LEN(ReferenceData!$C$49),"",ReferenceData!$C$49),"")</f>
        <v/>
      </c>
      <c r="D49" t="str">
        <f>IFERROR(IF(0=LEN(ReferenceData!$D$49),"",ReferenceData!$D$49),"")</f>
        <v/>
      </c>
      <c r="E49" t="str">
        <f>IFERROR(IF(0=LEN(ReferenceData!$E$49),"",ReferenceData!$E$49),"")</f>
        <v>Expression</v>
      </c>
      <c r="F49">
        <f ca="1">IFERROR(IF(0=LEN(ReferenceData!$F$49),"",ReferenceData!$F$49),"")</f>
        <v>4.965060684</v>
      </c>
      <c r="G49">
        <f ca="1">IFERROR(IF(0=LEN(ReferenceData!$G$49),"",ReferenceData!$G$49),"")</f>
        <v>8.2028029680000003</v>
      </c>
      <c r="H49">
        <f ca="1">IFERROR(IF(0=LEN(ReferenceData!$H$49),"",ReferenceData!$H$49),"")</f>
        <v>5.9245960499999999</v>
      </c>
      <c r="I49">
        <f ca="1">IFERROR(IF(0=LEN(ReferenceData!$I$49),"",ReferenceData!$I$49),"")</f>
        <v>5.9443911790000001</v>
      </c>
      <c r="J49">
        <f ca="1">IFERROR(IF(0=LEN(ReferenceData!$J$49),"",ReferenceData!$J$49),"")</f>
        <v>7.8288942700000002</v>
      </c>
      <c r="K49">
        <f ca="1">IFERROR(IF(0=LEN(ReferenceData!$K$49),"",ReferenceData!$K$49),"")</f>
        <v>7.0563674320000001</v>
      </c>
      <c r="L49">
        <f ca="1">IFERROR(IF(0=LEN(ReferenceData!$L$49),"",ReferenceData!$L$49),"")</f>
        <v>5.46875</v>
      </c>
      <c r="M49">
        <f ca="1">IFERROR(IF(0=LEN(ReferenceData!$M$49),"",ReferenceData!$M$49),"")</f>
        <v>10.872745</v>
      </c>
      <c r="N49">
        <f ca="1">IFERROR(IF(0=LEN(ReferenceData!$N$49),"",ReferenceData!$N$49),"")</f>
        <v>7.366984993</v>
      </c>
      <c r="O49">
        <f ca="1">IFERROR(IF(0=LEN(ReferenceData!$O$49),"",ReferenceData!$O$49),"")</f>
        <v>4.8656499640000002</v>
      </c>
      <c r="P49">
        <f ca="1">IFERROR(IF(0=LEN(ReferenceData!$P$49),"",ReferenceData!$P$49),"")</f>
        <v>8.9481946620000006</v>
      </c>
      <c r="Q49">
        <f ca="1">IFERROR(IF(0=LEN(ReferenceData!$Q$49),"",ReferenceData!$Q$49),"")</f>
        <v>6.2664560290000004</v>
      </c>
      <c r="R49">
        <f ca="1">IFERROR(IF(0=LEN(ReferenceData!$R$49),"",ReferenceData!$R$49),"")</f>
        <v>6.0131379479999998</v>
      </c>
      <c r="S49">
        <f ca="1">IFERROR(IF(0=LEN(ReferenceData!$S$49),"",ReferenceData!$S$49),"")</f>
        <v>6.2617702450000001</v>
      </c>
      <c r="T49">
        <f ca="1">IFERROR(IF(0=LEN(ReferenceData!$T$49),"",ReferenceData!$T$49),"")</f>
        <v>6.4640883980000003</v>
      </c>
      <c r="U49">
        <f ca="1">IFERROR(IF(0=LEN(ReferenceData!$U$49),"",ReferenceData!$U$49),"")</f>
        <v>8.9498806680000005</v>
      </c>
      <c r="V49">
        <f ca="1">IFERROR(IF(0=LEN(ReferenceData!$V$49),"",ReferenceData!$V$49),"")</f>
        <v>8.5317460319999991</v>
      </c>
      <c r="W49">
        <f ca="1">IFERROR(IF(0=LEN(ReferenceData!$W$49),"",ReferenceData!$W$49),"")</f>
        <v>7.2160546539999997</v>
      </c>
      <c r="X49">
        <f ca="1">IFERROR(IF(0=LEN(ReferenceData!$X$49),"",ReferenceData!$X$49),"")</f>
        <v>8.2352941180000006</v>
      </c>
      <c r="Y49">
        <f ca="1">IFERROR(IF(0=LEN(ReferenceData!$Y$49),"",ReferenceData!$Y$49),"")</f>
        <v>8.9817232380000007</v>
      </c>
      <c r="Z49">
        <f ca="1">IFERROR(IF(0=LEN(ReferenceData!$Z$49),"",ReferenceData!$Z$49),"")</f>
        <v>7.3735199140000001</v>
      </c>
      <c r="AA49">
        <f ca="1">IFERROR(IF(0=LEN(ReferenceData!$AA$49),"",ReferenceData!$AA$49),"")</f>
        <v>8.1829896909999995</v>
      </c>
      <c r="AB49">
        <f ca="1">IFERROR(IF(0=LEN(ReferenceData!$AB$49),"",ReferenceData!$AB$49),"")</f>
        <v>9.0674688440000004</v>
      </c>
      <c r="AC49">
        <f ca="1">IFERROR(IF(0=LEN(ReferenceData!$AC$49),"",ReferenceData!$AC$49),"")</f>
        <v>10.213345439999999</v>
      </c>
      <c r="AD49">
        <f ca="1">IFERROR(IF(0=LEN(ReferenceData!$AD$49),"",ReferenceData!$AD$49),"")</f>
        <v>5.95599393</v>
      </c>
      <c r="AE49">
        <f ca="1">IFERROR(IF(0=LEN(ReferenceData!$AE$49),"",ReferenceData!$AE$49),"")</f>
        <v>6.4693737100000002</v>
      </c>
      <c r="AF49">
        <f ca="1">IFERROR(IF(0=LEN(ReferenceData!$AF$49),"",ReferenceData!$AF$49),"")</f>
        <v>6.4806054870000001</v>
      </c>
      <c r="AG49">
        <f ca="1">IFERROR(IF(0=LEN(ReferenceData!$AG$49),"",ReferenceData!$AG$49),"")</f>
        <v>5.643524158</v>
      </c>
      <c r="AH49">
        <f ca="1">IFERROR(IF(0=LEN(ReferenceData!$AH$49),"",ReferenceData!$AH$49),"")</f>
        <v>7.733333333</v>
      </c>
      <c r="AI49">
        <f ca="1">IFERROR(IF(0=LEN(ReferenceData!$AI$49),"",ReferenceData!$AI$49),"")</f>
        <v>9.5579901780000007</v>
      </c>
      <c r="AJ49">
        <f ca="1">IFERROR(IF(0=LEN(ReferenceData!$AJ$49),"",ReferenceData!$AJ$49),"")</f>
        <v>6.6666666670000003</v>
      </c>
      <c r="AK49">
        <f ca="1">IFERROR(IF(0=LEN(ReferenceData!$AK$49),"",ReferenceData!$AK$49),"")</f>
        <v>7.5347222220000001</v>
      </c>
      <c r="AL49">
        <f ca="1">IFERROR(IF(0=LEN(ReferenceData!$AL$49),"",ReferenceData!$AL$49),"")</f>
        <v>5.3842388640000003</v>
      </c>
      <c r="AM49">
        <f ca="1">IFERROR(IF(0=LEN(ReferenceData!$AM$49),"",ReferenceData!$AM$49),"")</f>
        <v>8.0394922429999998</v>
      </c>
      <c r="AN49">
        <f ca="1">IFERROR(IF(0=LEN(ReferenceData!$AN$49),"",ReferenceData!$AN$49),"")</f>
        <v>6.0765191300000003</v>
      </c>
      <c r="AO49">
        <f ca="1">IFERROR(IF(0=LEN(ReferenceData!$AO$49),"",ReferenceData!$AO$49),"")</f>
        <v>5.7059558519999998</v>
      </c>
      <c r="AP49">
        <f ca="1">IFERROR(IF(0=LEN(ReferenceData!$AP$49),"",ReferenceData!$AP$49),"")</f>
        <v>3.8065843620000002</v>
      </c>
      <c r="AQ49">
        <f ca="1">IFERROR(IF(0=LEN(ReferenceData!$AQ$49),"",ReferenceData!$AQ$49),"")</f>
        <v>6.734534064</v>
      </c>
      <c r="AR49">
        <f ca="1">IFERROR(IF(0=LEN(ReferenceData!$AR$49),"",ReferenceData!$AR$49),"")</f>
        <v>7.6958738990000004</v>
      </c>
      <c r="AS49">
        <f ca="1">IFERROR(IF(0=LEN(ReferenceData!$AS$49),"",ReferenceData!$AS$49),"")</f>
        <v>9.2271293379999992</v>
      </c>
    </row>
    <row r="50" spans="1:45" x14ac:dyDescent="0.25">
      <c r="A50" t="str">
        <f>IFERROR(IF(0=LEN(ReferenceData!$A$50),"",ReferenceData!$A$50),"")</f>
        <v xml:space="preserve">    Navistar</v>
      </c>
      <c r="B50" t="str">
        <f>IFERROR(IF(0=LEN(ReferenceData!$B$50),"",ReferenceData!$B$50),"")</f>
        <v>NAV US Equity</v>
      </c>
      <c r="C50" t="str">
        <f>IFERROR(IF(0=LEN(ReferenceData!$C$50),"",ReferenceData!$C$50),"")</f>
        <v/>
      </c>
      <c r="D50" t="str">
        <f>IFERROR(IF(0=LEN(ReferenceData!$D$50),"",ReferenceData!$D$50),"")</f>
        <v/>
      </c>
      <c r="E50" t="str">
        <f>IFERROR(IF(0=LEN(ReferenceData!$E$50),"",ReferenceData!$E$50),"")</f>
        <v>Sum</v>
      </c>
      <c r="F50">
        <f ca="1">IFERROR(IF(0=LEN(ReferenceData!$F$50),"",ReferenceData!$F$50),"")</f>
        <v>23.427730780000001</v>
      </c>
      <c r="G50">
        <f ca="1">IFERROR(IF(0=LEN(ReferenceData!$G$50),"",ReferenceData!$G$50),"")</f>
        <v>13.27287716</v>
      </c>
      <c r="H50">
        <f ca="1">IFERROR(IF(0=LEN(ReferenceData!$H$50),"",ReferenceData!$H$50),"")</f>
        <v>16.38240575</v>
      </c>
      <c r="I50">
        <f ca="1">IFERROR(IF(0=LEN(ReferenceData!$I$50),"",ReferenceData!$I$50),"")</f>
        <v>14.04602109</v>
      </c>
      <c r="J50">
        <f ca="1">IFERROR(IF(0=LEN(ReferenceData!$J$50),"",ReferenceData!$J$50),"")</f>
        <v>16.908797419999999</v>
      </c>
      <c r="K50">
        <f ca="1">IFERROR(IF(0=LEN(ReferenceData!$K$50),"",ReferenceData!$K$50),"")</f>
        <v>13.736951980000001</v>
      </c>
      <c r="L50">
        <f ca="1">IFERROR(IF(0=LEN(ReferenceData!$L$50),"",ReferenceData!$L$50),"")</f>
        <v>17.552083329999999</v>
      </c>
      <c r="M50">
        <f ca="1">IFERROR(IF(0=LEN(ReferenceData!$M$50),"",ReferenceData!$M$50),"")</f>
        <v>13.2618235</v>
      </c>
      <c r="N50">
        <f ca="1">IFERROR(IF(0=LEN(ReferenceData!$N$50),"",ReferenceData!$N$50),"")</f>
        <v>11.32332879</v>
      </c>
      <c r="O50">
        <f ca="1">IFERROR(IF(0=LEN(ReferenceData!$O$50),"",ReferenceData!$O$50),"")</f>
        <v>18.010167030000002</v>
      </c>
      <c r="P50">
        <f ca="1">IFERROR(IF(0=LEN(ReferenceData!$P$50),"",ReferenceData!$P$50),"")</f>
        <v>8.8435374150000001</v>
      </c>
      <c r="Q50">
        <f ca="1">IFERROR(IF(0=LEN(ReferenceData!$Q$50),"",ReferenceData!$Q$50),"")</f>
        <v>9.6366508690000003</v>
      </c>
      <c r="R50">
        <f ca="1">IFERROR(IF(0=LEN(ReferenceData!$R$50),"",ReferenceData!$R$50),"")</f>
        <v>20.66700354</v>
      </c>
      <c r="S50">
        <f ca="1">IFERROR(IF(0=LEN(ReferenceData!$S$50),"",ReferenceData!$S$50),"")</f>
        <v>15.442561209999999</v>
      </c>
      <c r="T50">
        <f ca="1">IFERROR(IF(0=LEN(ReferenceData!$T$50),"",ReferenceData!$T$50),"")</f>
        <v>11.436464089999999</v>
      </c>
      <c r="U50">
        <f ca="1">IFERROR(IF(0=LEN(ReferenceData!$U$50),"",ReferenceData!$U$50),"")</f>
        <v>10.62052506</v>
      </c>
      <c r="V50">
        <f ca="1">IFERROR(IF(0=LEN(ReferenceData!$V$50),"",ReferenceData!$V$50),"")</f>
        <v>12.400793650000001</v>
      </c>
      <c r="W50">
        <f ca="1">IFERROR(IF(0=LEN(ReferenceData!$W$50),"",ReferenceData!$W$50),"")</f>
        <v>11.48590948</v>
      </c>
      <c r="X50">
        <f ca="1">IFERROR(IF(0=LEN(ReferenceData!$X$50),"",ReferenceData!$X$50),"")</f>
        <v>14.629156010000001</v>
      </c>
      <c r="Y50">
        <f ca="1">IFERROR(IF(0=LEN(ReferenceData!$Y$50),"",ReferenceData!$Y$50),"")</f>
        <v>11.27937337</v>
      </c>
      <c r="Z50">
        <f ca="1">IFERROR(IF(0=LEN(ReferenceData!$Z$50),"",ReferenceData!$Z$50),"")</f>
        <v>9.9031216359999998</v>
      </c>
      <c r="AA50">
        <f ca="1">IFERROR(IF(0=LEN(ReferenceData!$AA$50),"",ReferenceData!$AA$50),"")</f>
        <v>13.33762887</v>
      </c>
      <c r="AB50">
        <f ca="1">IFERROR(IF(0=LEN(ReferenceData!$AB$50),"",ReferenceData!$AB$50),"")</f>
        <v>8.5517834120000007</v>
      </c>
      <c r="AC50">
        <f ca="1">IFERROR(IF(0=LEN(ReferenceData!$AC$50),"",ReferenceData!$AC$50),"")</f>
        <v>8.5338175219999997</v>
      </c>
      <c r="AD50">
        <f ca="1">IFERROR(IF(0=LEN(ReferenceData!$AD$50),"",ReferenceData!$AD$50),"")</f>
        <v>17.905918060000001</v>
      </c>
      <c r="AE50">
        <f ca="1">IFERROR(IF(0=LEN(ReferenceData!$AE$50),"",ReferenceData!$AE$50),"")</f>
        <v>11.32140399</v>
      </c>
      <c r="AF50">
        <f ca="1">IFERROR(IF(0=LEN(ReferenceData!$AF$50),"",ReferenceData!$AF$50),"")</f>
        <v>18.448438979999999</v>
      </c>
      <c r="AG50">
        <f ca="1">IFERROR(IF(0=LEN(ReferenceData!$AG$50),"",ReferenceData!$AG$50),"")</f>
        <v>14.738124239999999</v>
      </c>
      <c r="AH50">
        <f ca="1">IFERROR(IF(0=LEN(ReferenceData!$AH$50),"",ReferenceData!$AH$50),"")</f>
        <v>13.752380949999999</v>
      </c>
      <c r="AI50">
        <f ca="1">IFERROR(IF(0=LEN(ReferenceData!$AI$50),"",ReferenceData!$AI$50),"")</f>
        <v>14.12920287</v>
      </c>
      <c r="AJ50">
        <f ca="1">IFERROR(IF(0=LEN(ReferenceData!$AJ$50),"",ReferenceData!$AJ$50),"")</f>
        <v>13.2183908</v>
      </c>
      <c r="AK50">
        <f ca="1">IFERROR(IF(0=LEN(ReferenceData!$AK$50),"",ReferenceData!$AK$50),"")</f>
        <v>10.69444444</v>
      </c>
      <c r="AL50">
        <f ca="1">IFERROR(IF(0=LEN(ReferenceData!$AL$50),"",ReferenceData!$AL$50),"")</f>
        <v>13.069016149999999</v>
      </c>
      <c r="AM50">
        <f ca="1">IFERROR(IF(0=LEN(ReferenceData!$AM$50),"",ReferenceData!$AM$50),"")</f>
        <v>13.82228491</v>
      </c>
      <c r="AN50">
        <f ca="1">IFERROR(IF(0=LEN(ReferenceData!$AN$50),"",ReferenceData!$AN$50),"")</f>
        <v>13.46586647</v>
      </c>
      <c r="AO50">
        <f ca="1">IFERROR(IF(0=LEN(ReferenceData!$AO$50),"",ReferenceData!$AO$50),"")</f>
        <v>13.24448147</v>
      </c>
      <c r="AP50">
        <f ca="1">IFERROR(IF(0=LEN(ReferenceData!$AP$50),"",ReferenceData!$AP$50),"")</f>
        <v>14.094650209999999</v>
      </c>
      <c r="AQ50">
        <f ca="1">IFERROR(IF(0=LEN(ReferenceData!$AQ$50),"",ReferenceData!$AQ$50),"")</f>
        <v>13.743148</v>
      </c>
      <c r="AR50">
        <f ca="1">IFERROR(IF(0=LEN(ReferenceData!$AR$50),"",ReferenceData!$AR$50),"")</f>
        <v>9.5966620309999993</v>
      </c>
      <c r="AS50">
        <f ca="1">IFERROR(IF(0=LEN(ReferenceData!$AS$50),"",ReferenceData!$AS$50),"")</f>
        <v>15.26025237</v>
      </c>
    </row>
    <row r="51" spans="1:45" x14ac:dyDescent="0.25">
      <c r="A51" t="str">
        <f>IFERROR(IF(0=LEN(ReferenceData!$A$51),"",ReferenceData!$A$51),"")</f>
        <v xml:space="preserve">        International</v>
      </c>
      <c r="B51" t="str">
        <f>IFERROR(IF(0=LEN(ReferenceData!$B$51),"",ReferenceData!$B$51),"")</f>
        <v>NAV US Equity</v>
      </c>
      <c r="C51" t="str">
        <f>IFERROR(IF(0=LEN(ReferenceData!$C$51),"",ReferenceData!$C$51),"")</f>
        <v/>
      </c>
      <c r="D51" t="str">
        <f>IFERROR(IF(0=LEN(ReferenceData!$D$51),"",ReferenceData!$D$51),"")</f>
        <v/>
      </c>
      <c r="E51" t="str">
        <f>IFERROR(IF(0=LEN(ReferenceData!$E$51),"",ReferenceData!$E$51),"")</f>
        <v>Expression</v>
      </c>
      <c r="F51">
        <f ca="1">IFERROR(IF(0=LEN(ReferenceData!$F$51),"",ReferenceData!$F$51),"")</f>
        <v>23.427730780000001</v>
      </c>
      <c r="G51">
        <f ca="1">IFERROR(IF(0=LEN(ReferenceData!$G$51),"",ReferenceData!$G$51),"")</f>
        <v>13.27287716</v>
      </c>
      <c r="H51">
        <f ca="1">IFERROR(IF(0=LEN(ReferenceData!$H$51),"",ReferenceData!$H$51),"")</f>
        <v>16.38240575</v>
      </c>
      <c r="I51">
        <f ca="1">IFERROR(IF(0=LEN(ReferenceData!$I$51),"",ReferenceData!$I$51),"")</f>
        <v>14.04602109</v>
      </c>
      <c r="J51">
        <f ca="1">IFERROR(IF(0=LEN(ReferenceData!$J$51),"",ReferenceData!$J$51),"")</f>
        <v>16.908797419999999</v>
      </c>
      <c r="K51">
        <f ca="1">IFERROR(IF(0=LEN(ReferenceData!$K$51),"",ReferenceData!$K$51),"")</f>
        <v>13.736951980000001</v>
      </c>
      <c r="L51">
        <f ca="1">IFERROR(IF(0=LEN(ReferenceData!$L$51),"",ReferenceData!$L$51),"")</f>
        <v>17.552083329999999</v>
      </c>
      <c r="M51">
        <f ca="1">IFERROR(IF(0=LEN(ReferenceData!$M$51),"",ReferenceData!$M$51),"")</f>
        <v>13.2618235</v>
      </c>
      <c r="N51">
        <f ca="1">IFERROR(IF(0=LEN(ReferenceData!$N$51),"",ReferenceData!$N$51),"")</f>
        <v>11.32332879</v>
      </c>
      <c r="O51">
        <f ca="1">IFERROR(IF(0=LEN(ReferenceData!$O$51),"",ReferenceData!$O$51),"")</f>
        <v>18.010167030000002</v>
      </c>
      <c r="P51">
        <f ca="1">IFERROR(IF(0=LEN(ReferenceData!$P$51),"",ReferenceData!$P$51),"")</f>
        <v>8.8435374150000001</v>
      </c>
      <c r="Q51">
        <f ca="1">IFERROR(IF(0=LEN(ReferenceData!$Q$51),"",ReferenceData!$Q$51),"")</f>
        <v>9.6366508690000003</v>
      </c>
      <c r="R51">
        <f ca="1">IFERROR(IF(0=LEN(ReferenceData!$R$51),"",ReferenceData!$R$51),"")</f>
        <v>20.66700354</v>
      </c>
      <c r="S51">
        <f ca="1">IFERROR(IF(0=LEN(ReferenceData!$S$51),"",ReferenceData!$S$51),"")</f>
        <v>15.442561209999999</v>
      </c>
      <c r="T51">
        <f ca="1">IFERROR(IF(0=LEN(ReferenceData!$T$51),"",ReferenceData!$T$51),"")</f>
        <v>11.436464089999999</v>
      </c>
      <c r="U51">
        <f ca="1">IFERROR(IF(0=LEN(ReferenceData!$U$51),"",ReferenceData!$U$51),"")</f>
        <v>10.62052506</v>
      </c>
      <c r="V51">
        <f ca="1">IFERROR(IF(0=LEN(ReferenceData!$V$51),"",ReferenceData!$V$51),"")</f>
        <v>12.400793650000001</v>
      </c>
      <c r="W51">
        <f ca="1">IFERROR(IF(0=LEN(ReferenceData!$W$51),"",ReferenceData!$W$51),"")</f>
        <v>11.48590948</v>
      </c>
      <c r="X51">
        <f ca="1">IFERROR(IF(0=LEN(ReferenceData!$X$51),"",ReferenceData!$X$51),"")</f>
        <v>14.629156010000001</v>
      </c>
      <c r="Y51">
        <f ca="1">IFERROR(IF(0=LEN(ReferenceData!$Y$51),"",ReferenceData!$Y$51),"")</f>
        <v>11.27937337</v>
      </c>
      <c r="Z51">
        <f ca="1">IFERROR(IF(0=LEN(ReferenceData!$Z$51),"",ReferenceData!$Z$51),"")</f>
        <v>9.9031216359999998</v>
      </c>
      <c r="AA51">
        <f ca="1">IFERROR(IF(0=LEN(ReferenceData!$AA$51),"",ReferenceData!$AA$51),"")</f>
        <v>13.33762887</v>
      </c>
      <c r="AB51">
        <f ca="1">IFERROR(IF(0=LEN(ReferenceData!$AB$51),"",ReferenceData!$AB$51),"")</f>
        <v>8.5517834120000007</v>
      </c>
      <c r="AC51">
        <f ca="1">IFERROR(IF(0=LEN(ReferenceData!$AC$51),"",ReferenceData!$AC$51),"")</f>
        <v>8.5338175219999997</v>
      </c>
      <c r="AD51">
        <f ca="1">IFERROR(IF(0=LEN(ReferenceData!$AD$51),"",ReferenceData!$AD$51),"")</f>
        <v>17.905918060000001</v>
      </c>
      <c r="AE51">
        <f ca="1">IFERROR(IF(0=LEN(ReferenceData!$AE$51),"",ReferenceData!$AE$51),"")</f>
        <v>11.32140399</v>
      </c>
      <c r="AF51">
        <f ca="1">IFERROR(IF(0=LEN(ReferenceData!$AF$51),"",ReferenceData!$AF$51),"")</f>
        <v>18.448438979999999</v>
      </c>
      <c r="AG51">
        <f ca="1">IFERROR(IF(0=LEN(ReferenceData!$AG$51),"",ReferenceData!$AG$51),"")</f>
        <v>14.738124239999999</v>
      </c>
      <c r="AH51">
        <f ca="1">IFERROR(IF(0=LEN(ReferenceData!$AH$51),"",ReferenceData!$AH$51),"")</f>
        <v>13.752380949999999</v>
      </c>
      <c r="AI51">
        <f ca="1">IFERROR(IF(0=LEN(ReferenceData!$AI$51),"",ReferenceData!$AI$51),"")</f>
        <v>14.12920287</v>
      </c>
      <c r="AJ51">
        <f ca="1">IFERROR(IF(0=LEN(ReferenceData!$AJ$51),"",ReferenceData!$AJ$51),"")</f>
        <v>13.2183908</v>
      </c>
      <c r="AK51">
        <f ca="1">IFERROR(IF(0=LEN(ReferenceData!$AK$51),"",ReferenceData!$AK$51),"")</f>
        <v>10.69444444</v>
      </c>
      <c r="AL51">
        <f ca="1">IFERROR(IF(0=LEN(ReferenceData!$AL$51),"",ReferenceData!$AL$51),"")</f>
        <v>13.069016149999999</v>
      </c>
      <c r="AM51">
        <f ca="1">IFERROR(IF(0=LEN(ReferenceData!$AM$51),"",ReferenceData!$AM$51),"")</f>
        <v>13.82228491</v>
      </c>
      <c r="AN51">
        <f ca="1">IFERROR(IF(0=LEN(ReferenceData!$AN$51),"",ReferenceData!$AN$51),"")</f>
        <v>13.46586647</v>
      </c>
      <c r="AO51">
        <f ca="1">IFERROR(IF(0=LEN(ReferenceData!$AO$51),"",ReferenceData!$AO$51),"")</f>
        <v>13.24448147</v>
      </c>
      <c r="AP51">
        <f ca="1">IFERROR(IF(0=LEN(ReferenceData!$AP$51),"",ReferenceData!$AP$51),"")</f>
        <v>14.094650209999999</v>
      </c>
      <c r="AQ51">
        <f ca="1">IFERROR(IF(0=LEN(ReferenceData!$AQ$51),"",ReferenceData!$AQ$51),"")</f>
        <v>13.743148</v>
      </c>
      <c r="AR51">
        <f ca="1">IFERROR(IF(0=LEN(ReferenceData!$AR$51),"",ReferenceData!$AR$51),"")</f>
        <v>9.5966620309999993</v>
      </c>
      <c r="AS51">
        <f ca="1">IFERROR(IF(0=LEN(ReferenceData!$AS$51),"",ReferenceData!$AS$51),"")</f>
        <v>15.26025237</v>
      </c>
    </row>
    <row r="52" spans="1:45" x14ac:dyDescent="0.25">
      <c r="A52" t="str">
        <f>IFERROR(IF(0=LEN(ReferenceData!$A$52),"",ReferenceData!$A$52),"")</f>
        <v>Mexico (Class 8)</v>
      </c>
      <c r="B52" t="str">
        <f>IFERROR(IF(0=LEN(ReferenceData!$B$52),"",ReferenceData!$B$52),"")</f>
        <v>TRCKMX8S Index</v>
      </c>
      <c r="C52" t="str">
        <f>IFERROR(IF(0=LEN(ReferenceData!$C$52),"",ReferenceData!$C$52),"")</f>
        <v/>
      </c>
      <c r="D52" t="str">
        <f>IFERROR(IF(0=LEN(ReferenceData!$D$52),"",ReferenceData!$D$52),"")</f>
        <v/>
      </c>
      <c r="E52" t="str">
        <f>IFERROR(IF(0=LEN(ReferenceData!$E$52),"",ReferenceData!$E$52),"")</f>
        <v>Sum</v>
      </c>
      <c r="F52">
        <f ca="1">IFERROR(IF(0=LEN(ReferenceData!$F$52),"",ReferenceData!$F$52),"")</f>
        <v>100.00000000700001</v>
      </c>
      <c r="G52">
        <f ca="1">IFERROR(IF(0=LEN(ReferenceData!$G$52),"",ReferenceData!$G$52),"")</f>
        <v>99.999999998000007</v>
      </c>
      <c r="H52">
        <f ca="1">IFERROR(IF(0=LEN(ReferenceData!$H$52),"",ReferenceData!$H$52),"")</f>
        <v>99.999999989000003</v>
      </c>
      <c r="I52">
        <f ca="1">IFERROR(IF(0=LEN(ReferenceData!$I$52),"",ReferenceData!$I$52),"")</f>
        <v>99.999999997000003</v>
      </c>
      <c r="J52">
        <f ca="1">IFERROR(IF(0=LEN(ReferenceData!$J$52),"",ReferenceData!$J$52),"")</f>
        <v>99.999999996</v>
      </c>
      <c r="K52">
        <f ca="1">IFERROR(IF(0=LEN(ReferenceData!$K$52),"",ReferenceData!$K$52),"")</f>
        <v>99.999999991999999</v>
      </c>
      <c r="L52">
        <f ca="1">IFERROR(IF(0=LEN(ReferenceData!$L$52),"",ReferenceData!$L$52),"")</f>
        <v>99.999999994999996</v>
      </c>
      <c r="M52">
        <f ca="1">IFERROR(IF(0=LEN(ReferenceData!$M$52),"",ReferenceData!$M$52),"")</f>
        <v>99.999999990000006</v>
      </c>
      <c r="N52">
        <f ca="1">IFERROR(IF(0=LEN(ReferenceData!$N$52),"",ReferenceData!$N$52),"")</f>
        <v>100.000000005</v>
      </c>
      <c r="O52">
        <f ca="1">IFERROR(IF(0=LEN(ReferenceData!$O$52),"",ReferenceData!$O$52),"")</f>
        <v>100.00000000099999</v>
      </c>
      <c r="P52">
        <f ca="1">IFERROR(IF(0=LEN(ReferenceData!$P$52),"",ReferenceData!$P$52),"")</f>
        <v>99.999999994000007</v>
      </c>
      <c r="Q52">
        <f ca="1">IFERROR(IF(0=LEN(ReferenceData!$Q$52),"",ReferenceData!$Q$52),"")</f>
        <v>100.00000000099999</v>
      </c>
      <c r="R52">
        <f ca="1">IFERROR(IF(0=LEN(ReferenceData!$R$52),"",ReferenceData!$R$52),"")</f>
        <v>100.00000000599999</v>
      </c>
      <c r="S52">
        <f ca="1">IFERROR(IF(0=LEN(ReferenceData!$S$52),"",ReferenceData!$S$52),"")</f>
        <v>99.999999997999993</v>
      </c>
      <c r="T52">
        <f ca="1">IFERROR(IF(0=LEN(ReferenceData!$T$52),"",ReferenceData!$T$52),"")</f>
        <v>100.000000009</v>
      </c>
      <c r="U52">
        <f ca="1">IFERROR(IF(0=LEN(ReferenceData!$U$52),"",ReferenceData!$U$52),"")</f>
        <v>99.999999998999996</v>
      </c>
      <c r="V52">
        <f ca="1">IFERROR(IF(0=LEN(ReferenceData!$V$52),"",ReferenceData!$V$52),"")</f>
        <v>99.999999996999989</v>
      </c>
      <c r="W52">
        <f ca="1">IFERROR(IF(0=LEN(ReferenceData!$W$52),"",ReferenceData!$W$52),"")</f>
        <v>100.000000001</v>
      </c>
      <c r="X52">
        <f ca="1">IFERROR(IF(0=LEN(ReferenceData!$X$52),"",ReferenceData!$X$52),"")</f>
        <v>100.00000000200001</v>
      </c>
      <c r="Y52">
        <f ca="1">IFERROR(IF(0=LEN(ReferenceData!$Y$52),"",ReferenceData!$Y$52),"")</f>
        <v>100.00000001299999</v>
      </c>
      <c r="Z52">
        <f ca="1">IFERROR(IF(0=LEN(ReferenceData!$Z$52),"",ReferenceData!$Z$52),"")</f>
        <v>99.999999989000003</v>
      </c>
      <c r="AA52">
        <f ca="1">IFERROR(IF(0=LEN(ReferenceData!$AA$52),"",ReferenceData!$AA$52),"")</f>
        <v>99.999999997999993</v>
      </c>
      <c r="AB52">
        <f ca="1">IFERROR(IF(0=LEN(ReferenceData!$AB$52),"",ReferenceData!$AB$52),"")</f>
        <v>99.999999998999982</v>
      </c>
      <c r="AC52">
        <f ca="1">IFERROR(IF(0=LEN(ReferenceData!$AC$52),"",ReferenceData!$AC$52),"")</f>
        <v>100.000000004</v>
      </c>
      <c r="AD52">
        <f ca="1">IFERROR(IF(0=LEN(ReferenceData!$AD$52),"",ReferenceData!$AD$52),"")</f>
        <v>99.999999992000014</v>
      </c>
      <c r="AE52">
        <f ca="1">IFERROR(IF(0=LEN(ReferenceData!$AE$52),"",ReferenceData!$AE$52),"")</f>
        <v>99.999999998000007</v>
      </c>
      <c r="AF52">
        <f ca="1">IFERROR(IF(0=LEN(ReferenceData!$AF$52),"",ReferenceData!$AF$52),"")</f>
        <v>100.00000000299998</v>
      </c>
      <c r="AG52">
        <f ca="1">IFERROR(IF(0=LEN(ReferenceData!$AG$52),"",ReferenceData!$AG$52),"")</f>
        <v>99.999999993000003</v>
      </c>
      <c r="AH52">
        <f ca="1">IFERROR(IF(0=LEN(ReferenceData!$AH$52),"",ReferenceData!$AH$52),"")</f>
        <v>99.999999998999996</v>
      </c>
      <c r="AI52">
        <f ca="1">IFERROR(IF(0=LEN(ReferenceData!$AI$52),"",ReferenceData!$AI$52),"")</f>
        <v>100.00000001299999</v>
      </c>
      <c r="AJ52">
        <f ca="1">IFERROR(IF(0=LEN(ReferenceData!$AJ$52),"",ReferenceData!$AJ$52),"")</f>
        <v>99.999999999000011</v>
      </c>
      <c r="AK52">
        <f ca="1">IFERROR(IF(0=LEN(ReferenceData!$AK$52),"",ReferenceData!$AK$52),"")</f>
        <v>99.999999996000014</v>
      </c>
      <c r="AL52">
        <f ca="1">IFERROR(IF(0=LEN(ReferenceData!$AL$52),"",ReferenceData!$AL$52),"")</f>
        <v>99.999999996</v>
      </c>
      <c r="AM52">
        <f ca="1">IFERROR(IF(0=LEN(ReferenceData!$AM$52),"",ReferenceData!$AM$52),"")</f>
        <v>100.000000001</v>
      </c>
      <c r="AN52">
        <f ca="1">IFERROR(IF(0=LEN(ReferenceData!$AN$52),"",ReferenceData!$AN$52),"")</f>
        <v>100.00000001000001</v>
      </c>
      <c r="AO52">
        <f ca="1">IFERROR(IF(0=LEN(ReferenceData!$AO$52),"",ReferenceData!$AO$52),"")</f>
        <v>100</v>
      </c>
      <c r="AP52">
        <f ca="1">IFERROR(IF(0=LEN(ReferenceData!$AP$52),"",ReferenceData!$AP$52),"")</f>
        <v>100.000000009</v>
      </c>
      <c r="AQ52">
        <f ca="1">IFERROR(IF(0=LEN(ReferenceData!$AQ$52),"",ReferenceData!$AQ$52),"")</f>
        <v>100.00000000599999</v>
      </c>
      <c r="AR52">
        <f ca="1">IFERROR(IF(0=LEN(ReferenceData!$AR$52),"",ReferenceData!$AR$52),"")</f>
        <v>100.00000000600001</v>
      </c>
      <c r="AS52">
        <f ca="1">IFERROR(IF(0=LEN(ReferenceData!$AS$52),"",ReferenceData!$AS$52),"")</f>
        <v>99.999999998000007</v>
      </c>
    </row>
    <row r="53" spans="1:45" x14ac:dyDescent="0.25">
      <c r="A53" t="str">
        <f>IFERROR(IF(0=LEN(ReferenceData!$A$53),"",ReferenceData!$A$53),"")</f>
        <v xml:space="preserve">    PACCAR</v>
      </c>
      <c r="B53" t="str">
        <f>IFERROR(IF(0=LEN(ReferenceData!$B$53),"",ReferenceData!$B$53),"")</f>
        <v>PCAR US Equity</v>
      </c>
      <c r="C53" t="str">
        <f>IFERROR(IF(0=LEN(ReferenceData!$C$53),"",ReferenceData!$C$53),"")</f>
        <v/>
      </c>
      <c r="D53" t="str">
        <f>IFERROR(IF(0=LEN(ReferenceData!$D$53),"",ReferenceData!$D$53),"")</f>
        <v/>
      </c>
      <c r="E53" t="str">
        <f>IFERROR(IF(0=LEN(ReferenceData!$E$53),"",ReferenceData!$E$53),"")</f>
        <v>Sum</v>
      </c>
      <c r="F53">
        <f ca="1">IFERROR(IF(0=LEN(ReferenceData!$F$53),"",ReferenceData!$F$53),"")</f>
        <v>29.055400559999999</v>
      </c>
      <c r="G53">
        <f ca="1">IFERROR(IF(0=LEN(ReferenceData!$G$53),"",ReferenceData!$G$53),"")</f>
        <v>32.999164579999999</v>
      </c>
      <c r="H53">
        <f ca="1">IFERROR(IF(0=LEN(ReferenceData!$H$53),"",ReferenceData!$H$53),"")</f>
        <v>36.865342159999997</v>
      </c>
      <c r="I53">
        <f ca="1">IFERROR(IF(0=LEN(ReferenceData!$I$53),"",ReferenceData!$I$53),"")</f>
        <v>34.217506630000003</v>
      </c>
      <c r="J53">
        <f ca="1">IFERROR(IF(0=LEN(ReferenceData!$J$53),"",ReferenceData!$J$53),"")</f>
        <v>32.575757580000001</v>
      </c>
      <c r="K53">
        <f ca="1">IFERROR(IF(0=LEN(ReferenceData!$K$53),"",ReferenceData!$K$53),"")</f>
        <v>31.59495871</v>
      </c>
      <c r="L53">
        <f ca="1">IFERROR(IF(0=LEN(ReferenceData!$L$53),"",ReferenceData!$L$53),"")</f>
        <v>29.32604736</v>
      </c>
      <c r="M53">
        <f ca="1">IFERROR(IF(0=LEN(ReferenceData!$M$53),"",ReferenceData!$M$53),"")</f>
        <v>31.18870145</v>
      </c>
      <c r="N53">
        <f ca="1">IFERROR(IF(0=LEN(ReferenceData!$N$53),"",ReferenceData!$N$53),"")</f>
        <v>30.973000509999999</v>
      </c>
      <c r="O53">
        <f ca="1">IFERROR(IF(0=LEN(ReferenceData!$O$53),"",ReferenceData!$O$53),"")</f>
        <v>23.282051280000001</v>
      </c>
      <c r="P53">
        <f ca="1">IFERROR(IF(0=LEN(ReferenceData!$P$53),"",ReferenceData!$P$53),"")</f>
        <v>38.076830149999999</v>
      </c>
      <c r="Q53">
        <f ca="1">IFERROR(IF(0=LEN(ReferenceData!$Q$53),"",ReferenceData!$Q$53),"")</f>
        <v>35.23174796</v>
      </c>
      <c r="R53">
        <f ca="1">IFERROR(IF(0=LEN(ReferenceData!$R$53),"",ReferenceData!$R$53),"")</f>
        <v>30.3997195</v>
      </c>
      <c r="S53">
        <f ca="1">IFERROR(IF(0=LEN(ReferenceData!$S$53),"",ReferenceData!$S$53),"")</f>
        <v>33.778272149999999</v>
      </c>
      <c r="T53">
        <f ca="1">IFERROR(IF(0=LEN(ReferenceData!$T$53),"",ReferenceData!$T$53),"")</f>
        <v>35.952682719999999</v>
      </c>
      <c r="U53">
        <f ca="1">IFERROR(IF(0=LEN(ReferenceData!$U$53),"",ReferenceData!$U$53),"")</f>
        <v>31.283422460000001</v>
      </c>
      <c r="V53">
        <f ca="1">IFERROR(IF(0=LEN(ReferenceData!$V$53),"",ReferenceData!$V$53),"")</f>
        <v>35.793686080000001</v>
      </c>
      <c r="W53">
        <f ca="1">IFERROR(IF(0=LEN(ReferenceData!$W$53),"",ReferenceData!$W$53),"")</f>
        <v>25.068368280000001</v>
      </c>
      <c r="X53">
        <f ca="1">IFERROR(IF(0=LEN(ReferenceData!$X$53),"",ReferenceData!$X$53),"")</f>
        <v>28.18181818</v>
      </c>
      <c r="Y53">
        <f ca="1">IFERROR(IF(0=LEN(ReferenceData!$Y$53),"",ReferenceData!$Y$53),"")</f>
        <v>34.043538679999997</v>
      </c>
      <c r="Z53">
        <f ca="1">IFERROR(IF(0=LEN(ReferenceData!$Z$53),"",ReferenceData!$Z$53),"")</f>
        <v>40.799589949999998</v>
      </c>
      <c r="AA53">
        <f ca="1">IFERROR(IF(0=LEN(ReferenceData!$AA$53),"",ReferenceData!$AA$53),"")</f>
        <v>17.74023231</v>
      </c>
      <c r="AB53">
        <f ca="1">IFERROR(IF(0=LEN(ReferenceData!$AB$53),"",ReferenceData!$AB$53),"")</f>
        <v>42.1072366</v>
      </c>
      <c r="AC53">
        <f ca="1">IFERROR(IF(0=LEN(ReferenceData!$AC$53),"",ReferenceData!$AC$53),"")</f>
        <v>35.703324809999998</v>
      </c>
      <c r="AD53">
        <f ca="1">IFERROR(IF(0=LEN(ReferenceData!$AD$53),"",ReferenceData!$AD$53),"")</f>
        <v>38.195418420000003</v>
      </c>
      <c r="AE53">
        <f ca="1">IFERROR(IF(0=LEN(ReferenceData!$AE$53),"",ReferenceData!$AE$53),"")</f>
        <v>35.34303534</v>
      </c>
      <c r="AF53">
        <f ca="1">IFERROR(IF(0=LEN(ReferenceData!$AF$53),"",ReferenceData!$AF$53),"")</f>
        <v>42.576028620000002</v>
      </c>
      <c r="AG53">
        <f ca="1">IFERROR(IF(0=LEN(ReferenceData!$AG$53),"",ReferenceData!$AG$53),"")</f>
        <v>33.902110460000003</v>
      </c>
      <c r="AH53">
        <f ca="1">IFERROR(IF(0=LEN(ReferenceData!$AH$53),"",ReferenceData!$AH$53),"")</f>
        <v>41.096605740000001</v>
      </c>
      <c r="AI53">
        <f ca="1">IFERROR(IF(0=LEN(ReferenceData!$AI$53),"",ReferenceData!$AI$53),"")</f>
        <v>34.979662990000001</v>
      </c>
      <c r="AJ53">
        <f ca="1">IFERROR(IF(0=LEN(ReferenceData!$AJ$53),"",ReferenceData!$AJ$53),"")</f>
        <v>39.823925430000003</v>
      </c>
      <c r="AK53">
        <f ca="1">IFERROR(IF(0=LEN(ReferenceData!$AK$53),"",ReferenceData!$AK$53),"")</f>
        <v>41.107184920000002</v>
      </c>
      <c r="AL53">
        <f ca="1">IFERROR(IF(0=LEN(ReferenceData!$AL$53),"",ReferenceData!$AL$53),"")</f>
        <v>40.607734809999997</v>
      </c>
      <c r="AM53">
        <f ca="1">IFERROR(IF(0=LEN(ReferenceData!$AM$53),"",ReferenceData!$AM$53),"")</f>
        <v>38.035714290000001</v>
      </c>
      <c r="AN53">
        <f ca="1">IFERROR(IF(0=LEN(ReferenceData!$AN$53),"",ReferenceData!$AN$53),"")</f>
        <v>34.106634110000002</v>
      </c>
      <c r="AO53">
        <f ca="1">IFERROR(IF(0=LEN(ReferenceData!$AO$53),"",ReferenceData!$AO$53),"")</f>
        <v>34.143109539999998</v>
      </c>
      <c r="AP53">
        <f ca="1">IFERROR(IF(0=LEN(ReferenceData!$AP$53),"",ReferenceData!$AP$53),"")</f>
        <v>34.119702930000003</v>
      </c>
      <c r="AQ53">
        <f ca="1">IFERROR(IF(0=LEN(ReferenceData!$AQ$53),"",ReferenceData!$AQ$53),"")</f>
        <v>38.328690809999998</v>
      </c>
      <c r="AR53">
        <f ca="1">IFERROR(IF(0=LEN(ReferenceData!$AR$53),"",ReferenceData!$AR$53),"")</f>
        <v>35.346861730000001</v>
      </c>
      <c r="AS53">
        <f ca="1">IFERROR(IF(0=LEN(ReferenceData!$AS$53),"",ReferenceData!$AS$53),"")</f>
        <v>31.28517824</v>
      </c>
    </row>
    <row r="54" spans="1:45" x14ac:dyDescent="0.25">
      <c r="A54" t="str">
        <f>IFERROR(IF(0=LEN(ReferenceData!$A$54),"",ReferenceData!$A$54),"")</f>
        <v xml:space="preserve">        Kenworth</v>
      </c>
      <c r="B54" t="str">
        <f>IFERROR(IF(0=LEN(ReferenceData!$B$54),"",ReferenceData!$B$54),"")</f>
        <v>PCAR US Equity</v>
      </c>
      <c r="C54" t="str">
        <f>IFERROR(IF(0=LEN(ReferenceData!$C$54),"",ReferenceData!$C$54),"")</f>
        <v/>
      </c>
      <c r="D54" t="str">
        <f>IFERROR(IF(0=LEN(ReferenceData!$D$54),"",ReferenceData!$D$54),"")</f>
        <v/>
      </c>
      <c r="E54" t="str">
        <f>IFERROR(IF(0=LEN(ReferenceData!$E$54),"",ReferenceData!$E$54),"")</f>
        <v>Expression</v>
      </c>
      <c r="F54">
        <f ca="1">IFERROR(IF(0=LEN(ReferenceData!$F$54),"",ReferenceData!$F$54),"")</f>
        <v>29.055400559999999</v>
      </c>
      <c r="G54">
        <f ca="1">IFERROR(IF(0=LEN(ReferenceData!$G$54),"",ReferenceData!$G$54),"")</f>
        <v>32.999164579999999</v>
      </c>
      <c r="H54">
        <f ca="1">IFERROR(IF(0=LEN(ReferenceData!$H$54),"",ReferenceData!$H$54),"")</f>
        <v>36.865342159999997</v>
      </c>
      <c r="I54">
        <f ca="1">IFERROR(IF(0=LEN(ReferenceData!$I$54),"",ReferenceData!$I$54),"")</f>
        <v>34.217506630000003</v>
      </c>
      <c r="J54">
        <f ca="1">IFERROR(IF(0=LEN(ReferenceData!$J$54),"",ReferenceData!$J$54),"")</f>
        <v>32.575757580000001</v>
      </c>
      <c r="K54">
        <f ca="1">IFERROR(IF(0=LEN(ReferenceData!$K$54),"",ReferenceData!$K$54),"")</f>
        <v>31.59495871</v>
      </c>
      <c r="L54">
        <f ca="1">IFERROR(IF(0=LEN(ReferenceData!$L$54),"",ReferenceData!$L$54),"")</f>
        <v>29.32604736</v>
      </c>
      <c r="M54">
        <f ca="1">IFERROR(IF(0=LEN(ReferenceData!$M$54),"",ReferenceData!$M$54),"")</f>
        <v>31.18870145</v>
      </c>
      <c r="N54">
        <f ca="1">IFERROR(IF(0=LEN(ReferenceData!$N$54),"",ReferenceData!$N$54),"")</f>
        <v>30.973000509999999</v>
      </c>
      <c r="O54">
        <f ca="1">IFERROR(IF(0=LEN(ReferenceData!$O$54),"",ReferenceData!$O$54),"")</f>
        <v>23.282051280000001</v>
      </c>
      <c r="P54">
        <f ca="1">IFERROR(IF(0=LEN(ReferenceData!$P$54),"",ReferenceData!$P$54),"")</f>
        <v>38.076830149999999</v>
      </c>
      <c r="Q54">
        <f ca="1">IFERROR(IF(0=LEN(ReferenceData!$Q$54),"",ReferenceData!$Q$54),"")</f>
        <v>35.23174796</v>
      </c>
      <c r="R54">
        <f ca="1">IFERROR(IF(0=LEN(ReferenceData!$R$54),"",ReferenceData!$R$54),"")</f>
        <v>30.3997195</v>
      </c>
      <c r="S54">
        <f ca="1">IFERROR(IF(0=LEN(ReferenceData!$S$54),"",ReferenceData!$S$54),"")</f>
        <v>33.778272149999999</v>
      </c>
      <c r="T54">
        <f ca="1">IFERROR(IF(0=LEN(ReferenceData!$T$54),"",ReferenceData!$T$54),"")</f>
        <v>35.952682719999999</v>
      </c>
      <c r="U54">
        <f ca="1">IFERROR(IF(0=LEN(ReferenceData!$U$54),"",ReferenceData!$U$54),"")</f>
        <v>31.283422460000001</v>
      </c>
      <c r="V54">
        <f ca="1">IFERROR(IF(0=LEN(ReferenceData!$V$54),"",ReferenceData!$V$54),"")</f>
        <v>35.793686080000001</v>
      </c>
      <c r="W54">
        <f ca="1">IFERROR(IF(0=LEN(ReferenceData!$W$54),"",ReferenceData!$W$54),"")</f>
        <v>25.068368280000001</v>
      </c>
      <c r="X54">
        <f ca="1">IFERROR(IF(0=LEN(ReferenceData!$X$54),"",ReferenceData!$X$54),"")</f>
        <v>28.18181818</v>
      </c>
      <c r="Y54">
        <f ca="1">IFERROR(IF(0=LEN(ReferenceData!$Y$54),"",ReferenceData!$Y$54),"")</f>
        <v>34.043538679999997</v>
      </c>
      <c r="Z54">
        <f ca="1">IFERROR(IF(0=LEN(ReferenceData!$Z$54),"",ReferenceData!$Z$54),"")</f>
        <v>40.799589949999998</v>
      </c>
      <c r="AA54">
        <f ca="1">IFERROR(IF(0=LEN(ReferenceData!$AA$54),"",ReferenceData!$AA$54),"")</f>
        <v>17.74023231</v>
      </c>
      <c r="AB54">
        <f ca="1">IFERROR(IF(0=LEN(ReferenceData!$AB$54),"",ReferenceData!$AB$54),"")</f>
        <v>42.1072366</v>
      </c>
      <c r="AC54">
        <f ca="1">IFERROR(IF(0=LEN(ReferenceData!$AC$54),"",ReferenceData!$AC$54),"")</f>
        <v>35.703324809999998</v>
      </c>
      <c r="AD54">
        <f ca="1">IFERROR(IF(0=LEN(ReferenceData!$AD$54),"",ReferenceData!$AD$54),"")</f>
        <v>38.195418420000003</v>
      </c>
      <c r="AE54">
        <f ca="1">IFERROR(IF(0=LEN(ReferenceData!$AE$54),"",ReferenceData!$AE$54),"")</f>
        <v>35.34303534</v>
      </c>
      <c r="AF54">
        <f ca="1">IFERROR(IF(0=LEN(ReferenceData!$AF$54),"",ReferenceData!$AF$54),"")</f>
        <v>42.576028620000002</v>
      </c>
      <c r="AG54">
        <f ca="1">IFERROR(IF(0=LEN(ReferenceData!$AG$54),"",ReferenceData!$AG$54),"")</f>
        <v>33.902110460000003</v>
      </c>
      <c r="AH54">
        <f ca="1">IFERROR(IF(0=LEN(ReferenceData!$AH$54),"",ReferenceData!$AH$54),"")</f>
        <v>41.096605740000001</v>
      </c>
      <c r="AI54">
        <f ca="1">IFERROR(IF(0=LEN(ReferenceData!$AI$54),"",ReferenceData!$AI$54),"")</f>
        <v>34.979662990000001</v>
      </c>
      <c r="AJ54">
        <f ca="1">IFERROR(IF(0=LEN(ReferenceData!$AJ$54),"",ReferenceData!$AJ$54),"")</f>
        <v>39.823925430000003</v>
      </c>
      <c r="AK54">
        <f ca="1">IFERROR(IF(0=LEN(ReferenceData!$AK$54),"",ReferenceData!$AK$54),"")</f>
        <v>41.107184920000002</v>
      </c>
      <c r="AL54">
        <f ca="1">IFERROR(IF(0=LEN(ReferenceData!$AL$54),"",ReferenceData!$AL$54),"")</f>
        <v>40.607734809999997</v>
      </c>
      <c r="AM54">
        <f ca="1">IFERROR(IF(0=LEN(ReferenceData!$AM$54),"",ReferenceData!$AM$54),"")</f>
        <v>38.035714290000001</v>
      </c>
      <c r="AN54">
        <f ca="1">IFERROR(IF(0=LEN(ReferenceData!$AN$54),"",ReferenceData!$AN$54),"")</f>
        <v>34.106634110000002</v>
      </c>
      <c r="AO54">
        <f ca="1">IFERROR(IF(0=LEN(ReferenceData!$AO$54),"",ReferenceData!$AO$54),"")</f>
        <v>34.143109539999998</v>
      </c>
      <c r="AP54">
        <f ca="1">IFERROR(IF(0=LEN(ReferenceData!$AP$54),"",ReferenceData!$AP$54),"")</f>
        <v>34.119702930000003</v>
      </c>
      <c r="AQ54">
        <f ca="1">IFERROR(IF(0=LEN(ReferenceData!$AQ$54),"",ReferenceData!$AQ$54),"")</f>
        <v>38.328690809999998</v>
      </c>
      <c r="AR54">
        <f ca="1">IFERROR(IF(0=LEN(ReferenceData!$AR$54),"",ReferenceData!$AR$54),"")</f>
        <v>35.346861730000001</v>
      </c>
      <c r="AS54">
        <f ca="1">IFERROR(IF(0=LEN(ReferenceData!$AS$54),"",ReferenceData!$AS$54),"")</f>
        <v>31.28517824</v>
      </c>
    </row>
    <row r="55" spans="1:45" x14ac:dyDescent="0.25">
      <c r="A55" t="str">
        <f>IFERROR(IF(0=LEN(ReferenceData!$A$55),"",ReferenceData!$A$55),"")</f>
        <v xml:space="preserve">    Navistar</v>
      </c>
      <c r="B55" t="str">
        <f>IFERROR(IF(0=LEN(ReferenceData!$B$55),"",ReferenceData!$B$55),"")</f>
        <v>NAV US Equity</v>
      </c>
      <c r="C55" t="str">
        <f>IFERROR(IF(0=LEN(ReferenceData!$C$55),"",ReferenceData!$C$55),"")</f>
        <v/>
      </c>
      <c r="D55" t="str">
        <f>IFERROR(IF(0=LEN(ReferenceData!$D$55),"",ReferenceData!$D$55),"")</f>
        <v/>
      </c>
      <c r="E55" t="str">
        <f>IFERROR(IF(0=LEN(ReferenceData!$E$55),"",ReferenceData!$E$55),"")</f>
        <v>Sum</v>
      </c>
      <c r="F55">
        <f ca="1">IFERROR(IF(0=LEN(ReferenceData!$F$55),"",ReferenceData!$F$55),"")</f>
        <v>26.982861700000001</v>
      </c>
      <c r="G55">
        <f ca="1">IFERROR(IF(0=LEN(ReferenceData!$G$55),"",ReferenceData!$G$55),"")</f>
        <v>17.878028400000002</v>
      </c>
      <c r="H55">
        <f ca="1">IFERROR(IF(0=LEN(ReferenceData!$H$55),"",ReferenceData!$H$55),"")</f>
        <v>17.660044150000001</v>
      </c>
      <c r="I55">
        <f ca="1">IFERROR(IF(0=LEN(ReferenceData!$I$55),"",ReferenceData!$I$55),"")</f>
        <v>18.78868258</v>
      </c>
      <c r="J55">
        <f ca="1">IFERROR(IF(0=LEN(ReferenceData!$J$55),"",ReferenceData!$J$55),"")</f>
        <v>15.361952860000001</v>
      </c>
      <c r="K55">
        <f ca="1">IFERROR(IF(0=LEN(ReferenceData!$K$55),"",ReferenceData!$K$55),"")</f>
        <v>16.253802690000001</v>
      </c>
      <c r="L55">
        <f ca="1">IFERROR(IF(0=LEN(ReferenceData!$L$55),"",ReferenceData!$L$55),"")</f>
        <v>21.539162109999999</v>
      </c>
      <c r="M55">
        <f ca="1">IFERROR(IF(0=LEN(ReferenceData!$M$55),"",ReferenceData!$M$55),"")</f>
        <v>17.653981949999999</v>
      </c>
      <c r="N55">
        <f ca="1">IFERROR(IF(0=LEN(ReferenceData!$N$55),"",ReferenceData!$N$55),"")</f>
        <v>19.61283749</v>
      </c>
      <c r="O55">
        <f ca="1">IFERROR(IF(0=LEN(ReferenceData!$O$55),"",ReferenceData!$O$55),"")</f>
        <v>21.487179489999999</v>
      </c>
      <c r="P55">
        <f ca="1">IFERROR(IF(0=LEN(ReferenceData!$P$55),"",ReferenceData!$P$55),"")</f>
        <v>15.82507852</v>
      </c>
      <c r="Q55">
        <f ca="1">IFERROR(IF(0=LEN(ReferenceData!$Q$55),"",ReferenceData!$Q$55),"")</f>
        <v>22.50833081</v>
      </c>
      <c r="R55">
        <f ca="1">IFERROR(IF(0=LEN(ReferenceData!$R$55),"",ReferenceData!$R$55),"")</f>
        <v>24.19354839</v>
      </c>
      <c r="S55">
        <f ca="1">IFERROR(IF(0=LEN(ReferenceData!$S$55),"",ReferenceData!$S$55),"")</f>
        <v>20.430107530000001</v>
      </c>
      <c r="T55">
        <f ca="1">IFERROR(IF(0=LEN(ReferenceData!$T$55),"",ReferenceData!$T$55),"")</f>
        <v>20.19433883</v>
      </c>
      <c r="U55">
        <f ca="1">IFERROR(IF(0=LEN(ReferenceData!$U$55),"",ReferenceData!$U$55),"")</f>
        <v>22.673796790000001</v>
      </c>
      <c r="V55">
        <f ca="1">IFERROR(IF(0=LEN(ReferenceData!$V$55),"",ReferenceData!$V$55),"")</f>
        <v>20.720320139999998</v>
      </c>
      <c r="W55">
        <f ca="1">IFERROR(IF(0=LEN(ReferenceData!$W$55),"",ReferenceData!$W$55),"")</f>
        <v>22.014585230000002</v>
      </c>
      <c r="X55">
        <f ca="1">IFERROR(IF(0=LEN(ReferenceData!$X$55),"",ReferenceData!$X$55),"")</f>
        <v>23.116883120000001</v>
      </c>
      <c r="Y55">
        <f ca="1">IFERROR(IF(0=LEN(ReferenceData!$Y$55),"",ReferenceData!$Y$55),"")</f>
        <v>17.276516910000002</v>
      </c>
      <c r="Z55">
        <f ca="1">IFERROR(IF(0=LEN(ReferenceData!$Z$55),"",ReferenceData!$Z$55),"")</f>
        <v>20.861096870000001</v>
      </c>
      <c r="AA55">
        <f ca="1">IFERROR(IF(0=LEN(ReferenceData!$AA$55),"",ReferenceData!$AA$55),"")</f>
        <v>26.135163670000001</v>
      </c>
      <c r="AB55">
        <f ca="1">IFERROR(IF(0=LEN(ReferenceData!$AB$55),"",ReferenceData!$AB$55),"")</f>
        <v>13.38582677</v>
      </c>
      <c r="AC55">
        <f ca="1">IFERROR(IF(0=LEN(ReferenceData!$AC$55),"",ReferenceData!$AC$55),"")</f>
        <v>18.56777494</v>
      </c>
      <c r="AD55">
        <f ca="1">IFERROR(IF(0=LEN(ReferenceData!$AD$55),"",ReferenceData!$AD$55),"")</f>
        <v>25.0116877</v>
      </c>
      <c r="AE55">
        <f ca="1">IFERROR(IF(0=LEN(ReferenceData!$AE$55),"",ReferenceData!$AE$55),"")</f>
        <v>24.688149689999999</v>
      </c>
      <c r="AF55">
        <f ca="1">IFERROR(IF(0=LEN(ReferenceData!$AF$55),"",ReferenceData!$AF$55),"")</f>
        <v>20.52772809</v>
      </c>
      <c r="AG55">
        <f ca="1">IFERROR(IF(0=LEN(ReferenceData!$AG$55),"",ReferenceData!$AG$55),"")</f>
        <v>19.353390210000001</v>
      </c>
      <c r="AH55">
        <f ca="1">IFERROR(IF(0=LEN(ReferenceData!$AH$55),"",ReferenceData!$AH$55),"")</f>
        <v>20.522193210000001</v>
      </c>
      <c r="AI55">
        <f ca="1">IFERROR(IF(0=LEN(ReferenceData!$AI$55),"",ReferenceData!$AI$55),"")</f>
        <v>20.45322487</v>
      </c>
      <c r="AJ55">
        <f ca="1">IFERROR(IF(0=LEN(ReferenceData!$AJ$55),"",ReferenceData!$AJ$55),"")</f>
        <v>21.025375449999999</v>
      </c>
      <c r="AK55">
        <f ca="1">IFERROR(IF(0=LEN(ReferenceData!$AK$55),"",ReferenceData!$AK$55),"")</f>
        <v>23.674911659999999</v>
      </c>
      <c r="AL55">
        <f ca="1">IFERROR(IF(0=LEN(ReferenceData!$AL$55),"",ReferenceData!$AL$55),"")</f>
        <v>20.773480660000001</v>
      </c>
      <c r="AM55">
        <f ca="1">IFERROR(IF(0=LEN(ReferenceData!$AM$55),"",ReferenceData!$AM$55),"")</f>
        <v>23.27380952</v>
      </c>
      <c r="AN55">
        <f ca="1">IFERROR(IF(0=LEN(ReferenceData!$AN$55),"",ReferenceData!$AN$55),"")</f>
        <v>23.07692308</v>
      </c>
      <c r="AO55">
        <f ca="1">IFERROR(IF(0=LEN(ReferenceData!$AO$55),"",ReferenceData!$AO$55),"")</f>
        <v>23.144876329999999</v>
      </c>
      <c r="AP55">
        <f ca="1">IFERROR(IF(0=LEN(ReferenceData!$AP$55),"",ReferenceData!$AP$55),"")</f>
        <v>23.11052862</v>
      </c>
      <c r="AQ55">
        <f ca="1">IFERROR(IF(0=LEN(ReferenceData!$AQ$55),"",ReferenceData!$AQ$55),"")</f>
        <v>23.17548747</v>
      </c>
      <c r="AR55">
        <f ca="1">IFERROR(IF(0=LEN(ReferenceData!$AR$55),"",ReferenceData!$AR$55),"")</f>
        <v>25.48371874</v>
      </c>
      <c r="AS55">
        <f ca="1">IFERROR(IF(0=LEN(ReferenceData!$AS$55),"",ReferenceData!$AS$55),"")</f>
        <v>32.598499060000002</v>
      </c>
    </row>
    <row r="56" spans="1:45" x14ac:dyDescent="0.25">
      <c r="A56" t="str">
        <f>IFERROR(IF(0=LEN(ReferenceData!$A$56),"",ReferenceData!$A$56),"")</f>
        <v xml:space="preserve">        International</v>
      </c>
      <c r="B56" t="str">
        <f>IFERROR(IF(0=LEN(ReferenceData!$B$56),"",ReferenceData!$B$56),"")</f>
        <v>NAV US Equity</v>
      </c>
      <c r="C56" t="str">
        <f>IFERROR(IF(0=LEN(ReferenceData!$C$56),"",ReferenceData!$C$56),"")</f>
        <v/>
      </c>
      <c r="D56" t="str">
        <f>IFERROR(IF(0=LEN(ReferenceData!$D$56),"",ReferenceData!$D$56),"")</f>
        <v/>
      </c>
      <c r="E56" t="str">
        <f>IFERROR(IF(0=LEN(ReferenceData!$E$56),"",ReferenceData!$E$56),"")</f>
        <v>Expression</v>
      </c>
      <c r="F56">
        <f ca="1">IFERROR(IF(0=LEN(ReferenceData!$F$56),"",ReferenceData!$F$56),"")</f>
        <v>26.982861700000001</v>
      </c>
      <c r="G56">
        <f ca="1">IFERROR(IF(0=LEN(ReferenceData!$G$56),"",ReferenceData!$G$56),"")</f>
        <v>17.878028400000002</v>
      </c>
      <c r="H56">
        <f ca="1">IFERROR(IF(0=LEN(ReferenceData!$H$56),"",ReferenceData!$H$56),"")</f>
        <v>17.660044150000001</v>
      </c>
      <c r="I56">
        <f ca="1">IFERROR(IF(0=LEN(ReferenceData!$I$56),"",ReferenceData!$I$56),"")</f>
        <v>18.78868258</v>
      </c>
      <c r="J56">
        <f ca="1">IFERROR(IF(0=LEN(ReferenceData!$J$56),"",ReferenceData!$J$56),"")</f>
        <v>15.361952860000001</v>
      </c>
      <c r="K56">
        <f ca="1">IFERROR(IF(0=LEN(ReferenceData!$K$56),"",ReferenceData!$K$56),"")</f>
        <v>16.253802690000001</v>
      </c>
      <c r="L56">
        <f ca="1">IFERROR(IF(0=LEN(ReferenceData!$L$56),"",ReferenceData!$L$56),"")</f>
        <v>21.539162109999999</v>
      </c>
      <c r="M56">
        <f ca="1">IFERROR(IF(0=LEN(ReferenceData!$M$56),"",ReferenceData!$M$56),"")</f>
        <v>17.653981949999999</v>
      </c>
      <c r="N56">
        <f ca="1">IFERROR(IF(0=LEN(ReferenceData!$N$56),"",ReferenceData!$N$56),"")</f>
        <v>19.61283749</v>
      </c>
      <c r="O56">
        <f ca="1">IFERROR(IF(0=LEN(ReferenceData!$O$56),"",ReferenceData!$O$56),"")</f>
        <v>21.487179489999999</v>
      </c>
      <c r="P56">
        <f ca="1">IFERROR(IF(0=LEN(ReferenceData!$P$56),"",ReferenceData!$P$56),"")</f>
        <v>15.82507852</v>
      </c>
      <c r="Q56">
        <f ca="1">IFERROR(IF(0=LEN(ReferenceData!$Q$56),"",ReferenceData!$Q$56),"")</f>
        <v>22.50833081</v>
      </c>
      <c r="R56">
        <f ca="1">IFERROR(IF(0=LEN(ReferenceData!$R$56),"",ReferenceData!$R$56),"")</f>
        <v>24.19354839</v>
      </c>
      <c r="S56">
        <f ca="1">IFERROR(IF(0=LEN(ReferenceData!$S$56),"",ReferenceData!$S$56),"")</f>
        <v>20.430107530000001</v>
      </c>
      <c r="T56">
        <f ca="1">IFERROR(IF(0=LEN(ReferenceData!$T$56),"",ReferenceData!$T$56),"")</f>
        <v>20.19433883</v>
      </c>
      <c r="U56">
        <f ca="1">IFERROR(IF(0=LEN(ReferenceData!$U$56),"",ReferenceData!$U$56),"")</f>
        <v>22.673796790000001</v>
      </c>
      <c r="V56">
        <f ca="1">IFERROR(IF(0=LEN(ReferenceData!$V$56),"",ReferenceData!$V$56),"")</f>
        <v>20.720320139999998</v>
      </c>
      <c r="W56">
        <f ca="1">IFERROR(IF(0=LEN(ReferenceData!$W$56),"",ReferenceData!$W$56),"")</f>
        <v>22.014585230000002</v>
      </c>
      <c r="X56">
        <f ca="1">IFERROR(IF(0=LEN(ReferenceData!$X$56),"",ReferenceData!$X$56),"")</f>
        <v>23.116883120000001</v>
      </c>
      <c r="Y56">
        <f ca="1">IFERROR(IF(0=LEN(ReferenceData!$Y$56),"",ReferenceData!$Y$56),"")</f>
        <v>17.276516910000002</v>
      </c>
      <c r="Z56">
        <f ca="1">IFERROR(IF(0=LEN(ReferenceData!$Z$56),"",ReferenceData!$Z$56),"")</f>
        <v>20.861096870000001</v>
      </c>
      <c r="AA56">
        <f ca="1">IFERROR(IF(0=LEN(ReferenceData!$AA$56),"",ReferenceData!$AA$56),"")</f>
        <v>26.135163670000001</v>
      </c>
      <c r="AB56">
        <f ca="1">IFERROR(IF(0=LEN(ReferenceData!$AB$56),"",ReferenceData!$AB$56),"")</f>
        <v>13.38582677</v>
      </c>
      <c r="AC56">
        <f ca="1">IFERROR(IF(0=LEN(ReferenceData!$AC$56),"",ReferenceData!$AC$56),"")</f>
        <v>18.56777494</v>
      </c>
      <c r="AD56">
        <f ca="1">IFERROR(IF(0=LEN(ReferenceData!$AD$56),"",ReferenceData!$AD$56),"")</f>
        <v>25.0116877</v>
      </c>
      <c r="AE56">
        <f ca="1">IFERROR(IF(0=LEN(ReferenceData!$AE$56),"",ReferenceData!$AE$56),"")</f>
        <v>24.688149689999999</v>
      </c>
      <c r="AF56">
        <f ca="1">IFERROR(IF(0=LEN(ReferenceData!$AF$56),"",ReferenceData!$AF$56),"")</f>
        <v>20.52772809</v>
      </c>
      <c r="AG56">
        <f ca="1">IFERROR(IF(0=LEN(ReferenceData!$AG$56),"",ReferenceData!$AG$56),"")</f>
        <v>19.353390210000001</v>
      </c>
      <c r="AH56">
        <f ca="1">IFERROR(IF(0=LEN(ReferenceData!$AH$56),"",ReferenceData!$AH$56),"")</f>
        <v>20.522193210000001</v>
      </c>
      <c r="AI56">
        <f ca="1">IFERROR(IF(0=LEN(ReferenceData!$AI$56),"",ReferenceData!$AI$56),"")</f>
        <v>20.45322487</v>
      </c>
      <c r="AJ56">
        <f ca="1">IFERROR(IF(0=LEN(ReferenceData!$AJ$56),"",ReferenceData!$AJ$56),"")</f>
        <v>21.025375449999999</v>
      </c>
      <c r="AK56">
        <f ca="1">IFERROR(IF(0=LEN(ReferenceData!$AK$56),"",ReferenceData!$AK$56),"")</f>
        <v>23.674911659999999</v>
      </c>
      <c r="AL56">
        <f ca="1">IFERROR(IF(0=LEN(ReferenceData!$AL$56),"",ReferenceData!$AL$56),"")</f>
        <v>20.773480660000001</v>
      </c>
      <c r="AM56">
        <f ca="1">IFERROR(IF(0=LEN(ReferenceData!$AM$56),"",ReferenceData!$AM$56),"")</f>
        <v>23.27380952</v>
      </c>
      <c r="AN56">
        <f ca="1">IFERROR(IF(0=LEN(ReferenceData!$AN$56),"",ReferenceData!$AN$56),"")</f>
        <v>23.07692308</v>
      </c>
      <c r="AO56">
        <f ca="1">IFERROR(IF(0=LEN(ReferenceData!$AO$56),"",ReferenceData!$AO$56),"")</f>
        <v>23.144876329999999</v>
      </c>
      <c r="AP56">
        <f ca="1">IFERROR(IF(0=LEN(ReferenceData!$AP$56),"",ReferenceData!$AP$56),"")</f>
        <v>23.11052862</v>
      </c>
      <c r="AQ56">
        <f ca="1">IFERROR(IF(0=LEN(ReferenceData!$AQ$56),"",ReferenceData!$AQ$56),"")</f>
        <v>23.17548747</v>
      </c>
      <c r="AR56">
        <f ca="1">IFERROR(IF(0=LEN(ReferenceData!$AR$56),"",ReferenceData!$AR$56),"")</f>
        <v>25.48371874</v>
      </c>
      <c r="AS56">
        <f ca="1">IFERROR(IF(0=LEN(ReferenceData!$AS$56),"",ReferenceData!$AS$56),"")</f>
        <v>32.598499060000002</v>
      </c>
    </row>
    <row r="57" spans="1:45" x14ac:dyDescent="0.25">
      <c r="A57" t="str">
        <f>IFERROR(IF(0=LEN(ReferenceData!$A$57),"",ReferenceData!$A$57),"")</f>
        <v xml:space="preserve">    Daimler</v>
      </c>
      <c r="B57" t="str">
        <f>IFERROR(IF(0=LEN(ReferenceData!$B$57),"",ReferenceData!$B$57),"")</f>
        <v>DAI GR Equity</v>
      </c>
      <c r="C57" t="str">
        <f>IFERROR(IF(0=LEN(ReferenceData!$C$57),"",ReferenceData!$C$57),"")</f>
        <v/>
      </c>
      <c r="D57" t="str">
        <f>IFERROR(IF(0=LEN(ReferenceData!$D$57),"",ReferenceData!$D$57),"")</f>
        <v/>
      </c>
      <c r="E57" t="str">
        <f>IFERROR(IF(0=LEN(ReferenceData!$E$57),"",ReferenceData!$E$57),"")</f>
        <v>Sum</v>
      </c>
      <c r="F57">
        <f ca="1">IFERROR(IF(0=LEN(ReferenceData!$F$57),"",ReferenceData!$F$57),"")</f>
        <v>27.062574730000001</v>
      </c>
      <c r="G57">
        <f ca="1">IFERROR(IF(0=LEN(ReferenceData!$G$57),"",ReferenceData!$G$57),"")</f>
        <v>26.524644949999999</v>
      </c>
      <c r="H57">
        <f ca="1">IFERROR(IF(0=LEN(ReferenceData!$H$57),"",ReferenceData!$H$57),"")</f>
        <v>29.977924940000001</v>
      </c>
      <c r="I57">
        <f ca="1">IFERROR(IF(0=LEN(ReferenceData!$I$57),"",ReferenceData!$I$57),"")</f>
        <v>30.017683470000001</v>
      </c>
      <c r="J57">
        <f ca="1">IFERROR(IF(0=LEN(ReferenceData!$J$57),"",ReferenceData!$J$57),"")</f>
        <v>29.503367000000001</v>
      </c>
      <c r="K57">
        <f ca="1">IFERROR(IF(0=LEN(ReferenceData!$K$57),"",ReferenceData!$K$57),"")</f>
        <v>29.508909169999999</v>
      </c>
      <c r="L57">
        <f ca="1">IFERROR(IF(0=LEN(ReferenceData!$L$57),"",ReferenceData!$L$57),"")</f>
        <v>28.91621129</v>
      </c>
      <c r="M57">
        <f ca="1">IFERROR(IF(0=LEN(ReferenceData!$M$57),"",ReferenceData!$M$57),"")</f>
        <v>29.227147899999999</v>
      </c>
      <c r="N57">
        <f ca="1">IFERROR(IF(0=LEN(ReferenceData!$N$57),"",ReferenceData!$N$57),"")</f>
        <v>32.348446260000003</v>
      </c>
      <c r="O57">
        <f ca="1">IFERROR(IF(0=LEN(ReferenceData!$O$57),"",ReferenceData!$O$57),"")</f>
        <v>34.820512819999998</v>
      </c>
      <c r="P57">
        <f ca="1">IFERROR(IF(0=LEN(ReferenceData!$P$57),"",ReferenceData!$P$57),"")</f>
        <v>34.235322538999995</v>
      </c>
      <c r="Q57">
        <f ca="1">IFERROR(IF(0=LEN(ReferenceData!$Q$57),"",ReferenceData!$Q$57),"")</f>
        <v>32.020599814000001</v>
      </c>
      <c r="R57">
        <f ca="1">IFERROR(IF(0=LEN(ReferenceData!$R$57),"",ReferenceData!$R$57),"")</f>
        <v>34.291725104000001</v>
      </c>
      <c r="S57">
        <f ca="1">IFERROR(IF(0=LEN(ReferenceData!$S$57),"",ReferenceData!$S$57),"")</f>
        <v>34.482758621000002</v>
      </c>
      <c r="T57">
        <f ca="1">IFERROR(IF(0=LEN(ReferenceData!$T$57),"",ReferenceData!$T$57),"")</f>
        <v>31.981411074</v>
      </c>
      <c r="U57">
        <f ca="1">IFERROR(IF(0=LEN(ReferenceData!$U$57),"",ReferenceData!$U$57),"")</f>
        <v>34.438502673999999</v>
      </c>
      <c r="V57">
        <f ca="1">IFERROR(IF(0=LEN(ReferenceData!$V$57),"",ReferenceData!$V$57),"")</f>
        <v>32.725655848999999</v>
      </c>
      <c r="W57">
        <f ca="1">IFERROR(IF(0=LEN(ReferenceData!$W$57),"",ReferenceData!$W$57),"")</f>
        <v>39.061075662</v>
      </c>
      <c r="X57">
        <f ca="1">IFERROR(IF(0=LEN(ReferenceData!$X$57),"",ReferenceData!$X$57),"")</f>
        <v>35.930735929999997</v>
      </c>
      <c r="Y57">
        <f ca="1">IFERROR(IF(0=LEN(ReferenceData!$Y$57),"",ReferenceData!$Y$57),"")</f>
        <v>34.089856419</v>
      </c>
      <c r="Z57">
        <f ca="1">IFERROR(IF(0=LEN(ReferenceData!$Z$57),"",ReferenceData!$Z$57),"")</f>
        <v>28.908252176000001</v>
      </c>
      <c r="AA57">
        <f ca="1">IFERROR(IF(0=LEN(ReferenceData!$AA$57),"",ReferenceData!$AA$57),"")</f>
        <v>42.925026403999993</v>
      </c>
      <c r="AB57">
        <f ca="1">IFERROR(IF(0=LEN(ReferenceData!$AB$57),"",ReferenceData!$AB$57),"")</f>
        <v>26.996625418000001</v>
      </c>
      <c r="AC57">
        <f ca="1">IFERROR(IF(0=LEN(ReferenceData!$AC$57),"",ReferenceData!$AC$57),"")</f>
        <v>29.514066493999998</v>
      </c>
      <c r="AD57">
        <f ca="1">IFERROR(IF(0=LEN(ReferenceData!$AD$57),"",ReferenceData!$AD$57),"")</f>
        <v>25.245441792000001</v>
      </c>
      <c r="AE57">
        <f ca="1">IFERROR(IF(0=LEN(ReferenceData!$AE$57),"",ReferenceData!$AE$57),"")</f>
        <v>26.195426195</v>
      </c>
      <c r="AF57">
        <f ca="1">IFERROR(IF(0=LEN(ReferenceData!$AF$57),"",ReferenceData!$AF$57),"")</f>
        <v>22.540250448000002</v>
      </c>
      <c r="AG57">
        <f ca="1">IFERROR(IF(0=LEN(ReferenceData!$AG$57),"",ReferenceData!$AG$57),"")</f>
        <v>32.824427475999997</v>
      </c>
      <c r="AH57">
        <f ca="1">IFERROR(IF(0=LEN(ReferenceData!$AH$57),"",ReferenceData!$AH$57),"")</f>
        <v>25.430809404000001</v>
      </c>
      <c r="AI57">
        <f ca="1">IFERROR(IF(0=LEN(ReferenceData!$AI$57),"",ReferenceData!$AI$57),"")</f>
        <v>22.196397446999999</v>
      </c>
      <c r="AJ57">
        <f ca="1">IFERROR(IF(0=LEN(ReferenceData!$AJ$57),"",ReferenceData!$AJ$57),"")</f>
        <v>30.088037286000002</v>
      </c>
      <c r="AK57">
        <f ca="1">IFERROR(IF(0=LEN(ReferenceData!$AK$57),"",ReferenceData!$AK$57),"")</f>
        <v>22.850412250000002</v>
      </c>
      <c r="AL57">
        <f ca="1">IFERROR(IF(0=LEN(ReferenceData!$AL$57),"",ReferenceData!$AL$57),"")</f>
        <v>20.607734803</v>
      </c>
      <c r="AM57">
        <f ca="1">IFERROR(IF(0=LEN(ReferenceData!$AM$57),"",ReferenceData!$AM$57),"")</f>
        <v>24.166666667999998</v>
      </c>
      <c r="AN57">
        <f ca="1">IFERROR(IF(0=LEN(ReferenceData!$AN$57),"",ReferenceData!$AN$57),"")</f>
        <v>28.937728942</v>
      </c>
      <c r="AO57">
        <f ca="1">IFERROR(IF(0=LEN(ReferenceData!$AO$57),"",ReferenceData!$AO$57),"")</f>
        <v>29.107773846999997</v>
      </c>
      <c r="AP57">
        <f ca="1">IFERROR(IF(0=LEN(ReferenceData!$AP$57),"",ReferenceData!$AP$57),"")</f>
        <v>29.139362167999998</v>
      </c>
      <c r="AQ57">
        <f ca="1">IFERROR(IF(0=LEN(ReferenceData!$AQ$57),"",ReferenceData!$AQ$57),"")</f>
        <v>18.941504175999999</v>
      </c>
      <c r="AR57">
        <f ca="1">IFERROR(IF(0=LEN(ReferenceData!$AR$57),"",ReferenceData!$AR$57),"")</f>
        <v>28.079282679000002</v>
      </c>
      <c r="AS57">
        <f ca="1">IFERROR(IF(0=LEN(ReferenceData!$AS$57),"",ReferenceData!$AS$57),"")</f>
        <v>24.530956842999998</v>
      </c>
    </row>
    <row r="58" spans="1:45" x14ac:dyDescent="0.25">
      <c r="A58" t="str">
        <f>IFERROR(IF(0=LEN(ReferenceData!$A$58),"",ReferenceData!$A$58),"")</f>
        <v xml:space="preserve">        Freightliner</v>
      </c>
      <c r="B58" t="str">
        <f>IFERROR(IF(0=LEN(ReferenceData!$B$58),"",ReferenceData!$B$58),"")</f>
        <v>DAI GR Equity</v>
      </c>
      <c r="C58" t="str">
        <f>IFERROR(IF(0=LEN(ReferenceData!$C$58),"",ReferenceData!$C$58),"")</f>
        <v/>
      </c>
      <c r="D58" t="str">
        <f>IFERROR(IF(0=LEN(ReferenceData!$D$58),"",ReferenceData!$D$58),"")</f>
        <v/>
      </c>
      <c r="E58" t="str">
        <f>IFERROR(IF(0=LEN(ReferenceData!$E$58),"",ReferenceData!$E$58),"")</f>
        <v>Expression</v>
      </c>
      <c r="F58">
        <f ca="1">IFERROR(IF(0=LEN(ReferenceData!$F$58),"",ReferenceData!$F$58),"")</f>
        <v>27.062574730000001</v>
      </c>
      <c r="G58">
        <f ca="1">IFERROR(IF(0=LEN(ReferenceData!$G$58),"",ReferenceData!$G$58),"")</f>
        <v>26.524644949999999</v>
      </c>
      <c r="H58">
        <f ca="1">IFERROR(IF(0=LEN(ReferenceData!$H$58),"",ReferenceData!$H$58),"")</f>
        <v>29.977924940000001</v>
      </c>
      <c r="I58">
        <f ca="1">IFERROR(IF(0=LEN(ReferenceData!$I$58),"",ReferenceData!$I$58),"")</f>
        <v>30.017683470000001</v>
      </c>
      <c r="J58">
        <f ca="1">IFERROR(IF(0=LEN(ReferenceData!$J$58),"",ReferenceData!$J$58),"")</f>
        <v>29.503367000000001</v>
      </c>
      <c r="K58">
        <f ca="1">IFERROR(IF(0=LEN(ReferenceData!$K$58),"",ReferenceData!$K$58),"")</f>
        <v>29.508909169999999</v>
      </c>
      <c r="L58">
        <f ca="1">IFERROR(IF(0=LEN(ReferenceData!$L$58),"",ReferenceData!$L$58),"")</f>
        <v>28.91621129</v>
      </c>
      <c r="M58">
        <f ca="1">IFERROR(IF(0=LEN(ReferenceData!$M$58),"",ReferenceData!$M$58),"")</f>
        <v>29.227147899999999</v>
      </c>
      <c r="N58">
        <f ca="1">IFERROR(IF(0=LEN(ReferenceData!$N$58),"",ReferenceData!$N$58),"")</f>
        <v>32.348446260000003</v>
      </c>
      <c r="O58">
        <f ca="1">IFERROR(IF(0=LEN(ReferenceData!$O$58),"",ReferenceData!$O$58),"")</f>
        <v>34.820512819999998</v>
      </c>
      <c r="P58">
        <f ca="1">IFERROR(IF(0=LEN(ReferenceData!$P$58),"",ReferenceData!$P$58),"")</f>
        <v>31.094467259999998</v>
      </c>
      <c r="Q58">
        <f ca="1">IFERROR(IF(0=LEN(ReferenceData!$Q$58),"",ReferenceData!$Q$58),"")</f>
        <v>29.082096329999999</v>
      </c>
      <c r="R58">
        <f ca="1">IFERROR(IF(0=LEN(ReferenceData!$R$58),"",ReferenceData!$R$58),"")</f>
        <v>31.13604488</v>
      </c>
      <c r="S58">
        <f ca="1">IFERROR(IF(0=LEN(ReferenceData!$S$58),"",ReferenceData!$S$58),"")</f>
        <v>31.33110864</v>
      </c>
      <c r="T58">
        <f ca="1">IFERROR(IF(0=LEN(ReferenceData!$T$58),"",ReferenceData!$T$58),"")</f>
        <v>29.024081120000002</v>
      </c>
      <c r="U58">
        <f ca="1">IFERROR(IF(0=LEN(ReferenceData!$U$58),"",ReferenceData!$U$58),"")</f>
        <v>31.283422460000001</v>
      </c>
      <c r="V58">
        <f ca="1">IFERROR(IF(0=LEN(ReferenceData!$V$58),"",ReferenceData!$V$58),"")</f>
        <v>29.702089820000001</v>
      </c>
      <c r="W58">
        <f ca="1">IFERROR(IF(0=LEN(ReferenceData!$W$58),"",ReferenceData!$W$58),"")</f>
        <v>35.460346399999999</v>
      </c>
      <c r="X58">
        <f ca="1">IFERROR(IF(0=LEN(ReferenceData!$X$58),"",ReferenceData!$X$58),"")</f>
        <v>32.640692639999997</v>
      </c>
      <c r="Y58">
        <f ca="1">IFERROR(IF(0=LEN(ReferenceData!$Y$58),"",ReferenceData!$Y$58),"")</f>
        <v>30.940250120000002</v>
      </c>
      <c r="Z58">
        <f ca="1">IFERROR(IF(0=LEN(ReferenceData!$Z$58),"",ReferenceData!$Z$58),"")</f>
        <v>26.242952330000001</v>
      </c>
      <c r="AA58">
        <f ca="1">IFERROR(IF(0=LEN(ReferenceData!$AA$58),"",ReferenceData!$AA$58),"")</f>
        <v>38.965153119999997</v>
      </c>
      <c r="AB58">
        <f ca="1">IFERROR(IF(0=LEN(ReferenceData!$AB$58),"",ReferenceData!$AB$58),"")</f>
        <v>20.584926880000001</v>
      </c>
      <c r="AC58">
        <f ca="1">IFERROR(IF(0=LEN(ReferenceData!$AC$58),"",ReferenceData!$AC$58),"")</f>
        <v>22.506393859999999</v>
      </c>
      <c r="AD58">
        <f ca="1">IFERROR(IF(0=LEN(ReferenceData!$AD$58),"",ReferenceData!$AD$58),"")</f>
        <v>19.26133707</v>
      </c>
      <c r="AE58">
        <f ca="1">IFERROR(IF(0=LEN(ReferenceData!$AE$58),"",ReferenceData!$AE$58),"")</f>
        <v>20.01039501</v>
      </c>
      <c r="AF58">
        <f ca="1">IFERROR(IF(0=LEN(ReferenceData!$AF$58),"",ReferenceData!$AF$58),"")</f>
        <v>17.218246870000002</v>
      </c>
      <c r="AG58">
        <f ca="1">IFERROR(IF(0=LEN(ReferenceData!$AG$58),"",ReferenceData!$AG$58),"")</f>
        <v>26.852267619999999</v>
      </c>
      <c r="AH58">
        <f ca="1">IFERROR(IF(0=LEN(ReferenceData!$AH$58),"",ReferenceData!$AH$58),"")</f>
        <v>22.97650131</v>
      </c>
      <c r="AI58">
        <f ca="1">IFERROR(IF(0=LEN(ReferenceData!$AI$58),"",ReferenceData!$AI$58),"")</f>
        <v>20.627542129999998</v>
      </c>
      <c r="AJ58">
        <f ca="1">IFERROR(IF(0=LEN(ReferenceData!$AJ$58),"",ReferenceData!$AJ$58),"")</f>
        <v>28.793371310000001</v>
      </c>
      <c r="AK58">
        <f ca="1">IFERROR(IF(0=LEN(ReferenceData!$AK$58),"",ReferenceData!$AK$58),"")</f>
        <v>22.732626620000001</v>
      </c>
      <c r="AL58">
        <f ca="1">IFERROR(IF(0=LEN(ReferenceData!$AL$58),"",ReferenceData!$AL$58),"")</f>
        <v>20.276243090000001</v>
      </c>
      <c r="AM58">
        <f ca="1">IFERROR(IF(0=LEN(ReferenceData!$AM$58),"",ReferenceData!$AM$58),"")</f>
        <v>20.11904762</v>
      </c>
      <c r="AN58">
        <f ca="1">IFERROR(IF(0=LEN(ReferenceData!$AN$58),"",ReferenceData!$AN$58),"")</f>
        <v>20.10582011</v>
      </c>
      <c r="AO58">
        <f ca="1">IFERROR(IF(0=LEN(ReferenceData!$AO$58),"",ReferenceData!$AO$58),"")</f>
        <v>20.097173139999999</v>
      </c>
      <c r="AP58">
        <f ca="1">IFERROR(IF(0=LEN(ReferenceData!$AP$58),"",ReferenceData!$AP$58),"")</f>
        <v>20.13979904</v>
      </c>
      <c r="AQ58">
        <f ca="1">IFERROR(IF(0=LEN(ReferenceData!$AQ$58),"",ReferenceData!$AQ$58),"")</f>
        <v>15.153203339999999</v>
      </c>
      <c r="AR58">
        <f ca="1">IFERROR(IF(0=LEN(ReferenceData!$AR$58),"",ReferenceData!$AR$58),"")</f>
        <v>23.737612080000002</v>
      </c>
      <c r="AS58">
        <f ca="1">IFERROR(IF(0=LEN(ReferenceData!$AS$58),"",ReferenceData!$AS$58),"")</f>
        <v>23.7804878</v>
      </c>
    </row>
    <row r="59" spans="1:45" x14ac:dyDescent="0.25">
      <c r="A59" t="str">
        <f>IFERROR(IF(0=LEN(ReferenceData!$A$59),"",ReferenceData!$A$59),"")</f>
        <v xml:space="preserve">        Mercedes-Benz</v>
      </c>
      <c r="B59" t="str">
        <f>IFERROR(IF(0=LEN(ReferenceData!$B$59),"",ReferenceData!$B$59),"")</f>
        <v>DAI GR Equity</v>
      </c>
      <c r="C59" t="str">
        <f>IFERROR(IF(0=LEN(ReferenceData!$C$59),"",ReferenceData!$C$59),"")</f>
        <v/>
      </c>
      <c r="D59" t="str">
        <f>IFERROR(IF(0=LEN(ReferenceData!$D$59),"",ReferenceData!$D$59),"")</f>
        <v/>
      </c>
      <c r="E59" t="str">
        <f>IFERROR(IF(0=LEN(ReferenceData!$E$59),"",ReferenceData!$E$59),"")</f>
        <v>Expression</v>
      </c>
      <c r="F59" t="str">
        <f ca="1">IFERROR(IF(0=LEN(ReferenceData!$F$59),"",ReferenceData!$F$59),"")</f>
        <v/>
      </c>
      <c r="G59" t="str">
        <f ca="1">IFERROR(IF(0=LEN(ReferenceData!$G$59),"",ReferenceData!$G$59),"")</f>
        <v/>
      </c>
      <c r="H59" t="str">
        <f ca="1">IFERROR(IF(0=LEN(ReferenceData!$H$59),"",ReferenceData!$H$59),"")</f>
        <v/>
      </c>
      <c r="I59" t="str">
        <f ca="1">IFERROR(IF(0=LEN(ReferenceData!$I$59),"",ReferenceData!$I$59),"")</f>
        <v/>
      </c>
      <c r="J59" t="str">
        <f ca="1">IFERROR(IF(0=LEN(ReferenceData!$J$59),"",ReferenceData!$J$59),"")</f>
        <v/>
      </c>
      <c r="K59" t="str">
        <f ca="1">IFERROR(IF(0=LEN(ReferenceData!$K$59),"",ReferenceData!$K$59),"")</f>
        <v/>
      </c>
      <c r="L59" t="str">
        <f ca="1">IFERROR(IF(0=LEN(ReferenceData!$L$59),"",ReferenceData!$L$59),"")</f>
        <v/>
      </c>
      <c r="M59" t="str">
        <f ca="1">IFERROR(IF(0=LEN(ReferenceData!$M$59),"",ReferenceData!$M$59),"")</f>
        <v/>
      </c>
      <c r="N59" t="str">
        <f ca="1">IFERROR(IF(0=LEN(ReferenceData!$N$59),"",ReferenceData!$N$59),"")</f>
        <v/>
      </c>
      <c r="O59" t="str">
        <f ca="1">IFERROR(IF(0=LEN(ReferenceData!$O$59),"",ReferenceData!$O$59),"")</f>
        <v/>
      </c>
      <c r="P59">
        <f ca="1">IFERROR(IF(0=LEN(ReferenceData!$P$59),"",ReferenceData!$P$59),"")</f>
        <v>3.1408552790000002</v>
      </c>
      <c r="Q59">
        <f ca="1">IFERROR(IF(0=LEN(ReferenceData!$Q$59),"",ReferenceData!$Q$59),"")</f>
        <v>2.9385034839999999</v>
      </c>
      <c r="R59">
        <f ca="1">IFERROR(IF(0=LEN(ReferenceData!$R$59),"",ReferenceData!$R$59),"")</f>
        <v>3.1556802240000001</v>
      </c>
      <c r="S59">
        <f ca="1">IFERROR(IF(0=LEN(ReferenceData!$S$59),"",ReferenceData!$S$59),"")</f>
        <v>3.1516499809999998</v>
      </c>
      <c r="T59">
        <f ca="1">IFERROR(IF(0=LEN(ReferenceData!$T$59),"",ReferenceData!$T$59),"")</f>
        <v>2.957329954</v>
      </c>
      <c r="U59">
        <f ca="1">IFERROR(IF(0=LEN(ReferenceData!$U$59),"",ReferenceData!$U$59),"")</f>
        <v>3.1550802139999998</v>
      </c>
      <c r="V59">
        <f ca="1">IFERROR(IF(0=LEN(ReferenceData!$V$59),"",ReferenceData!$V$59),"")</f>
        <v>3.0235660289999999</v>
      </c>
      <c r="W59">
        <f ca="1">IFERROR(IF(0=LEN(ReferenceData!$W$59),"",ReferenceData!$W$59),"")</f>
        <v>3.6007292620000002</v>
      </c>
      <c r="X59">
        <f ca="1">IFERROR(IF(0=LEN(ReferenceData!$X$59),"",ReferenceData!$X$59),"")</f>
        <v>3.2900432899999998</v>
      </c>
      <c r="Y59">
        <f ca="1">IFERROR(IF(0=LEN(ReferenceData!$Y$59),"",ReferenceData!$Y$59),"")</f>
        <v>3.1496062990000002</v>
      </c>
      <c r="Z59">
        <f ca="1">IFERROR(IF(0=LEN(ReferenceData!$Z$59),"",ReferenceData!$Z$59),"")</f>
        <v>2.6652998459999999</v>
      </c>
      <c r="AA59">
        <f ca="1">IFERROR(IF(0=LEN(ReferenceData!$AA$59),"",ReferenceData!$AA$59),"")</f>
        <v>3.9598732839999999</v>
      </c>
      <c r="AB59">
        <f ca="1">IFERROR(IF(0=LEN(ReferenceData!$AB$59),"",ReferenceData!$AB$59),"")</f>
        <v>6.4116985379999996</v>
      </c>
      <c r="AC59">
        <f ca="1">IFERROR(IF(0=LEN(ReferenceData!$AC$59),"",ReferenceData!$AC$59),"")</f>
        <v>7.0076726340000004</v>
      </c>
      <c r="AD59">
        <f ca="1">IFERROR(IF(0=LEN(ReferenceData!$AD$59),"",ReferenceData!$AD$59),"")</f>
        <v>5.9841047219999997</v>
      </c>
      <c r="AE59">
        <f ca="1">IFERROR(IF(0=LEN(ReferenceData!$AE$59),"",ReferenceData!$AE$59),"")</f>
        <v>6.1850311849999997</v>
      </c>
      <c r="AF59">
        <f ca="1">IFERROR(IF(0=LEN(ReferenceData!$AF$59),"",ReferenceData!$AF$59),"")</f>
        <v>5.3220035780000003</v>
      </c>
      <c r="AG59">
        <f ca="1">IFERROR(IF(0=LEN(ReferenceData!$AG$59),"",ReferenceData!$AG$59),"")</f>
        <v>5.9721598560000002</v>
      </c>
      <c r="AH59">
        <f ca="1">IFERROR(IF(0=LEN(ReferenceData!$AH$59),"",ReferenceData!$AH$59),"")</f>
        <v>2.4543080939999999</v>
      </c>
      <c r="AI59">
        <f ca="1">IFERROR(IF(0=LEN(ReferenceData!$AI$59),"",ReferenceData!$AI$59),"")</f>
        <v>1.5688553169999999</v>
      </c>
      <c r="AJ59">
        <f ca="1">IFERROR(IF(0=LEN(ReferenceData!$AJ$59),"",ReferenceData!$AJ$59),"")</f>
        <v>1.2946659760000001</v>
      </c>
      <c r="AK59">
        <f ca="1">IFERROR(IF(0=LEN(ReferenceData!$AK$59),"",ReferenceData!$AK$59),"")</f>
        <v>0.11778563</v>
      </c>
      <c r="AL59">
        <f ca="1">IFERROR(IF(0=LEN(ReferenceData!$AL$59),"",ReferenceData!$AL$59),"")</f>
        <v>0.33149171300000002</v>
      </c>
      <c r="AM59">
        <f ca="1">IFERROR(IF(0=LEN(ReferenceData!$AM$59),"",ReferenceData!$AM$59),"")</f>
        <v>4.0476190479999996</v>
      </c>
      <c r="AN59">
        <f ca="1">IFERROR(IF(0=LEN(ReferenceData!$AN$59),"",ReferenceData!$AN$59),"")</f>
        <v>8.8319088319999999</v>
      </c>
      <c r="AO59">
        <f ca="1">IFERROR(IF(0=LEN(ReferenceData!$AO$59),"",ReferenceData!$AO$59),"")</f>
        <v>9.010600707</v>
      </c>
      <c r="AP59">
        <f ca="1">IFERROR(IF(0=LEN(ReferenceData!$AP$59),"",ReferenceData!$AP$59),"")</f>
        <v>8.9995631280000001</v>
      </c>
      <c r="AQ59">
        <f ca="1">IFERROR(IF(0=LEN(ReferenceData!$AQ$59),"",ReferenceData!$AQ$59),"")</f>
        <v>3.7883008359999999</v>
      </c>
      <c r="AR59">
        <f ca="1">IFERROR(IF(0=LEN(ReferenceData!$AR$59),"",ReferenceData!$AR$59),"")</f>
        <v>4.3416705990000004</v>
      </c>
      <c r="AS59">
        <f ca="1">IFERROR(IF(0=LEN(ReferenceData!$AS$59),"",ReferenceData!$AS$59),"")</f>
        <v>0.75046904299999995</v>
      </c>
    </row>
    <row r="60" spans="1:45" x14ac:dyDescent="0.25">
      <c r="A60" t="str">
        <f>IFERROR(IF(0=LEN(ReferenceData!$A$60),"",ReferenceData!$A$60),"")</f>
        <v xml:space="preserve">        Sterling</v>
      </c>
      <c r="B60" t="str">
        <f>IFERROR(IF(0=LEN(ReferenceData!$B$60),"",ReferenceData!$B$60),"")</f>
        <v>DAI GR Equity</v>
      </c>
      <c r="C60" t="str">
        <f>IFERROR(IF(0=LEN(ReferenceData!$C$60),"",ReferenceData!$C$60),"")</f>
        <v/>
      </c>
      <c r="D60" t="str">
        <f>IFERROR(IF(0=LEN(ReferenceData!$D$60),"",ReferenceData!$D$60),"")</f>
        <v/>
      </c>
      <c r="E60" t="str">
        <f>IFERROR(IF(0=LEN(ReferenceData!$E$60),"",ReferenceData!$E$60),"")</f>
        <v>Expression</v>
      </c>
      <c r="F60" t="str">
        <f ca="1">IFERROR(IF(0=LEN(ReferenceData!$F$60),"",ReferenceData!$F$60),"")</f>
        <v/>
      </c>
      <c r="G60" t="str">
        <f ca="1">IFERROR(IF(0=LEN(ReferenceData!$G$60),"",ReferenceData!$G$60),"")</f>
        <v/>
      </c>
      <c r="H60" t="str">
        <f ca="1">IFERROR(IF(0=LEN(ReferenceData!$H$60),"",ReferenceData!$H$60),"")</f>
        <v/>
      </c>
      <c r="I60" t="str">
        <f ca="1">IFERROR(IF(0=LEN(ReferenceData!$I$60),"",ReferenceData!$I$60),"")</f>
        <v/>
      </c>
      <c r="J60" t="str">
        <f ca="1">IFERROR(IF(0=LEN(ReferenceData!$J$60),"",ReferenceData!$J$60),"")</f>
        <v/>
      </c>
      <c r="K60" t="str">
        <f ca="1">IFERROR(IF(0=LEN(ReferenceData!$K$60),"",ReferenceData!$K$60),"")</f>
        <v/>
      </c>
      <c r="L60" t="str">
        <f ca="1">IFERROR(IF(0=LEN(ReferenceData!$L$60),"",ReferenceData!$L$60),"")</f>
        <v/>
      </c>
      <c r="M60" t="str">
        <f ca="1">IFERROR(IF(0=LEN(ReferenceData!$M$60),"",ReferenceData!$M$60),"")</f>
        <v/>
      </c>
      <c r="N60" t="str">
        <f ca="1">IFERROR(IF(0=LEN(ReferenceData!$N$60),"",ReferenceData!$N$60),"")</f>
        <v/>
      </c>
      <c r="O60" t="str">
        <f ca="1">IFERROR(IF(0=LEN(ReferenceData!$O$60),"",ReferenceData!$O$60),"")</f>
        <v/>
      </c>
      <c r="P60" t="str">
        <f ca="1">IFERROR(IF(0=LEN(ReferenceData!$P$60),"",ReferenceData!$P$60),"")</f>
        <v/>
      </c>
      <c r="Q60" t="str">
        <f ca="1">IFERROR(IF(0=LEN(ReferenceData!$Q$60),"",ReferenceData!$Q$60),"")</f>
        <v/>
      </c>
      <c r="R60" t="str">
        <f ca="1">IFERROR(IF(0=LEN(ReferenceData!$R$60),"",ReferenceData!$R$60),"")</f>
        <v/>
      </c>
      <c r="S60" t="str">
        <f ca="1">IFERROR(IF(0=LEN(ReferenceData!$S$60),"",ReferenceData!$S$60),"")</f>
        <v/>
      </c>
      <c r="T60" t="str">
        <f ca="1">IFERROR(IF(0=LEN(ReferenceData!$T$60),"",ReferenceData!$T$60),"")</f>
        <v/>
      </c>
      <c r="U60" t="str">
        <f ca="1">IFERROR(IF(0=LEN(ReferenceData!$U$60),"",ReferenceData!$U$60),"")</f>
        <v/>
      </c>
      <c r="V60" t="str">
        <f ca="1">IFERROR(IF(0=LEN(ReferenceData!$V$60),"",ReferenceData!$V$60),"")</f>
        <v/>
      </c>
      <c r="W60" t="str">
        <f ca="1">IFERROR(IF(0=LEN(ReferenceData!$W$60),"",ReferenceData!$W$60),"")</f>
        <v/>
      </c>
      <c r="X60" t="str">
        <f ca="1">IFERROR(IF(0=LEN(ReferenceData!$X$60),"",ReferenceData!$X$60),"")</f>
        <v/>
      </c>
      <c r="Y60" t="str">
        <f ca="1">IFERROR(IF(0=LEN(ReferenceData!$Y$60),"",ReferenceData!$Y$60),"")</f>
        <v/>
      </c>
      <c r="Z60" t="str">
        <f ca="1">IFERROR(IF(0=LEN(ReferenceData!$Z$60),"",ReferenceData!$Z$60),"")</f>
        <v/>
      </c>
      <c r="AA60" t="str">
        <f ca="1">IFERROR(IF(0=LEN(ReferenceData!$AA$60),"",ReferenceData!$AA$60),"")</f>
        <v/>
      </c>
      <c r="AB60" t="str">
        <f ca="1">IFERROR(IF(0=LEN(ReferenceData!$AB$60),"",ReferenceData!$AB$60),"")</f>
        <v/>
      </c>
      <c r="AC60" t="str">
        <f ca="1">IFERROR(IF(0=LEN(ReferenceData!$AC$60),"",ReferenceData!$AC$60),"")</f>
        <v/>
      </c>
      <c r="AD60" t="str">
        <f ca="1">IFERROR(IF(0=LEN(ReferenceData!$AD$60),"",ReferenceData!$AD$60),"")</f>
        <v/>
      </c>
      <c r="AE60" t="str">
        <f ca="1">IFERROR(IF(0=LEN(ReferenceData!$AE$60),"",ReferenceData!$AE$60),"")</f>
        <v/>
      </c>
      <c r="AF60" t="str">
        <f ca="1">IFERROR(IF(0=LEN(ReferenceData!$AF$60),"",ReferenceData!$AF$60),"")</f>
        <v/>
      </c>
      <c r="AG60" t="str">
        <f ca="1">IFERROR(IF(0=LEN(ReferenceData!$AG$60),"",ReferenceData!$AG$60),"")</f>
        <v/>
      </c>
      <c r="AH60" t="str">
        <f ca="1">IFERROR(IF(0=LEN(ReferenceData!$AH$60),"",ReferenceData!$AH$60),"")</f>
        <v/>
      </c>
      <c r="AI60" t="str">
        <f ca="1">IFERROR(IF(0=LEN(ReferenceData!$AI$60),"",ReferenceData!$AI$60),"")</f>
        <v/>
      </c>
      <c r="AJ60" t="str">
        <f ca="1">IFERROR(IF(0=LEN(ReferenceData!$AJ$60),"",ReferenceData!$AJ$60),"")</f>
        <v/>
      </c>
      <c r="AK60" t="str">
        <f ca="1">IFERROR(IF(0=LEN(ReferenceData!$AK$60),"",ReferenceData!$AK$60),"")</f>
        <v/>
      </c>
      <c r="AL60" t="str">
        <f ca="1">IFERROR(IF(0=LEN(ReferenceData!$AL$60),"",ReferenceData!$AL$60),"")</f>
        <v/>
      </c>
      <c r="AM60" t="str">
        <f ca="1">IFERROR(IF(0=LEN(ReferenceData!$AM$60),"",ReferenceData!$AM$60),"")</f>
        <v/>
      </c>
      <c r="AN60" t="str">
        <f ca="1">IFERROR(IF(0=LEN(ReferenceData!$AN$60),"",ReferenceData!$AN$60),"")</f>
        <v/>
      </c>
      <c r="AO60" t="str">
        <f ca="1">IFERROR(IF(0=LEN(ReferenceData!$AO$60),"",ReferenceData!$AO$60),"")</f>
        <v/>
      </c>
      <c r="AP60" t="str">
        <f ca="1">IFERROR(IF(0=LEN(ReferenceData!$AP$60),"",ReferenceData!$AP$60),"")</f>
        <v/>
      </c>
      <c r="AQ60" t="str">
        <f ca="1">IFERROR(IF(0=LEN(ReferenceData!$AQ$60),"",ReferenceData!$AQ$60),"")</f>
        <v/>
      </c>
      <c r="AR60" t="str">
        <f ca="1">IFERROR(IF(0=LEN(ReferenceData!$AR$60),"",ReferenceData!$AR$60),"")</f>
        <v/>
      </c>
      <c r="AS60" t="str">
        <f ca="1">IFERROR(IF(0=LEN(ReferenceData!$AS$60),"",ReferenceData!$AS$60),"")</f>
        <v/>
      </c>
    </row>
    <row r="61" spans="1:45" x14ac:dyDescent="0.25">
      <c r="A61" t="str">
        <f>IFERROR(IF(0=LEN(ReferenceData!$A$61),"",ReferenceData!$A$61),"")</f>
        <v xml:space="preserve">    Volvo</v>
      </c>
      <c r="B61" t="str">
        <f>IFERROR(IF(0=LEN(ReferenceData!$B$61),"",ReferenceData!$B$61),"")</f>
        <v>VOLVB SS Equity</v>
      </c>
      <c r="C61" t="str">
        <f>IFERROR(IF(0=LEN(ReferenceData!$C$61),"",ReferenceData!$C$61),"")</f>
        <v/>
      </c>
      <c r="D61" t="str">
        <f>IFERROR(IF(0=LEN(ReferenceData!$D$61),"",ReferenceData!$D$61),"")</f>
        <v/>
      </c>
      <c r="E61" t="str">
        <f>IFERROR(IF(0=LEN(ReferenceData!$E$61),"",ReferenceData!$E$61),"")</f>
        <v>Sum</v>
      </c>
      <c r="F61">
        <f ca="1">IFERROR(IF(0=LEN(ReferenceData!$F$61),"",ReferenceData!$F$61),"")</f>
        <v>1.7536867269999998</v>
      </c>
      <c r="G61">
        <f ca="1">IFERROR(IF(0=LEN(ReferenceData!$G$61),"",ReferenceData!$G$61),"")</f>
        <v>1.5873015879999999</v>
      </c>
      <c r="H61">
        <f ca="1">IFERROR(IF(0=LEN(ReferenceData!$H$61),"",ReferenceData!$H$61),"")</f>
        <v>0.97130242900000008</v>
      </c>
      <c r="I61">
        <f ca="1">IFERROR(IF(0=LEN(ReferenceData!$I$61),"",ReferenceData!$I$61),"")</f>
        <v>1.3262599470000001</v>
      </c>
      <c r="J61">
        <f ca="1">IFERROR(IF(0=LEN(ReferenceData!$J$61),"",ReferenceData!$J$61),"")</f>
        <v>2.1464646460000001</v>
      </c>
      <c r="K61">
        <f ca="1">IFERROR(IF(0=LEN(ReferenceData!$K$61),"",ReferenceData!$K$61),"")</f>
        <v>4.5197740120000001</v>
      </c>
      <c r="L61">
        <f ca="1">IFERROR(IF(0=LEN(ReferenceData!$L$61),"",ReferenceData!$L$61),"")</f>
        <v>2.5500910750000001</v>
      </c>
      <c r="M61">
        <f ca="1">IFERROR(IF(0=LEN(ReferenceData!$M$61),"",ReferenceData!$M$61),"")</f>
        <v>4.6684974500000003</v>
      </c>
      <c r="N61">
        <f ca="1">IFERROR(IF(0=LEN(ReferenceData!$N$61),"",ReferenceData!$N$61),"")</f>
        <v>5.1961283749999998</v>
      </c>
      <c r="O61">
        <f ca="1">IFERROR(IF(0=LEN(ReferenceData!$O$61),"",ReferenceData!$O$61),"")</f>
        <v>2.8205128209999999</v>
      </c>
      <c r="P61">
        <f ca="1">IFERROR(IF(0=LEN(ReferenceData!$P$61),"",ReferenceData!$P$61),"")</f>
        <v>2.778448901</v>
      </c>
      <c r="Q61">
        <f ca="1">IFERROR(IF(0=LEN(ReferenceData!$Q$61),"",ReferenceData!$Q$61),"")</f>
        <v>1.75704332</v>
      </c>
      <c r="R61">
        <f ca="1">IFERROR(IF(0=LEN(ReferenceData!$R$61),"",ReferenceData!$R$61),"")</f>
        <v>1.998597475</v>
      </c>
      <c r="S61">
        <f ca="1">IFERROR(IF(0=LEN(ReferenceData!$S$61),"",ReferenceData!$S$61),"")</f>
        <v>2.150537634</v>
      </c>
      <c r="T61">
        <f ca="1">IFERROR(IF(0=LEN(ReferenceData!$T$61),"",ReferenceData!$T$61),"")</f>
        <v>3.3798056609999998</v>
      </c>
      <c r="U61">
        <f ca="1">IFERROR(IF(0=LEN(ReferenceData!$U$61),"",ReferenceData!$U$61),"")</f>
        <v>2.4064171119999997</v>
      </c>
      <c r="V61">
        <f ca="1">IFERROR(IF(0=LEN(ReferenceData!$V$61),"",ReferenceData!$V$61),"")</f>
        <v>2.089817697</v>
      </c>
      <c r="W61">
        <f ca="1">IFERROR(IF(0=LEN(ReferenceData!$W$61),"",ReferenceData!$W$61),"")</f>
        <v>3.5095715589999998</v>
      </c>
      <c r="X61">
        <f ca="1">IFERROR(IF(0=LEN(ReferenceData!$X$61),"",ReferenceData!$X$61),"")</f>
        <v>3.2034632040000002</v>
      </c>
      <c r="Y61">
        <f ca="1">IFERROR(IF(0=LEN(ReferenceData!$Y$61),"",ReferenceData!$Y$61),"")</f>
        <v>5.511811024</v>
      </c>
      <c r="Z61">
        <f ca="1">IFERROR(IF(0=LEN(ReferenceData!$Z$61),"",ReferenceData!$Z$61),"")</f>
        <v>1.742696053</v>
      </c>
      <c r="AA61">
        <f ca="1">IFERROR(IF(0=LEN(ReferenceData!$AA$61),"",ReferenceData!$AA$61),"")</f>
        <v>1.8479408660000001</v>
      </c>
      <c r="AB61">
        <f ca="1">IFERROR(IF(0=LEN(ReferenceData!$AB$61),"",ReferenceData!$AB$61),"")</f>
        <v>9.186351706</v>
      </c>
      <c r="AC61">
        <f ca="1">IFERROR(IF(0=LEN(ReferenceData!$AC$61),"",ReferenceData!$AC$61),"")</f>
        <v>7.0588235299999997</v>
      </c>
      <c r="AD61">
        <f ca="1">IFERROR(IF(0=LEN(ReferenceData!$AD$61),"",ReferenceData!$AD$61),"")</f>
        <v>3.7400654510000004</v>
      </c>
      <c r="AE61">
        <f ca="1">IFERROR(IF(0=LEN(ReferenceData!$AE$61),"",ReferenceData!$AE$61),"")</f>
        <v>5.665280665</v>
      </c>
      <c r="AF61">
        <f ca="1">IFERROR(IF(0=LEN(ReferenceData!$AF$61),"",ReferenceData!$AF$61),"")</f>
        <v>7.3792486579999998</v>
      </c>
      <c r="AG61">
        <f ca="1">IFERROR(IF(0=LEN(ReferenceData!$AG$61),"",ReferenceData!$AG$61),"")</f>
        <v>6.9151324660000002</v>
      </c>
      <c r="AH61">
        <f ca="1">IFERROR(IF(0=LEN(ReferenceData!$AH$61),"",ReferenceData!$AH$61),"")</f>
        <v>5.1174934719999996</v>
      </c>
      <c r="AI61">
        <f ca="1">IFERROR(IF(0=LEN(ReferenceData!$AI$61),"",ReferenceData!$AI$61),"")</f>
        <v>14.294015112</v>
      </c>
      <c r="AJ61">
        <f ca="1">IFERROR(IF(0=LEN(ReferenceData!$AJ$61),"",ReferenceData!$AJ$61),"")</f>
        <v>2.17503884</v>
      </c>
      <c r="AK61">
        <f ca="1">IFERROR(IF(0=LEN(ReferenceData!$AK$61),"",ReferenceData!$AK$61),"")</f>
        <v>2.1790341579999999</v>
      </c>
      <c r="AL61">
        <f ca="1">IFERROR(IF(0=LEN(ReferenceData!$AL$61),"",ReferenceData!$AL$61),"")</f>
        <v>9.060773481</v>
      </c>
      <c r="AM61">
        <f ca="1">IFERROR(IF(0=LEN(ReferenceData!$AM$61),"",ReferenceData!$AM$61),"")</f>
        <v>4.2261904760000002</v>
      </c>
      <c r="AN61">
        <f ca="1">IFERROR(IF(0=LEN(ReferenceData!$AN$61),"",ReferenceData!$AN$61),"")</f>
        <v>4.8433048430000003</v>
      </c>
      <c r="AO61">
        <f ca="1">IFERROR(IF(0=LEN(ReferenceData!$AO$61),"",ReferenceData!$AO$61),"")</f>
        <v>4.8144876320000005</v>
      </c>
      <c r="AP61">
        <f ca="1">IFERROR(IF(0=LEN(ReferenceData!$AP$61),"",ReferenceData!$AP$61),"")</f>
        <v>4.8055919610000002</v>
      </c>
      <c r="AQ61">
        <f ca="1">IFERROR(IF(0=LEN(ReferenceData!$AQ$61),"",ReferenceData!$AQ$61),"")</f>
        <v>7.7437325909999997</v>
      </c>
      <c r="AR61">
        <f ca="1">IFERROR(IF(0=LEN(ReferenceData!$AR$61),"",ReferenceData!$AR$61),"")</f>
        <v>7.2675790469999999</v>
      </c>
      <c r="AS61">
        <f ca="1">IFERROR(IF(0=LEN(ReferenceData!$AS$61),"",ReferenceData!$AS$61),"")</f>
        <v>6.6135084430000006</v>
      </c>
    </row>
    <row r="62" spans="1:45" x14ac:dyDescent="0.25">
      <c r="A62" t="str">
        <f>IFERROR(IF(0=LEN(ReferenceData!$A$62),"",ReferenceData!$A$62),"")</f>
        <v xml:space="preserve">        Volvo Truck</v>
      </c>
      <c r="B62" t="str">
        <f>IFERROR(IF(0=LEN(ReferenceData!$B$62),"",ReferenceData!$B$62),"")</f>
        <v>VOLVB SS Equity</v>
      </c>
      <c r="C62" t="str">
        <f>IFERROR(IF(0=LEN(ReferenceData!$C$62),"",ReferenceData!$C$62),"")</f>
        <v/>
      </c>
      <c r="D62" t="str">
        <f>IFERROR(IF(0=LEN(ReferenceData!$D$62),"",ReferenceData!$D$62),"")</f>
        <v/>
      </c>
      <c r="E62" t="str">
        <f>IFERROR(IF(0=LEN(ReferenceData!$E$62),"",ReferenceData!$E$62),"")</f>
        <v>Expression</v>
      </c>
      <c r="F62">
        <f ca="1">IFERROR(IF(0=LEN(ReferenceData!$F$62),"",ReferenceData!$F$62),"")</f>
        <v>1.3551215619999999</v>
      </c>
      <c r="G62">
        <f ca="1">IFERROR(IF(0=LEN(ReferenceData!$G$62),"",ReferenceData!$G$62),"")</f>
        <v>1.4202172099999999</v>
      </c>
      <c r="H62">
        <f ca="1">IFERROR(IF(0=LEN(ReferenceData!$H$62),"",ReferenceData!$H$62),"")</f>
        <v>0.66225165600000002</v>
      </c>
      <c r="I62">
        <f ca="1">IFERROR(IF(0=LEN(ReferenceData!$I$62),"",ReferenceData!$I$62),"")</f>
        <v>1.1936339520000001</v>
      </c>
      <c r="J62">
        <f ca="1">IFERROR(IF(0=LEN(ReferenceData!$J$62),"",ReferenceData!$J$62),"")</f>
        <v>1.5151515149999999</v>
      </c>
      <c r="K62">
        <f ca="1">IFERROR(IF(0=LEN(ReferenceData!$K$62),"",ReferenceData!$K$62),"")</f>
        <v>2.0860495440000002</v>
      </c>
      <c r="L62">
        <f ca="1">IFERROR(IF(0=LEN(ReferenceData!$L$62),"",ReferenceData!$L$62),"")</f>
        <v>1.821493625</v>
      </c>
      <c r="M62">
        <f ca="1">IFERROR(IF(0=LEN(ReferenceData!$M$62),"",ReferenceData!$M$62),"")</f>
        <v>3.6092585330000002</v>
      </c>
      <c r="N62">
        <f ca="1">IFERROR(IF(0=LEN(ReferenceData!$N$62),"",ReferenceData!$N$62),"")</f>
        <v>3.973509934</v>
      </c>
      <c r="O62">
        <f ca="1">IFERROR(IF(0=LEN(ReferenceData!$O$62),"",ReferenceData!$O$62),"")</f>
        <v>2</v>
      </c>
      <c r="P62">
        <f ca="1">IFERROR(IF(0=LEN(ReferenceData!$P$62),"",ReferenceData!$P$62),"")</f>
        <v>1.8361923170000001</v>
      </c>
      <c r="Q62">
        <f ca="1">IFERROR(IF(0=LEN(ReferenceData!$Q$62),"",ReferenceData!$Q$62),"")</f>
        <v>1.6055740679999999</v>
      </c>
      <c r="R62">
        <f ca="1">IFERROR(IF(0=LEN(ReferenceData!$R$62),"",ReferenceData!$R$62),"")</f>
        <v>1.6479663389999999</v>
      </c>
      <c r="S62">
        <f ca="1">IFERROR(IF(0=LEN(ReferenceData!$S$62),"",ReferenceData!$S$62),"")</f>
        <v>1.1494252869999999</v>
      </c>
      <c r="T62">
        <f ca="1">IFERROR(IF(0=LEN(ReferenceData!$T$62),"",ReferenceData!$T$62),"")</f>
        <v>3.3375580899999999</v>
      </c>
      <c r="U62">
        <f ca="1">IFERROR(IF(0=LEN(ReferenceData!$U$62),"",ReferenceData!$U$62),"")</f>
        <v>1.7647058819999999</v>
      </c>
      <c r="V62">
        <f ca="1">IFERROR(IF(0=LEN(ReferenceData!$V$62),"",ReferenceData!$V$62),"")</f>
        <v>1.556247221</v>
      </c>
      <c r="W62">
        <f ca="1">IFERROR(IF(0=LEN(ReferenceData!$W$62),"",ReferenceData!$W$62),"")</f>
        <v>2.5979945309999999</v>
      </c>
      <c r="X62">
        <f ca="1">IFERROR(IF(0=LEN(ReferenceData!$X$62),"",ReferenceData!$X$62),"")</f>
        <v>2.6839826840000001</v>
      </c>
      <c r="Y62">
        <f ca="1">IFERROR(IF(0=LEN(ReferenceData!$Y$62),"",ReferenceData!$Y$62),"")</f>
        <v>4.53913849</v>
      </c>
      <c r="Z62">
        <f ca="1">IFERROR(IF(0=LEN(ReferenceData!$Z$62),"",ReferenceData!$Z$62),"")</f>
        <v>1.537672988</v>
      </c>
      <c r="AA62">
        <f ca="1">IFERROR(IF(0=LEN(ReferenceData!$AA$62),"",ReferenceData!$AA$62),"")</f>
        <v>1.10876452</v>
      </c>
      <c r="AB62">
        <f ca="1">IFERROR(IF(0=LEN(ReferenceData!$AB$62),"",ReferenceData!$AB$62),"")</f>
        <v>7.8740157479999997</v>
      </c>
      <c r="AC62">
        <f ca="1">IFERROR(IF(0=LEN(ReferenceData!$AC$62),"",ReferenceData!$AC$62),"")</f>
        <v>5.37084399</v>
      </c>
      <c r="AD62">
        <f ca="1">IFERROR(IF(0=LEN(ReferenceData!$AD$62),"",ReferenceData!$AD$62),"")</f>
        <v>2.2440392710000001</v>
      </c>
      <c r="AE62">
        <f ca="1">IFERROR(IF(0=LEN(ReferenceData!$AE$62),"",ReferenceData!$AE$62),"")</f>
        <v>3.6382536380000001</v>
      </c>
      <c r="AF62">
        <f ca="1">IFERROR(IF(0=LEN(ReferenceData!$AF$62),"",ReferenceData!$AF$62),"")</f>
        <v>3.4883720930000002</v>
      </c>
      <c r="AG62">
        <f ca="1">IFERROR(IF(0=LEN(ReferenceData!$AG$62),"",ReferenceData!$AG$62),"")</f>
        <v>3.7718904360000001</v>
      </c>
      <c r="AH62">
        <f ca="1">IFERROR(IF(0=LEN(ReferenceData!$AH$62),"",ReferenceData!$AH$62),"")</f>
        <v>3.9164490860000001</v>
      </c>
      <c r="AI62">
        <f ca="1">IFERROR(IF(0=LEN(ReferenceData!$AI$62),"",ReferenceData!$AI$62),"")</f>
        <v>12.8413713</v>
      </c>
      <c r="AJ62">
        <f ca="1">IFERROR(IF(0=LEN(ReferenceData!$AJ$62),"",ReferenceData!$AJ$62),"")</f>
        <v>0.98394614199999997</v>
      </c>
      <c r="AK62">
        <f ca="1">IFERROR(IF(0=LEN(ReferenceData!$AK$62),"",ReferenceData!$AK$62),"")</f>
        <v>1.7078916369999999</v>
      </c>
      <c r="AL62">
        <f ca="1">IFERROR(IF(0=LEN(ReferenceData!$AL$62),"",ReferenceData!$AL$62),"")</f>
        <v>7.4585635359999998</v>
      </c>
      <c r="AM62">
        <f ca="1">IFERROR(IF(0=LEN(ReferenceData!$AM$62),"",ReferenceData!$AM$62),"")</f>
        <v>3.095238095</v>
      </c>
      <c r="AN62">
        <f ca="1">IFERROR(IF(0=LEN(ReferenceData!$AN$62),"",ReferenceData!$AN$62),"")</f>
        <v>3.337403337</v>
      </c>
      <c r="AO62">
        <f ca="1">IFERROR(IF(0=LEN(ReferenceData!$AO$62),"",ReferenceData!$AO$62),"")</f>
        <v>3.3127208480000001</v>
      </c>
      <c r="AP62">
        <f ca="1">IFERROR(IF(0=LEN(ReferenceData!$AP$62),"",ReferenceData!$AP$62),"")</f>
        <v>3.3202271730000001</v>
      </c>
      <c r="AQ62">
        <f ca="1">IFERROR(IF(0=LEN(ReferenceData!$AQ$62),"",ReferenceData!$AQ$62),"")</f>
        <v>4.6239554319999998</v>
      </c>
      <c r="AR62">
        <f ca="1">IFERROR(IF(0=LEN(ReferenceData!$AR$62),"",ReferenceData!$AR$62),"")</f>
        <v>5.4270882489999996</v>
      </c>
      <c r="AS62">
        <f ca="1">IFERROR(IF(0=LEN(ReferenceData!$AS$62),"",ReferenceData!$AS$62),"")</f>
        <v>5.6285178240000002</v>
      </c>
    </row>
    <row r="63" spans="1:45" x14ac:dyDescent="0.25">
      <c r="A63" t="str">
        <f>IFERROR(IF(0=LEN(ReferenceData!$A$63),"",ReferenceData!$A$63),"")</f>
        <v xml:space="preserve">        Mack</v>
      </c>
      <c r="B63" t="str">
        <f>IFERROR(IF(0=LEN(ReferenceData!$B$63),"",ReferenceData!$B$63),"")</f>
        <v>VOLVB SS Equity</v>
      </c>
      <c r="C63" t="str">
        <f>IFERROR(IF(0=LEN(ReferenceData!$C$63),"",ReferenceData!$C$63),"")</f>
        <v/>
      </c>
      <c r="D63" t="str">
        <f>IFERROR(IF(0=LEN(ReferenceData!$D$63),"",ReferenceData!$D$63),"")</f>
        <v/>
      </c>
      <c r="E63" t="str">
        <f>IFERROR(IF(0=LEN(ReferenceData!$E$63),"",ReferenceData!$E$63),"")</f>
        <v>Expression</v>
      </c>
      <c r="F63">
        <f ca="1">IFERROR(IF(0=LEN(ReferenceData!$F$63),"",ReferenceData!$F$63),"")</f>
        <v>0.398565165</v>
      </c>
      <c r="G63">
        <f ca="1">IFERROR(IF(0=LEN(ReferenceData!$G$63),"",ReferenceData!$G$63),"")</f>
        <v>0.16708437800000001</v>
      </c>
      <c r="H63">
        <f ca="1">IFERROR(IF(0=LEN(ReferenceData!$H$63),"",ReferenceData!$H$63),"")</f>
        <v>0.309050773</v>
      </c>
      <c r="I63">
        <f ca="1">IFERROR(IF(0=LEN(ReferenceData!$I$63),"",ReferenceData!$I$63),"")</f>
        <v>0.132625995</v>
      </c>
      <c r="J63">
        <f ca="1">IFERROR(IF(0=LEN(ReferenceData!$J$63),"",ReferenceData!$J$63),"")</f>
        <v>0.63131313099999997</v>
      </c>
      <c r="K63">
        <f ca="1">IFERROR(IF(0=LEN(ReferenceData!$K$63),"",ReferenceData!$K$63),"")</f>
        <v>2.4337244679999999</v>
      </c>
      <c r="L63">
        <f ca="1">IFERROR(IF(0=LEN(ReferenceData!$L$63),"",ReferenceData!$L$63),"")</f>
        <v>0.72859744999999998</v>
      </c>
      <c r="M63">
        <f ca="1">IFERROR(IF(0=LEN(ReferenceData!$M$63),"",ReferenceData!$M$63),"")</f>
        <v>1.0592389170000001</v>
      </c>
      <c r="N63">
        <f ca="1">IFERROR(IF(0=LEN(ReferenceData!$N$63),"",ReferenceData!$N$63),"")</f>
        <v>1.2226184410000001</v>
      </c>
      <c r="O63">
        <f ca="1">IFERROR(IF(0=LEN(ReferenceData!$O$63),"",ReferenceData!$O$63),"")</f>
        <v>0.820512821</v>
      </c>
      <c r="P63">
        <f ca="1">IFERROR(IF(0=LEN(ReferenceData!$P$63),"",ReferenceData!$P$63),"")</f>
        <v>0.94225658400000001</v>
      </c>
      <c r="Q63">
        <f ca="1">IFERROR(IF(0=LEN(ReferenceData!$Q$63),"",ReferenceData!$Q$63),"")</f>
        <v>0.151469252</v>
      </c>
      <c r="R63">
        <f ca="1">IFERROR(IF(0=LEN(ReferenceData!$R$63),"",ReferenceData!$R$63),"")</f>
        <v>0.35063113600000001</v>
      </c>
      <c r="S63">
        <f ca="1">IFERROR(IF(0=LEN(ReferenceData!$S$63),"",ReferenceData!$S$63),"")</f>
        <v>1.0011123470000001</v>
      </c>
      <c r="T63">
        <f ca="1">IFERROR(IF(0=LEN(ReferenceData!$T$63),"",ReferenceData!$T$63),"")</f>
        <v>4.2247570999999998E-2</v>
      </c>
      <c r="U63">
        <f ca="1">IFERROR(IF(0=LEN(ReferenceData!$U$63),"",ReferenceData!$U$63),"")</f>
        <v>0.64171122999999997</v>
      </c>
      <c r="V63">
        <f ca="1">IFERROR(IF(0=LEN(ReferenceData!$V$63),"",ReferenceData!$V$63),"")</f>
        <v>0.53357047599999996</v>
      </c>
      <c r="W63">
        <f ca="1">IFERROR(IF(0=LEN(ReferenceData!$W$63),"",ReferenceData!$W$63),"")</f>
        <v>0.91157702799999996</v>
      </c>
      <c r="X63">
        <f ca="1">IFERROR(IF(0=LEN(ReferenceData!$X$63),"",ReferenceData!$X$63),"")</f>
        <v>0.51948052</v>
      </c>
      <c r="Y63">
        <f ca="1">IFERROR(IF(0=LEN(ReferenceData!$Y$63),"",ReferenceData!$Y$63),"")</f>
        <v>0.97267253399999998</v>
      </c>
      <c r="Z63">
        <f ca="1">IFERROR(IF(0=LEN(ReferenceData!$Z$63),"",ReferenceData!$Z$63),"")</f>
        <v>0.205023065</v>
      </c>
      <c r="AA63">
        <f ca="1">IFERROR(IF(0=LEN(ReferenceData!$AA$63),"",ReferenceData!$AA$63),"")</f>
        <v>0.73917634600000004</v>
      </c>
      <c r="AB63">
        <f ca="1">IFERROR(IF(0=LEN(ReferenceData!$AB$63),"",ReferenceData!$AB$63),"")</f>
        <v>1.312335958</v>
      </c>
      <c r="AC63">
        <f ca="1">IFERROR(IF(0=LEN(ReferenceData!$AC$63),"",ReferenceData!$AC$63),"")</f>
        <v>1.6879795399999999</v>
      </c>
      <c r="AD63">
        <f ca="1">IFERROR(IF(0=LEN(ReferenceData!$AD$63),"",ReferenceData!$AD$63),"")</f>
        <v>1.4960261800000001</v>
      </c>
      <c r="AE63">
        <f ca="1">IFERROR(IF(0=LEN(ReferenceData!$AE$63),"",ReferenceData!$AE$63),"")</f>
        <v>2.0270270269999999</v>
      </c>
      <c r="AF63">
        <f ca="1">IFERROR(IF(0=LEN(ReferenceData!$AF$63),"",ReferenceData!$AF$63),"")</f>
        <v>3.8908765650000001</v>
      </c>
      <c r="AG63">
        <f ca="1">IFERROR(IF(0=LEN(ReferenceData!$AG$63),"",ReferenceData!$AG$63),"")</f>
        <v>3.1432420300000001</v>
      </c>
      <c r="AH63">
        <f ca="1">IFERROR(IF(0=LEN(ReferenceData!$AH$63),"",ReferenceData!$AH$63),"")</f>
        <v>1.201044386</v>
      </c>
      <c r="AI63">
        <f ca="1">IFERROR(IF(0=LEN(ReferenceData!$AI$63),"",ReferenceData!$AI$63),"")</f>
        <v>1.452643812</v>
      </c>
      <c r="AJ63">
        <f ca="1">IFERROR(IF(0=LEN(ReferenceData!$AJ$63),"",ReferenceData!$AJ$63),"")</f>
        <v>1.1910926980000001</v>
      </c>
      <c r="AK63">
        <f ca="1">IFERROR(IF(0=LEN(ReferenceData!$AK$63),"",ReferenceData!$AK$63),"")</f>
        <v>0.47114252099999998</v>
      </c>
      <c r="AL63">
        <f ca="1">IFERROR(IF(0=LEN(ReferenceData!$AL$63),"",ReferenceData!$AL$63),"")</f>
        <v>1.602209945</v>
      </c>
      <c r="AM63">
        <f ca="1">IFERROR(IF(0=LEN(ReferenceData!$AM$63),"",ReferenceData!$AM$63),"")</f>
        <v>1.130952381</v>
      </c>
      <c r="AN63">
        <f ca="1">IFERROR(IF(0=LEN(ReferenceData!$AN$63),"",ReferenceData!$AN$63),"")</f>
        <v>1.5059015060000001</v>
      </c>
      <c r="AO63">
        <f ca="1">IFERROR(IF(0=LEN(ReferenceData!$AO$63),"",ReferenceData!$AO$63),"")</f>
        <v>1.501766784</v>
      </c>
      <c r="AP63">
        <f ca="1">IFERROR(IF(0=LEN(ReferenceData!$AP$63),"",ReferenceData!$AP$63),"")</f>
        <v>1.485364788</v>
      </c>
      <c r="AQ63">
        <f ca="1">IFERROR(IF(0=LEN(ReferenceData!$AQ$63),"",ReferenceData!$AQ$63),"")</f>
        <v>3.1197771589999999</v>
      </c>
      <c r="AR63">
        <f ca="1">IFERROR(IF(0=LEN(ReferenceData!$AR$63),"",ReferenceData!$AR$63),"")</f>
        <v>1.840490798</v>
      </c>
      <c r="AS63">
        <f ca="1">IFERROR(IF(0=LEN(ReferenceData!$AS$63),"",ReferenceData!$AS$63),"")</f>
        <v>0.98499061899999996</v>
      </c>
    </row>
    <row r="64" spans="1:45" x14ac:dyDescent="0.25">
      <c r="A64" t="str">
        <f>IFERROR(IF(0=LEN(ReferenceData!$A$64),"",ReferenceData!$A$64),"")</f>
        <v xml:space="preserve">    Dina Camiones</v>
      </c>
      <c r="B64" t="str">
        <f>IFERROR(IF(0=LEN(ReferenceData!$B$64),"",ReferenceData!$B$64),"")</f>
        <v>8128757Z MM Equity</v>
      </c>
      <c r="C64" t="str">
        <f>IFERROR(IF(0=LEN(ReferenceData!$C$64),"",ReferenceData!$C$64),"")</f>
        <v/>
      </c>
      <c r="D64" t="str">
        <f>IFERROR(IF(0=LEN(ReferenceData!$D$64),"",ReferenceData!$D$64),"")</f>
        <v/>
      </c>
      <c r="E64" t="str">
        <f>IFERROR(IF(0=LEN(ReferenceData!$E$64),"",ReferenceData!$E$64),"")</f>
        <v>Expression</v>
      </c>
      <c r="F64" t="str">
        <f ca="1">IFERROR(IF(0=LEN(ReferenceData!$F$64),"",ReferenceData!$F$64),"")</f>
        <v/>
      </c>
      <c r="G64" t="str">
        <f ca="1">IFERROR(IF(0=LEN(ReferenceData!$G$64),"",ReferenceData!$G$64),"")</f>
        <v/>
      </c>
      <c r="H64" t="str">
        <f ca="1">IFERROR(IF(0=LEN(ReferenceData!$H$64),"",ReferenceData!$H$64),"")</f>
        <v/>
      </c>
      <c r="I64" t="str">
        <f ca="1">IFERROR(IF(0=LEN(ReferenceData!$I$64),"",ReferenceData!$I$64),"")</f>
        <v/>
      </c>
      <c r="J64" t="str">
        <f ca="1">IFERROR(IF(0=LEN(ReferenceData!$J$64),"",ReferenceData!$J$64),"")</f>
        <v/>
      </c>
      <c r="K64" t="str">
        <f ca="1">IFERROR(IF(0=LEN(ReferenceData!$K$64),"",ReferenceData!$K$64),"")</f>
        <v/>
      </c>
      <c r="L64" t="str">
        <f ca="1">IFERROR(IF(0=LEN(ReferenceData!$L$64),"",ReferenceData!$L$64),"")</f>
        <v/>
      </c>
      <c r="M64" t="str">
        <f ca="1">IFERROR(IF(0=LEN(ReferenceData!$M$64),"",ReferenceData!$M$64),"")</f>
        <v/>
      </c>
      <c r="N64" t="str">
        <f ca="1">IFERROR(IF(0=LEN(ReferenceData!$N$64),"",ReferenceData!$N$64),"")</f>
        <v/>
      </c>
      <c r="O64" t="str">
        <f ca="1">IFERROR(IF(0=LEN(ReferenceData!$O$64),"",ReferenceData!$O$64),"")</f>
        <v/>
      </c>
      <c r="P64">
        <f ca="1">IFERROR(IF(0=LEN(ReferenceData!$P$64),"",ReferenceData!$P$64),"")</f>
        <v>2.0777965690000002</v>
      </c>
      <c r="Q64">
        <f ca="1">IFERROR(IF(0=LEN(ReferenceData!$Q$64),"",ReferenceData!$Q$64),"")</f>
        <v>1.9388064220000001</v>
      </c>
      <c r="R64">
        <f ca="1">IFERROR(IF(0=LEN(ReferenceData!$R$64),"",ReferenceData!$R$64),"")</f>
        <v>2.0687237029999999</v>
      </c>
      <c r="S64">
        <f ca="1">IFERROR(IF(0=LEN(ReferenceData!$S$64),"",ReferenceData!$S$64),"")</f>
        <v>2.0763811639999998</v>
      </c>
      <c r="T64">
        <f ca="1">IFERROR(IF(0=LEN(ReferenceData!$T$64),"",ReferenceData!$T$64),"")</f>
        <v>1.9433882549999999</v>
      </c>
      <c r="U64">
        <f ca="1">IFERROR(IF(0=LEN(ReferenceData!$U$64),"",ReferenceData!$U$64),"")</f>
        <v>2.085561497</v>
      </c>
      <c r="V64">
        <f ca="1">IFERROR(IF(0=LEN(ReferenceData!$V$64),"",ReferenceData!$V$64),"")</f>
        <v>1.9564250780000001</v>
      </c>
      <c r="W64">
        <f ca="1">IFERROR(IF(0=LEN(ReferenceData!$W$64),"",ReferenceData!$W$64),"")</f>
        <v>2.3701002729999998</v>
      </c>
      <c r="X64">
        <f ca="1">IFERROR(IF(0=LEN(ReferenceData!$X$64),"",ReferenceData!$X$64),"")</f>
        <v>2.164502165</v>
      </c>
      <c r="Y64">
        <f ca="1">IFERROR(IF(0=LEN(ReferenceData!$Y$64),"",ReferenceData!$Y$64),"")</f>
        <v>2.0842982860000001</v>
      </c>
      <c r="Z64">
        <f ca="1">IFERROR(IF(0=LEN(ReferenceData!$Z$64),"",ReferenceData!$Z$64),"")</f>
        <v>1.742696053</v>
      </c>
      <c r="AA64">
        <f ca="1">IFERROR(IF(0=LEN(ReferenceData!$AA$64),"",ReferenceData!$AA$64),"")</f>
        <v>2.5871172119999999</v>
      </c>
      <c r="AB64">
        <f ca="1">IFERROR(IF(0=LEN(ReferenceData!$AB$64),"",ReferenceData!$AB$64),"")</f>
        <v>2.5121859770000001</v>
      </c>
      <c r="AC64">
        <f ca="1">IFERROR(IF(0=LEN(ReferenceData!$AC$64),"",ReferenceData!$AC$64),"")</f>
        <v>2.7621483379999998</v>
      </c>
      <c r="AD64">
        <f ca="1">IFERROR(IF(0=LEN(ReferenceData!$AD$64),"",ReferenceData!$AD$64),"")</f>
        <v>2.3375409070000002</v>
      </c>
      <c r="AE64">
        <f ca="1">IFERROR(IF(0=LEN(ReferenceData!$AE$64),"",ReferenceData!$AE$64),"")</f>
        <v>2.4428274430000001</v>
      </c>
      <c r="AF64">
        <f ca="1">IFERROR(IF(0=LEN(ReferenceData!$AF$64),"",ReferenceData!$AF$64),"")</f>
        <v>2.1019678000000002</v>
      </c>
      <c r="AG64">
        <f ca="1">IFERROR(IF(0=LEN(ReferenceData!$AG$64),"",ReferenceData!$AG$64),"")</f>
        <v>2.1104625060000002</v>
      </c>
      <c r="AH64">
        <f ca="1">IFERROR(IF(0=LEN(ReferenceData!$AH$64),"",ReferenceData!$AH$64),"")</f>
        <v>2.3498694520000001</v>
      </c>
      <c r="AI64">
        <f ca="1">IFERROR(IF(0=LEN(ReferenceData!$AI$64),"",ReferenceData!$AI$64),"")</f>
        <v>2.4404416040000001</v>
      </c>
      <c r="AJ64">
        <f ca="1">IFERROR(IF(0=LEN(ReferenceData!$AJ$64),"",ReferenceData!$AJ$64),"")</f>
        <v>2.0714655620000002</v>
      </c>
      <c r="AK64">
        <f ca="1">IFERROR(IF(0=LEN(ReferenceData!$AK$64),"",ReferenceData!$AK$64),"")</f>
        <v>3.0624263840000001</v>
      </c>
      <c r="AL64">
        <f ca="1">IFERROR(IF(0=LEN(ReferenceData!$AL$64),"",ReferenceData!$AL$64),"")</f>
        <v>2.7071823199999998</v>
      </c>
      <c r="AM64">
        <f ca="1">IFERROR(IF(0=LEN(ReferenceData!$AM$64),"",ReferenceData!$AM$64),"")</f>
        <v>3.095238095</v>
      </c>
      <c r="AN64">
        <f ca="1">IFERROR(IF(0=LEN(ReferenceData!$AN$64),"",ReferenceData!$AN$64),"")</f>
        <v>3.622303622</v>
      </c>
      <c r="AO64">
        <f ca="1">IFERROR(IF(0=LEN(ReferenceData!$AO$64),"",ReferenceData!$AO$64),"")</f>
        <v>3.4010600709999999</v>
      </c>
      <c r="AP64">
        <f ca="1">IFERROR(IF(0=LEN(ReferenceData!$AP$64),"",ReferenceData!$AP$64),"")</f>
        <v>3.2765399739999999</v>
      </c>
      <c r="AQ64">
        <f ca="1">IFERROR(IF(0=LEN(ReferenceData!$AQ$64),"",ReferenceData!$AQ$64),"")</f>
        <v>6.1281337049999998</v>
      </c>
      <c r="AR64">
        <f ca="1">IFERROR(IF(0=LEN(ReferenceData!$AR$64),"",ReferenceData!$AR$64),"")</f>
        <v>1.132609722</v>
      </c>
      <c r="AS64">
        <f ca="1">IFERROR(IF(0=LEN(ReferenceData!$AS$64),"",ReferenceData!$AS$64),"")</f>
        <v>0.14071294600000001</v>
      </c>
    </row>
    <row r="65" spans="1:45" x14ac:dyDescent="0.25">
      <c r="A65" t="str">
        <f>IFERROR(IF(0=LEN(ReferenceData!$A$65),"",ReferenceData!$A$65),"")</f>
        <v xml:space="preserve">    MAN</v>
      </c>
      <c r="B65" t="str">
        <f>IFERROR(IF(0=LEN(ReferenceData!$B$65),"",ReferenceData!$B$65),"")</f>
        <v>VOW GR Equity</v>
      </c>
      <c r="C65" t="str">
        <f>IFERROR(IF(0=LEN(ReferenceData!$C$65),"",ReferenceData!$C$65),"")</f>
        <v/>
      </c>
      <c r="D65" t="str">
        <f>IFERROR(IF(0=LEN(ReferenceData!$D$65),"",ReferenceData!$D$65),"")</f>
        <v/>
      </c>
      <c r="E65" t="str">
        <f>IFERROR(IF(0=LEN(ReferenceData!$E$65),"",ReferenceData!$E$65),"")</f>
        <v>Sum</v>
      </c>
      <c r="F65" t="str">
        <f ca="1">IFERROR(IF(0=LEN(ReferenceData!$F$65),"",ReferenceData!$F$65),"")</f>
        <v/>
      </c>
      <c r="G65" t="str">
        <f ca="1">IFERROR(IF(0=LEN(ReferenceData!$G$65),"",ReferenceData!$G$65),"")</f>
        <v/>
      </c>
      <c r="H65" t="str">
        <f ca="1">IFERROR(IF(0=LEN(ReferenceData!$H$65),"",ReferenceData!$H$65),"")</f>
        <v/>
      </c>
      <c r="I65" t="str">
        <f ca="1">IFERROR(IF(0=LEN(ReferenceData!$I$65),"",ReferenceData!$I$65),"")</f>
        <v/>
      </c>
      <c r="J65" t="str">
        <f ca="1">IFERROR(IF(0=LEN(ReferenceData!$J$65),"",ReferenceData!$J$65),"")</f>
        <v/>
      </c>
      <c r="K65" t="str">
        <f ca="1">IFERROR(IF(0=LEN(ReferenceData!$K$65),"",ReferenceData!$K$65),"")</f>
        <v/>
      </c>
      <c r="L65" t="str">
        <f ca="1">IFERROR(IF(0=LEN(ReferenceData!$L$65),"",ReferenceData!$L$65),"")</f>
        <v/>
      </c>
      <c r="M65" t="str">
        <f ca="1">IFERROR(IF(0=LEN(ReferenceData!$M$65),"",ReferenceData!$M$65),"")</f>
        <v/>
      </c>
      <c r="N65" t="str">
        <f ca="1">IFERROR(IF(0=LEN(ReferenceData!$N$65),"",ReferenceData!$N$65),"")</f>
        <v/>
      </c>
      <c r="O65" t="str">
        <f ca="1">IFERROR(IF(0=LEN(ReferenceData!$O$65),"",ReferenceData!$O$65),"")</f>
        <v/>
      </c>
      <c r="P65">
        <f ca="1">IFERROR(IF(0=LEN(ReferenceData!$P$65),"",ReferenceData!$P$65),"")</f>
        <v>1.642908915</v>
      </c>
      <c r="Q65">
        <f ca="1">IFERROR(IF(0=LEN(ReferenceData!$Q$65),"",ReferenceData!$Q$65),"")</f>
        <v>1.544986368</v>
      </c>
      <c r="R65">
        <f ca="1">IFERROR(IF(0=LEN(ReferenceData!$R$65),"",ReferenceData!$R$65),"")</f>
        <v>1.6479663389999999</v>
      </c>
      <c r="S65">
        <f ca="1">IFERROR(IF(0=LEN(ReferenceData!$S$65),"",ReferenceData!$S$65),"")</f>
        <v>1.6685205780000001</v>
      </c>
      <c r="T65">
        <f ca="1">IFERROR(IF(0=LEN(ReferenceData!$T$65),"",ReferenceData!$T$65),"")</f>
        <v>1.5209125480000001</v>
      </c>
      <c r="U65">
        <f ca="1">IFERROR(IF(0=LEN(ReferenceData!$U$65),"",ReferenceData!$U$65),"")</f>
        <v>1.657754011</v>
      </c>
      <c r="V65">
        <f ca="1">IFERROR(IF(0=LEN(ReferenceData!$V$65),"",ReferenceData!$V$65),"")</f>
        <v>1.556247221</v>
      </c>
      <c r="W65">
        <f ca="1">IFERROR(IF(0=LEN(ReferenceData!$W$65),"",ReferenceData!$W$65),"")</f>
        <v>1.8687329079999999</v>
      </c>
      <c r="X65">
        <f ca="1">IFERROR(IF(0=LEN(ReferenceData!$X$65),"",ReferenceData!$X$65),"")</f>
        <v>1.7316017319999999</v>
      </c>
      <c r="Y65">
        <f ca="1">IFERROR(IF(0=LEN(ReferenceData!$Y$65),"",ReferenceData!$Y$65),"")</f>
        <v>1.621120889</v>
      </c>
      <c r="Z65">
        <f ca="1">IFERROR(IF(0=LEN(ReferenceData!$Z$65),"",ReferenceData!$Z$65),"")</f>
        <v>1.3839056890000001</v>
      </c>
      <c r="AA65">
        <f ca="1">IFERROR(IF(0=LEN(ReferenceData!$AA$65),"",ReferenceData!$AA$65),"")</f>
        <v>2.0591341079999999</v>
      </c>
      <c r="AB65">
        <f ca="1">IFERROR(IF(0=LEN(ReferenceData!$AB$65),"",ReferenceData!$AB$65),"")</f>
        <v>1.387326584</v>
      </c>
      <c r="AC65">
        <f ca="1">IFERROR(IF(0=LEN(ReferenceData!$AC$65),"",ReferenceData!$AC$65),"")</f>
        <v>1.5345268540000001</v>
      </c>
      <c r="AD65">
        <f ca="1">IFERROR(IF(0=LEN(ReferenceData!$AD$65),"",ReferenceData!$AD$65),"")</f>
        <v>1.309022908</v>
      </c>
      <c r="AE65">
        <f ca="1">IFERROR(IF(0=LEN(ReferenceData!$AE$65),"",ReferenceData!$AE$65),"")</f>
        <v>1.3513513509999999</v>
      </c>
      <c r="AF65">
        <f ca="1">IFERROR(IF(0=LEN(ReferenceData!$AF$65),"",ReferenceData!$AF$65),"")</f>
        <v>1.162790698</v>
      </c>
      <c r="AG65">
        <f ca="1">IFERROR(IF(0=LEN(ReferenceData!$AG$65),"",ReferenceData!$AG$65),"")</f>
        <v>1.1674898970000001</v>
      </c>
      <c r="AH65">
        <f ca="1">IFERROR(IF(0=LEN(ReferenceData!$AH$65),"",ReferenceData!$AH$65),"")</f>
        <v>1.3054830289999999</v>
      </c>
      <c r="AI65">
        <f ca="1">IFERROR(IF(0=LEN(ReferenceData!$AI$65),"",ReferenceData!$AI$65),"")</f>
        <v>1.3364323069999999</v>
      </c>
      <c r="AJ65">
        <f ca="1">IFERROR(IF(0=LEN(ReferenceData!$AJ$65),"",ReferenceData!$AJ$65),"")</f>
        <v>1.1393060589999999</v>
      </c>
      <c r="AK65">
        <f ca="1">IFERROR(IF(0=LEN(ReferenceData!$AK$65),"",ReferenceData!$AK$65),"")</f>
        <v>1.7078916369999999</v>
      </c>
      <c r="AL65">
        <f ca="1">IFERROR(IF(0=LEN(ReferenceData!$AL$65),"",ReferenceData!$AL$65),"")</f>
        <v>1.491712707</v>
      </c>
      <c r="AM65">
        <f ca="1">IFERROR(IF(0=LEN(ReferenceData!$AM$65),"",ReferenceData!$AM$65),"")</f>
        <v>1.726190476</v>
      </c>
      <c r="AN65">
        <f ca="1">IFERROR(IF(0=LEN(ReferenceData!$AN$65),"",ReferenceData!$AN$65),"")</f>
        <v>1.302401302</v>
      </c>
      <c r="AO65">
        <f ca="1">IFERROR(IF(0=LEN(ReferenceData!$AO$65),"",ReferenceData!$AO$65),"")</f>
        <v>1.2809187280000001</v>
      </c>
      <c r="AP65">
        <f ca="1">IFERROR(IF(0=LEN(ReferenceData!$AP$65),"",ReferenceData!$AP$65),"")</f>
        <v>1.2669287899999999</v>
      </c>
      <c r="AQ65">
        <f ca="1">IFERROR(IF(0=LEN(ReferenceData!$AQ$65),"",ReferenceData!$AQ$65),"")</f>
        <v>1.448467967</v>
      </c>
      <c r="AR65">
        <f ca="1">IFERROR(IF(0=LEN(ReferenceData!$AR$65),"",ReferenceData!$AR$65),"")</f>
        <v>0.47192071699999999</v>
      </c>
      <c r="AS65">
        <f ca="1">IFERROR(IF(0=LEN(ReferenceData!$AS$65),"",ReferenceData!$AS$65),"")</f>
        <v>1.594746717</v>
      </c>
    </row>
    <row r="66" spans="1:45" x14ac:dyDescent="0.25">
      <c r="A66" t="str">
        <f>IFERROR(IF(0=LEN(ReferenceData!$A$66),"",ReferenceData!$A$66),"")</f>
        <v xml:space="preserve">        MAN</v>
      </c>
      <c r="B66" t="str">
        <f>IFERROR(IF(0=LEN(ReferenceData!$B$66),"",ReferenceData!$B$66),"")</f>
        <v>VOW GR Equity</v>
      </c>
      <c r="C66" t="str">
        <f>IFERROR(IF(0=LEN(ReferenceData!$C$66),"",ReferenceData!$C$66),"")</f>
        <v/>
      </c>
      <c r="D66" t="str">
        <f>IFERROR(IF(0=LEN(ReferenceData!$D$66),"",ReferenceData!$D$66),"")</f>
        <v/>
      </c>
      <c r="E66" t="str">
        <f>IFERROR(IF(0=LEN(ReferenceData!$E$66),"",ReferenceData!$E$66),"")</f>
        <v>Expression</v>
      </c>
      <c r="F66" t="str">
        <f ca="1">IFERROR(IF(0=LEN(ReferenceData!$F$66),"",ReferenceData!$F$66),"")</f>
        <v/>
      </c>
      <c r="G66" t="str">
        <f ca="1">IFERROR(IF(0=LEN(ReferenceData!$G$66),"",ReferenceData!$G$66),"")</f>
        <v/>
      </c>
      <c r="H66" t="str">
        <f ca="1">IFERROR(IF(0=LEN(ReferenceData!$H$66),"",ReferenceData!$H$66),"")</f>
        <v/>
      </c>
      <c r="I66" t="str">
        <f ca="1">IFERROR(IF(0=LEN(ReferenceData!$I$66),"",ReferenceData!$I$66),"")</f>
        <v/>
      </c>
      <c r="J66" t="str">
        <f ca="1">IFERROR(IF(0=LEN(ReferenceData!$J$66),"",ReferenceData!$J$66),"")</f>
        <v/>
      </c>
      <c r="K66" t="str">
        <f ca="1">IFERROR(IF(0=LEN(ReferenceData!$K$66),"",ReferenceData!$K$66),"")</f>
        <v/>
      </c>
      <c r="L66" t="str">
        <f ca="1">IFERROR(IF(0=LEN(ReferenceData!$L$66),"",ReferenceData!$L$66),"")</f>
        <v/>
      </c>
      <c r="M66" t="str">
        <f ca="1">IFERROR(IF(0=LEN(ReferenceData!$M$66),"",ReferenceData!$M$66),"")</f>
        <v/>
      </c>
      <c r="N66" t="str">
        <f ca="1">IFERROR(IF(0=LEN(ReferenceData!$N$66),"",ReferenceData!$N$66),"")</f>
        <v/>
      </c>
      <c r="O66" t="str">
        <f ca="1">IFERROR(IF(0=LEN(ReferenceData!$O$66),"",ReferenceData!$O$66),"")</f>
        <v/>
      </c>
      <c r="P66">
        <f ca="1">IFERROR(IF(0=LEN(ReferenceData!$P$66),"",ReferenceData!$P$66),"")</f>
        <v>1.642908915</v>
      </c>
      <c r="Q66">
        <f ca="1">IFERROR(IF(0=LEN(ReferenceData!$Q$66),"",ReferenceData!$Q$66),"")</f>
        <v>1.544986368</v>
      </c>
      <c r="R66">
        <f ca="1">IFERROR(IF(0=LEN(ReferenceData!$R$66),"",ReferenceData!$R$66),"")</f>
        <v>1.6479663389999999</v>
      </c>
      <c r="S66">
        <f ca="1">IFERROR(IF(0=LEN(ReferenceData!$S$66),"",ReferenceData!$S$66),"")</f>
        <v>1.6685205780000001</v>
      </c>
      <c r="T66">
        <f ca="1">IFERROR(IF(0=LEN(ReferenceData!$T$66),"",ReferenceData!$T$66),"")</f>
        <v>1.5209125480000001</v>
      </c>
      <c r="U66">
        <f ca="1">IFERROR(IF(0=LEN(ReferenceData!$U$66),"",ReferenceData!$U$66),"")</f>
        <v>1.657754011</v>
      </c>
      <c r="V66">
        <f ca="1">IFERROR(IF(0=LEN(ReferenceData!$V$66),"",ReferenceData!$V$66),"")</f>
        <v>1.556247221</v>
      </c>
      <c r="W66">
        <f ca="1">IFERROR(IF(0=LEN(ReferenceData!$W$66),"",ReferenceData!$W$66),"")</f>
        <v>1.8687329079999999</v>
      </c>
      <c r="X66">
        <f ca="1">IFERROR(IF(0=LEN(ReferenceData!$X$66),"",ReferenceData!$X$66),"")</f>
        <v>1.7316017319999999</v>
      </c>
      <c r="Y66">
        <f ca="1">IFERROR(IF(0=LEN(ReferenceData!$Y$66),"",ReferenceData!$Y$66),"")</f>
        <v>1.621120889</v>
      </c>
      <c r="Z66">
        <f ca="1">IFERROR(IF(0=LEN(ReferenceData!$Z$66),"",ReferenceData!$Z$66),"")</f>
        <v>1.3839056890000001</v>
      </c>
      <c r="AA66">
        <f ca="1">IFERROR(IF(0=LEN(ReferenceData!$AA$66),"",ReferenceData!$AA$66),"")</f>
        <v>2.0591341079999999</v>
      </c>
      <c r="AB66">
        <f ca="1">IFERROR(IF(0=LEN(ReferenceData!$AB$66),"",ReferenceData!$AB$66),"")</f>
        <v>1.387326584</v>
      </c>
      <c r="AC66">
        <f ca="1">IFERROR(IF(0=LEN(ReferenceData!$AC$66),"",ReferenceData!$AC$66),"")</f>
        <v>1.5345268540000001</v>
      </c>
      <c r="AD66">
        <f ca="1">IFERROR(IF(0=LEN(ReferenceData!$AD$66),"",ReferenceData!$AD$66),"")</f>
        <v>1.309022908</v>
      </c>
      <c r="AE66">
        <f ca="1">IFERROR(IF(0=LEN(ReferenceData!$AE$66),"",ReferenceData!$AE$66),"")</f>
        <v>1.3513513509999999</v>
      </c>
      <c r="AF66">
        <f ca="1">IFERROR(IF(0=LEN(ReferenceData!$AF$66),"",ReferenceData!$AF$66),"")</f>
        <v>1.162790698</v>
      </c>
      <c r="AG66">
        <f ca="1">IFERROR(IF(0=LEN(ReferenceData!$AG$66),"",ReferenceData!$AG$66),"")</f>
        <v>1.1674898970000001</v>
      </c>
      <c r="AH66">
        <f ca="1">IFERROR(IF(0=LEN(ReferenceData!$AH$66),"",ReferenceData!$AH$66),"")</f>
        <v>1.3054830289999999</v>
      </c>
      <c r="AI66">
        <f ca="1">IFERROR(IF(0=LEN(ReferenceData!$AI$66),"",ReferenceData!$AI$66),"")</f>
        <v>1.3364323069999999</v>
      </c>
      <c r="AJ66">
        <f ca="1">IFERROR(IF(0=LEN(ReferenceData!$AJ$66),"",ReferenceData!$AJ$66),"")</f>
        <v>1.1393060589999999</v>
      </c>
      <c r="AK66">
        <f ca="1">IFERROR(IF(0=LEN(ReferenceData!$AK$66),"",ReferenceData!$AK$66),"")</f>
        <v>1.7078916369999999</v>
      </c>
      <c r="AL66">
        <f ca="1">IFERROR(IF(0=LEN(ReferenceData!$AL$66),"",ReferenceData!$AL$66),"")</f>
        <v>1.491712707</v>
      </c>
      <c r="AM66">
        <f ca="1">IFERROR(IF(0=LEN(ReferenceData!$AM$66),"",ReferenceData!$AM$66),"")</f>
        <v>1.726190476</v>
      </c>
      <c r="AN66">
        <f ca="1">IFERROR(IF(0=LEN(ReferenceData!$AN$66),"",ReferenceData!$AN$66),"")</f>
        <v>1.302401302</v>
      </c>
      <c r="AO66">
        <f ca="1">IFERROR(IF(0=LEN(ReferenceData!$AO$66),"",ReferenceData!$AO$66),"")</f>
        <v>1.2809187280000001</v>
      </c>
      <c r="AP66">
        <f ca="1">IFERROR(IF(0=LEN(ReferenceData!$AP$66),"",ReferenceData!$AP$66),"")</f>
        <v>1.2669287899999999</v>
      </c>
      <c r="AQ66">
        <f ca="1">IFERROR(IF(0=LEN(ReferenceData!$AQ$66),"",ReferenceData!$AQ$66),"")</f>
        <v>1.448467967</v>
      </c>
      <c r="AR66">
        <f ca="1">IFERROR(IF(0=LEN(ReferenceData!$AR$66),"",ReferenceData!$AR$66),"")</f>
        <v>0.47192071699999999</v>
      </c>
      <c r="AS66">
        <f ca="1">IFERROR(IF(0=LEN(ReferenceData!$AS$66),"",ReferenceData!$AS$66),"")</f>
        <v>1.594746717</v>
      </c>
    </row>
    <row r="67" spans="1:45" x14ac:dyDescent="0.25">
      <c r="A67" t="str">
        <f>IFERROR(IF(0=LEN(ReferenceData!$A$67),"",ReferenceData!$A$67),"")</f>
        <v xml:space="preserve">        Volkswagen Truck &amp; Bus</v>
      </c>
      <c r="B67" t="str">
        <f>IFERROR(IF(0=LEN(ReferenceData!$B$67),"",ReferenceData!$B$67),"")</f>
        <v>VOW GR Equity</v>
      </c>
      <c r="C67" t="str">
        <f>IFERROR(IF(0=LEN(ReferenceData!$C$67),"",ReferenceData!$C$67),"")</f>
        <v/>
      </c>
      <c r="D67" t="str">
        <f>IFERROR(IF(0=LEN(ReferenceData!$D$67),"",ReferenceData!$D$67),"")</f>
        <v/>
      </c>
      <c r="E67" t="str">
        <f>IFERROR(IF(0=LEN(ReferenceData!$E$67),"",ReferenceData!$E$67),"")</f>
        <v>Expression</v>
      </c>
      <c r="F67" t="str">
        <f ca="1">IFERROR(IF(0=LEN(ReferenceData!$F$67),"",ReferenceData!$F$67),"")</f>
        <v/>
      </c>
      <c r="G67" t="str">
        <f ca="1">IFERROR(IF(0=LEN(ReferenceData!$G$67),"",ReferenceData!$G$67),"")</f>
        <v/>
      </c>
      <c r="H67" t="str">
        <f ca="1">IFERROR(IF(0=LEN(ReferenceData!$H$67),"",ReferenceData!$H$67),"")</f>
        <v/>
      </c>
      <c r="I67" t="str">
        <f ca="1">IFERROR(IF(0=LEN(ReferenceData!$I$67),"",ReferenceData!$I$67),"")</f>
        <v/>
      </c>
      <c r="J67" t="str">
        <f ca="1">IFERROR(IF(0=LEN(ReferenceData!$J$67),"",ReferenceData!$J$67),"")</f>
        <v/>
      </c>
      <c r="K67" t="str">
        <f ca="1">IFERROR(IF(0=LEN(ReferenceData!$K$67),"",ReferenceData!$K$67),"")</f>
        <v/>
      </c>
      <c r="L67" t="str">
        <f ca="1">IFERROR(IF(0=LEN(ReferenceData!$L$67),"",ReferenceData!$L$67),"")</f>
        <v/>
      </c>
      <c r="M67" t="str">
        <f ca="1">IFERROR(IF(0=LEN(ReferenceData!$M$67),"",ReferenceData!$M$67),"")</f>
        <v/>
      </c>
      <c r="N67" t="str">
        <f ca="1">IFERROR(IF(0=LEN(ReferenceData!$N$67),"",ReferenceData!$N$67),"")</f>
        <v/>
      </c>
      <c r="O67" t="str">
        <f ca="1">IFERROR(IF(0=LEN(ReferenceData!$O$67),"",ReferenceData!$O$67),"")</f>
        <v/>
      </c>
      <c r="P67" t="str">
        <f ca="1">IFERROR(IF(0=LEN(ReferenceData!$P$67),"",ReferenceData!$P$67),"")</f>
        <v/>
      </c>
      <c r="Q67" t="str">
        <f ca="1">IFERROR(IF(0=LEN(ReferenceData!$Q$67),"",ReferenceData!$Q$67),"")</f>
        <v/>
      </c>
      <c r="R67" t="str">
        <f ca="1">IFERROR(IF(0=LEN(ReferenceData!$R$67),"",ReferenceData!$R$67),"")</f>
        <v/>
      </c>
      <c r="S67" t="str">
        <f ca="1">IFERROR(IF(0=LEN(ReferenceData!$S$67),"",ReferenceData!$S$67),"")</f>
        <v/>
      </c>
      <c r="T67" t="str">
        <f ca="1">IFERROR(IF(0=LEN(ReferenceData!$T$67),"",ReferenceData!$T$67),"")</f>
        <v/>
      </c>
      <c r="U67" t="str">
        <f ca="1">IFERROR(IF(0=LEN(ReferenceData!$U$67),"",ReferenceData!$U$67),"")</f>
        <v/>
      </c>
      <c r="V67" t="str">
        <f ca="1">IFERROR(IF(0=LEN(ReferenceData!$V$67),"",ReferenceData!$V$67),"")</f>
        <v/>
      </c>
      <c r="W67" t="str">
        <f ca="1">IFERROR(IF(0=LEN(ReferenceData!$W$67),"",ReferenceData!$W$67),"")</f>
        <v/>
      </c>
      <c r="X67" t="str">
        <f ca="1">IFERROR(IF(0=LEN(ReferenceData!$X$67),"",ReferenceData!$X$67),"")</f>
        <v/>
      </c>
      <c r="Y67" t="str">
        <f ca="1">IFERROR(IF(0=LEN(ReferenceData!$Y$67),"",ReferenceData!$Y$67),"")</f>
        <v/>
      </c>
      <c r="Z67" t="str">
        <f ca="1">IFERROR(IF(0=LEN(ReferenceData!$Z$67),"",ReferenceData!$Z$67),"")</f>
        <v/>
      </c>
      <c r="AA67" t="str">
        <f ca="1">IFERROR(IF(0=LEN(ReferenceData!$AA$67),"",ReferenceData!$AA$67),"")</f>
        <v/>
      </c>
      <c r="AB67" t="str">
        <f ca="1">IFERROR(IF(0=LEN(ReferenceData!$AB$67),"",ReferenceData!$AB$67),"")</f>
        <v/>
      </c>
      <c r="AC67" t="str">
        <f ca="1">IFERROR(IF(0=LEN(ReferenceData!$AC$67),"",ReferenceData!$AC$67),"")</f>
        <v/>
      </c>
      <c r="AD67" t="str">
        <f ca="1">IFERROR(IF(0=LEN(ReferenceData!$AD$67),"",ReferenceData!$AD$67),"")</f>
        <v/>
      </c>
      <c r="AE67" t="str">
        <f ca="1">IFERROR(IF(0=LEN(ReferenceData!$AE$67),"",ReferenceData!$AE$67),"")</f>
        <v/>
      </c>
      <c r="AF67" t="str">
        <f ca="1">IFERROR(IF(0=LEN(ReferenceData!$AF$67),"",ReferenceData!$AF$67),"")</f>
        <v/>
      </c>
      <c r="AG67" t="str">
        <f ca="1">IFERROR(IF(0=LEN(ReferenceData!$AG$67),"",ReferenceData!$AG$67),"")</f>
        <v/>
      </c>
      <c r="AH67" t="str">
        <f ca="1">IFERROR(IF(0=LEN(ReferenceData!$AH$67),"",ReferenceData!$AH$67),"")</f>
        <v/>
      </c>
      <c r="AI67" t="str">
        <f ca="1">IFERROR(IF(0=LEN(ReferenceData!$AI$67),"",ReferenceData!$AI$67),"")</f>
        <v/>
      </c>
      <c r="AJ67" t="str">
        <f ca="1">IFERROR(IF(0=LEN(ReferenceData!$AJ$67),"",ReferenceData!$AJ$67),"")</f>
        <v/>
      </c>
      <c r="AK67" t="str">
        <f ca="1">IFERROR(IF(0=LEN(ReferenceData!$AK$67),"",ReferenceData!$AK$67),"")</f>
        <v/>
      </c>
      <c r="AL67" t="str">
        <f ca="1">IFERROR(IF(0=LEN(ReferenceData!$AL$67),"",ReferenceData!$AL$67),"")</f>
        <v/>
      </c>
      <c r="AM67" t="str">
        <f ca="1">IFERROR(IF(0=LEN(ReferenceData!$AM$67),"",ReferenceData!$AM$67),"")</f>
        <v/>
      </c>
      <c r="AN67" t="str">
        <f ca="1">IFERROR(IF(0=LEN(ReferenceData!$AN$67),"",ReferenceData!$AN$67),"")</f>
        <v/>
      </c>
      <c r="AO67" t="str">
        <f ca="1">IFERROR(IF(0=LEN(ReferenceData!$AO$67),"",ReferenceData!$AO$67),"")</f>
        <v/>
      </c>
      <c r="AP67" t="str">
        <f ca="1">IFERROR(IF(0=LEN(ReferenceData!$AP$67),"",ReferenceData!$AP$67),"")</f>
        <v/>
      </c>
      <c r="AQ67" t="str">
        <f ca="1">IFERROR(IF(0=LEN(ReferenceData!$AQ$67),"",ReferenceData!$AQ$67),"")</f>
        <v/>
      </c>
      <c r="AR67" t="str">
        <f ca="1">IFERROR(IF(0=LEN(ReferenceData!$AR$67),"",ReferenceData!$AR$67),"")</f>
        <v/>
      </c>
      <c r="AS67" t="str">
        <f ca="1">IFERROR(IF(0=LEN(ReferenceData!$AS$67),"",ReferenceData!$AS$67),"")</f>
        <v/>
      </c>
    </row>
    <row r="68" spans="1:45" x14ac:dyDescent="0.25">
      <c r="A68" t="str">
        <f>IFERROR(IF(0=LEN(ReferenceData!$A$68),"",ReferenceData!$A$68),"")</f>
        <v xml:space="preserve">    Scania</v>
      </c>
      <c r="B68" t="str">
        <f>IFERROR(IF(0=LEN(ReferenceData!$B$68),"",ReferenceData!$B$68),"")</f>
        <v>SCVB SS Equity</v>
      </c>
      <c r="C68" t="str">
        <f>IFERROR(IF(0=LEN(ReferenceData!$C$68),"",ReferenceData!$C$68),"")</f>
        <v/>
      </c>
      <c r="D68" t="str">
        <f>IFERROR(IF(0=LEN(ReferenceData!$D$68),"",ReferenceData!$D$68),"")</f>
        <v/>
      </c>
      <c r="E68" t="str">
        <f>IFERROR(IF(0=LEN(ReferenceData!$E$68),"",ReferenceData!$E$68),"")</f>
        <v>Expression</v>
      </c>
      <c r="F68" t="str">
        <f ca="1">IFERROR(IF(0=LEN(ReferenceData!$F$68),"",ReferenceData!$F$68),"")</f>
        <v/>
      </c>
      <c r="G68" t="str">
        <f ca="1">IFERROR(IF(0=LEN(ReferenceData!$G$68),"",ReferenceData!$G$68),"")</f>
        <v/>
      </c>
      <c r="H68" t="str">
        <f ca="1">IFERROR(IF(0=LEN(ReferenceData!$H$68),"",ReferenceData!$H$68),"")</f>
        <v/>
      </c>
      <c r="I68" t="str">
        <f ca="1">IFERROR(IF(0=LEN(ReferenceData!$I$68),"",ReferenceData!$I$68),"")</f>
        <v/>
      </c>
      <c r="J68" t="str">
        <f ca="1">IFERROR(IF(0=LEN(ReferenceData!$J$68),"",ReferenceData!$J$68),"")</f>
        <v/>
      </c>
      <c r="K68" t="str">
        <f ca="1">IFERROR(IF(0=LEN(ReferenceData!$K$68),"",ReferenceData!$K$68),"")</f>
        <v/>
      </c>
      <c r="L68" t="str">
        <f ca="1">IFERROR(IF(0=LEN(ReferenceData!$L$68),"",ReferenceData!$L$68),"")</f>
        <v/>
      </c>
      <c r="M68" t="str">
        <f ca="1">IFERROR(IF(0=LEN(ReferenceData!$M$68),"",ReferenceData!$M$68),"")</f>
        <v/>
      </c>
      <c r="N68" t="str">
        <f ca="1">IFERROR(IF(0=LEN(ReferenceData!$N$68),"",ReferenceData!$N$68),"")</f>
        <v/>
      </c>
      <c r="O68" t="str">
        <f ca="1">IFERROR(IF(0=LEN(ReferenceData!$O$68),"",ReferenceData!$O$68),"")</f>
        <v/>
      </c>
      <c r="P68">
        <f ca="1">IFERROR(IF(0=LEN(ReferenceData!$P$68),"",ReferenceData!$P$68),"")</f>
        <v>5.3636144000000003</v>
      </c>
      <c r="Q68">
        <f ca="1">IFERROR(IF(0=LEN(ReferenceData!$Q$68),"",ReferenceData!$Q$68),"")</f>
        <v>4.9984853070000002</v>
      </c>
      <c r="R68">
        <f ca="1">IFERROR(IF(0=LEN(ReferenceData!$R$68),"",ReferenceData!$R$68),"")</f>
        <v>5.3997194950000003</v>
      </c>
      <c r="S68">
        <f ca="1">IFERROR(IF(0=LEN(ReferenceData!$S$68),"",ReferenceData!$S$68),"")</f>
        <v>5.4134223209999996</v>
      </c>
      <c r="T68">
        <f ca="1">IFERROR(IF(0=LEN(ReferenceData!$T$68),"",ReferenceData!$T$68),"")</f>
        <v>5.0274609210000003</v>
      </c>
      <c r="U68">
        <f ca="1">IFERROR(IF(0=LEN(ReferenceData!$U$68),"",ReferenceData!$U$68),"")</f>
        <v>5.4545454549999999</v>
      </c>
      <c r="V68">
        <f ca="1">IFERROR(IF(0=LEN(ReferenceData!$V$68),"",ReferenceData!$V$68),"")</f>
        <v>5.1578479320000001</v>
      </c>
      <c r="W68">
        <f ca="1">IFERROR(IF(0=LEN(ReferenceData!$W$68),"",ReferenceData!$W$68),"")</f>
        <v>6.1075660889999996</v>
      </c>
      <c r="X68">
        <f ca="1">IFERROR(IF(0=LEN(ReferenceData!$X$68),"",ReferenceData!$X$68),"")</f>
        <v>5.670995671</v>
      </c>
      <c r="Y68">
        <f ca="1">IFERROR(IF(0=LEN(ReferenceData!$Y$68),"",ReferenceData!$Y$68),"")</f>
        <v>5.3728578049999998</v>
      </c>
      <c r="Z68">
        <f ca="1">IFERROR(IF(0=LEN(ReferenceData!$Z$68),"",ReferenceData!$Z$68),"")</f>
        <v>4.5617631980000004</v>
      </c>
      <c r="AA68">
        <f ca="1">IFERROR(IF(0=LEN(ReferenceData!$AA$68),"",ReferenceData!$AA$68),"")</f>
        <v>6.7053854279999996</v>
      </c>
      <c r="AB68">
        <f ca="1">IFERROR(IF(0=LEN(ReferenceData!$AB$68),"",ReferenceData!$AB$68),"")</f>
        <v>4.4244469439999996</v>
      </c>
      <c r="AC68">
        <f ca="1">IFERROR(IF(0=LEN(ReferenceData!$AC$68),"",ReferenceData!$AC$68),"")</f>
        <v>4.8593350380000002</v>
      </c>
      <c r="AD68">
        <f ca="1">IFERROR(IF(0=LEN(ReferenceData!$AD$68),"",ReferenceData!$AD$68),"")</f>
        <v>4.1608228140000003</v>
      </c>
      <c r="AE68">
        <f ca="1">IFERROR(IF(0=LEN(ReferenceData!$AE$68),"",ReferenceData!$AE$68),"")</f>
        <v>4.3139293140000001</v>
      </c>
      <c r="AF68">
        <f ca="1">IFERROR(IF(0=LEN(ReferenceData!$AF$68),"",ReferenceData!$AF$68),"")</f>
        <v>3.711985689</v>
      </c>
      <c r="AG68">
        <f ca="1">IFERROR(IF(0=LEN(ReferenceData!$AG$68),"",ReferenceData!$AG$68),"")</f>
        <v>3.7269869779999998</v>
      </c>
      <c r="AH68">
        <f ca="1">IFERROR(IF(0=LEN(ReferenceData!$AH$68),"",ReferenceData!$AH$68),"")</f>
        <v>4.1775456919999998</v>
      </c>
      <c r="AI68">
        <f ca="1">IFERROR(IF(0=LEN(ReferenceData!$AI$68),"",ReferenceData!$AI$68),"")</f>
        <v>4.2998256829999999</v>
      </c>
      <c r="AJ68">
        <f ca="1">IFERROR(IF(0=LEN(ReferenceData!$AJ$68),"",ReferenceData!$AJ$68),"")</f>
        <v>3.6768513719999998</v>
      </c>
      <c r="AK68">
        <f ca="1">IFERROR(IF(0=LEN(ReferenceData!$AK$68),"",ReferenceData!$AK$68),"")</f>
        <v>5.4181389869999999</v>
      </c>
      <c r="AL68">
        <f ca="1">IFERROR(IF(0=LEN(ReferenceData!$AL$68),"",ReferenceData!$AL$68),"")</f>
        <v>4.7513812150000003</v>
      </c>
      <c r="AM68">
        <f ca="1">IFERROR(IF(0=LEN(ReferenceData!$AM$68),"",ReferenceData!$AM$68),"")</f>
        <v>5.4761904760000002</v>
      </c>
      <c r="AN68">
        <f ca="1">IFERROR(IF(0=LEN(ReferenceData!$AN$68),"",ReferenceData!$AN$68),"")</f>
        <v>4.1107041110000004</v>
      </c>
      <c r="AO68">
        <f ca="1">IFERROR(IF(0=LEN(ReferenceData!$AO$68),"",ReferenceData!$AO$68),"")</f>
        <v>4.1077738520000002</v>
      </c>
      <c r="AP68">
        <f ca="1">IFERROR(IF(0=LEN(ReferenceData!$AP$68),"",ReferenceData!$AP$68),"")</f>
        <v>4.2813455659999997</v>
      </c>
      <c r="AQ68">
        <f ca="1">IFERROR(IF(0=LEN(ReferenceData!$AQ$68),"",ReferenceData!$AQ$68),"")</f>
        <v>4.233983287</v>
      </c>
      <c r="AR68">
        <f ca="1">IFERROR(IF(0=LEN(ReferenceData!$AR$68),"",ReferenceData!$AR$68),"")</f>
        <v>2.2180273709999998</v>
      </c>
      <c r="AS68">
        <f ca="1">IFERROR(IF(0=LEN(ReferenceData!$AS$68),"",ReferenceData!$AS$68),"")</f>
        <v>3.236397749</v>
      </c>
    </row>
    <row r="69" spans="1:45" x14ac:dyDescent="0.25">
      <c r="A69" t="str">
        <f>IFERROR(IF(0=LEN(ReferenceData!$A$69),"",ReferenceData!$A$69),"")</f>
        <v xml:space="preserve">    Unspecified/Other</v>
      </c>
      <c r="B69" t="str">
        <f>IFERROR(IF(0=LEN(ReferenceData!$B$69),"",ReferenceData!$B$69),"")</f>
        <v>SCVB SS Equity</v>
      </c>
      <c r="C69" t="str">
        <f>IFERROR(IF(0=LEN(ReferenceData!$C$69),"",ReferenceData!$C$69),"")</f>
        <v/>
      </c>
      <c r="D69" t="str">
        <f>IFERROR(IF(0=LEN(ReferenceData!$D$69),"",ReferenceData!$D$69),"")</f>
        <v/>
      </c>
      <c r="E69" t="str">
        <f>IFERROR(IF(0=LEN(ReferenceData!$E$69),"",ReferenceData!$E$69),"")</f>
        <v>Expression</v>
      </c>
      <c r="F69">
        <f ca="1">IFERROR(IF(0=LEN(ReferenceData!$F$69),"",ReferenceData!$F$69),"")</f>
        <v>15.14547629</v>
      </c>
      <c r="G69">
        <f ca="1">IFERROR(IF(0=LEN(ReferenceData!$G$69),"",ReferenceData!$G$69),"")</f>
        <v>21.010860480000002</v>
      </c>
      <c r="H69">
        <f ca="1">IFERROR(IF(0=LEN(ReferenceData!$H$69),"",ReferenceData!$H$69),"")</f>
        <v>14.52538631</v>
      </c>
      <c r="I69">
        <f ca="1">IFERROR(IF(0=LEN(ReferenceData!$I$69),"",ReferenceData!$I$69),"")</f>
        <v>15.649867370000001</v>
      </c>
      <c r="J69">
        <f ca="1">IFERROR(IF(0=LEN(ReferenceData!$J$69),"",ReferenceData!$J$69),"")</f>
        <v>20.412457910000001</v>
      </c>
      <c r="K69">
        <f ca="1">IFERROR(IF(0=LEN(ReferenceData!$K$69),"",ReferenceData!$K$69),"")</f>
        <v>18.12255541</v>
      </c>
      <c r="L69">
        <f ca="1">IFERROR(IF(0=LEN(ReferenceData!$L$69),"",ReferenceData!$L$69),"")</f>
        <v>17.668488159999999</v>
      </c>
      <c r="M69">
        <f ca="1">IFERROR(IF(0=LEN(ReferenceData!$M$69),"",ReferenceData!$M$69),"")</f>
        <v>17.261671239999998</v>
      </c>
      <c r="N69">
        <f ca="1">IFERROR(IF(0=LEN(ReferenceData!$N$69),"",ReferenceData!$N$69),"")</f>
        <v>11.86958737</v>
      </c>
      <c r="O69">
        <f ca="1">IFERROR(IF(0=LEN(ReferenceData!$O$69),"",ReferenceData!$O$69),"")</f>
        <v>17.589743590000001</v>
      </c>
      <c r="P69">
        <f ca="1">IFERROR(IF(0=LEN(ReferenceData!$P$69),"",ReferenceData!$P$69),"")</f>
        <v>0</v>
      </c>
      <c r="Q69">
        <f ca="1">IFERROR(IF(0=LEN(ReferenceData!$Q$69),"",ReferenceData!$Q$69),"")</f>
        <v>0</v>
      </c>
      <c r="R69">
        <f ca="1">IFERROR(IF(0=LEN(ReferenceData!$R$69),"",ReferenceData!$R$69),"")</f>
        <v>0</v>
      </c>
      <c r="S69">
        <f ca="1">IFERROR(IF(0=LEN(ReferenceData!$S$69),"",ReferenceData!$S$69),"")</f>
        <v>0</v>
      </c>
      <c r="T69">
        <f ca="1">IFERROR(IF(0=LEN(ReferenceData!$T$69),"",ReferenceData!$T$69),"")</f>
        <v>0</v>
      </c>
      <c r="U69">
        <f ca="1">IFERROR(IF(0=LEN(ReferenceData!$U$69),"",ReferenceData!$U$69),"")</f>
        <v>0</v>
      </c>
      <c r="V69">
        <f ca="1">IFERROR(IF(0=LEN(ReferenceData!$V$69),"",ReferenceData!$V$69),"")</f>
        <v>0</v>
      </c>
      <c r="W69">
        <f ca="1">IFERROR(IF(0=LEN(ReferenceData!$W$69),"",ReferenceData!$W$69),"")</f>
        <v>0</v>
      </c>
      <c r="X69">
        <f ca="1">IFERROR(IF(0=LEN(ReferenceData!$X$69),"",ReferenceData!$X$69),"")</f>
        <v>0</v>
      </c>
      <c r="Y69">
        <f ca="1">IFERROR(IF(0=LEN(ReferenceData!$Y$69),"",ReferenceData!$Y$69),"")</f>
        <v>0</v>
      </c>
      <c r="Z69">
        <f ca="1">IFERROR(IF(0=LEN(ReferenceData!$Z$69),"",ReferenceData!$Z$69),"")</f>
        <v>0</v>
      </c>
      <c r="AA69">
        <f ca="1">IFERROR(IF(0=LEN(ReferenceData!$AA$69),"",ReferenceData!$AA$69),"")</f>
        <v>0</v>
      </c>
      <c r="AB69">
        <f ca="1">IFERROR(IF(0=LEN(ReferenceData!$AB$69),"",ReferenceData!$AB$69),"")</f>
        <v>0</v>
      </c>
      <c r="AC69">
        <f ca="1">IFERROR(IF(0=LEN(ReferenceData!$AC$69),"",ReferenceData!$AC$69),"")</f>
        <v>0</v>
      </c>
      <c r="AD69">
        <f ca="1">IFERROR(IF(0=LEN(ReferenceData!$AD$69),"",ReferenceData!$AD$69),"")</f>
        <v>0</v>
      </c>
      <c r="AE69">
        <f ca="1">IFERROR(IF(0=LEN(ReferenceData!$AE$69),"",ReferenceData!$AE$69),"")</f>
        <v>0</v>
      </c>
      <c r="AF69">
        <f ca="1">IFERROR(IF(0=LEN(ReferenceData!$AF$69),"",ReferenceData!$AF$69),"")</f>
        <v>0</v>
      </c>
      <c r="AG69">
        <f ca="1">IFERROR(IF(0=LEN(ReferenceData!$AG$69),"",ReferenceData!$AG$69),"")</f>
        <v>0</v>
      </c>
      <c r="AH69">
        <f ca="1">IFERROR(IF(0=LEN(ReferenceData!$AH$69),"",ReferenceData!$AH$69),"")</f>
        <v>0</v>
      </c>
      <c r="AI69">
        <f ca="1">IFERROR(IF(0=LEN(ReferenceData!$AI$69),"",ReferenceData!$AI$69),"")</f>
        <v>0</v>
      </c>
      <c r="AJ69">
        <f ca="1">IFERROR(IF(0=LEN(ReferenceData!$AJ$69),"",ReferenceData!$AJ$69),"")</f>
        <v>0</v>
      </c>
      <c r="AK69">
        <f ca="1">IFERROR(IF(0=LEN(ReferenceData!$AK$69),"",ReferenceData!$AK$69),"")</f>
        <v>0</v>
      </c>
      <c r="AL69">
        <f ca="1">IFERROR(IF(0=LEN(ReferenceData!$AL$69),"",ReferenceData!$AL$69),"")</f>
        <v>0</v>
      </c>
      <c r="AM69">
        <f ca="1">IFERROR(IF(0=LEN(ReferenceData!$AM$69),"",ReferenceData!$AM$69),"")</f>
        <v>0</v>
      </c>
      <c r="AN69">
        <f ca="1">IFERROR(IF(0=LEN(ReferenceData!$AN$69),"",ReferenceData!$AN$69),"")</f>
        <v>0</v>
      </c>
      <c r="AO69">
        <f ca="1">IFERROR(IF(0=LEN(ReferenceData!$AO$69),"",ReferenceData!$AO$69),"")</f>
        <v>0</v>
      </c>
      <c r="AP69">
        <f ca="1">IFERROR(IF(0=LEN(ReferenceData!$AP$69),"",ReferenceData!$AP$69),"")</f>
        <v>0</v>
      </c>
      <c r="AQ69">
        <f ca="1">IFERROR(IF(0=LEN(ReferenceData!$AQ$69),"",ReferenceData!$AQ$69),"")</f>
        <v>0</v>
      </c>
      <c r="AR69">
        <f ca="1">IFERROR(IF(0=LEN(ReferenceData!$AR$69),"",ReferenceData!$AR$69),"")</f>
        <v>0</v>
      </c>
      <c r="AS69">
        <f ca="1">IFERROR(IF(0=LEN(ReferenceData!$AS$69),"",ReferenceData!$AS$69),"")</f>
        <v>0</v>
      </c>
    </row>
    <row r="70" spans="1:45" x14ac:dyDescent="0.25">
      <c r="A70" t="str">
        <f>IFERROR(IF(0=LEN(ReferenceData!$A$70),"",ReferenceData!$A$70),"")</f>
        <v/>
      </c>
      <c r="B70" t="str">
        <f>IFERROR(IF(0=LEN(ReferenceData!$B$70),"",ReferenceData!$B$70),"")</f>
        <v/>
      </c>
      <c r="C70" t="str">
        <f>IFERROR(IF(0=LEN(ReferenceData!$C$70),"",ReferenceData!$C$70),"")</f>
        <v/>
      </c>
      <c r="D70" t="str">
        <f>IFERROR(IF(0=LEN(ReferenceData!$D$70),"",ReferenceData!$D$70),"")</f>
        <v/>
      </c>
      <c r="E70" t="str">
        <f>IFERROR(IF(0=LEN(ReferenceData!$E$70),"",ReferenceData!$E$70),"")</f>
        <v>Static</v>
      </c>
      <c r="F70" t="str">
        <f ca="1">IFERROR(IF(0=LEN(ReferenceData!$F$70),"",ReferenceData!$F$70),"")</f>
        <v/>
      </c>
      <c r="G70" t="str">
        <f ca="1">IFERROR(IF(0=LEN(ReferenceData!$G$70),"",ReferenceData!$G$70),"")</f>
        <v/>
      </c>
      <c r="H70" t="str">
        <f ca="1">IFERROR(IF(0=LEN(ReferenceData!$H$70),"",ReferenceData!$H$70),"")</f>
        <v/>
      </c>
      <c r="I70" t="str">
        <f ca="1">IFERROR(IF(0=LEN(ReferenceData!$I$70),"",ReferenceData!$I$70),"")</f>
        <v/>
      </c>
      <c r="J70" t="str">
        <f ca="1">IFERROR(IF(0=LEN(ReferenceData!$J$70),"",ReferenceData!$J$70),"")</f>
        <v/>
      </c>
      <c r="K70" t="str">
        <f ca="1">IFERROR(IF(0=LEN(ReferenceData!$K$70),"",ReferenceData!$K$70),"")</f>
        <v/>
      </c>
      <c r="L70" t="str">
        <f ca="1">IFERROR(IF(0=LEN(ReferenceData!$L$70),"",ReferenceData!$L$70),"")</f>
        <v/>
      </c>
      <c r="M70" t="str">
        <f ca="1">IFERROR(IF(0=LEN(ReferenceData!$M$70),"",ReferenceData!$M$70),"")</f>
        <v/>
      </c>
      <c r="N70" t="str">
        <f ca="1">IFERROR(IF(0=LEN(ReferenceData!$N$70),"",ReferenceData!$N$70),"")</f>
        <v/>
      </c>
      <c r="O70" t="str">
        <f ca="1">IFERROR(IF(0=LEN(ReferenceData!$O$70),"",ReferenceData!$O$70),"")</f>
        <v/>
      </c>
      <c r="P70" t="str">
        <f ca="1">IFERROR(IF(0=LEN(ReferenceData!$P$70),"",ReferenceData!$P$70),"")</f>
        <v/>
      </c>
      <c r="Q70" t="str">
        <f ca="1">IFERROR(IF(0=LEN(ReferenceData!$Q$70),"",ReferenceData!$Q$70),"")</f>
        <v/>
      </c>
      <c r="R70" t="str">
        <f ca="1">IFERROR(IF(0=LEN(ReferenceData!$R$70),"",ReferenceData!$R$70),"")</f>
        <v/>
      </c>
      <c r="S70" t="str">
        <f ca="1">IFERROR(IF(0=LEN(ReferenceData!$S$70),"",ReferenceData!$S$70),"")</f>
        <v/>
      </c>
      <c r="T70" t="str">
        <f ca="1">IFERROR(IF(0=LEN(ReferenceData!$T$70),"",ReferenceData!$T$70),"")</f>
        <v/>
      </c>
      <c r="U70" t="str">
        <f ca="1">IFERROR(IF(0=LEN(ReferenceData!$U$70),"",ReferenceData!$U$70),"")</f>
        <v/>
      </c>
      <c r="V70" t="str">
        <f ca="1">IFERROR(IF(0=LEN(ReferenceData!$V$70),"",ReferenceData!$V$70),"")</f>
        <v/>
      </c>
      <c r="W70" t="str">
        <f ca="1">IFERROR(IF(0=LEN(ReferenceData!$W$70),"",ReferenceData!$W$70),"")</f>
        <v/>
      </c>
      <c r="X70" t="str">
        <f ca="1">IFERROR(IF(0=LEN(ReferenceData!$X$70),"",ReferenceData!$X$70),"")</f>
        <v/>
      </c>
      <c r="Y70" t="str">
        <f ca="1">IFERROR(IF(0=LEN(ReferenceData!$Y$70),"",ReferenceData!$Y$70),"")</f>
        <v/>
      </c>
      <c r="Z70" t="str">
        <f ca="1">IFERROR(IF(0=LEN(ReferenceData!$Z$70),"",ReferenceData!$Z$70),"")</f>
        <v/>
      </c>
      <c r="AA70" t="str">
        <f ca="1">IFERROR(IF(0=LEN(ReferenceData!$AA$70),"",ReferenceData!$AA$70),"")</f>
        <v/>
      </c>
      <c r="AB70" t="str">
        <f ca="1">IFERROR(IF(0=LEN(ReferenceData!$AB$70),"",ReferenceData!$AB$70),"")</f>
        <v/>
      </c>
      <c r="AC70" t="str">
        <f ca="1">IFERROR(IF(0=LEN(ReferenceData!$AC$70),"",ReferenceData!$AC$70),"")</f>
        <v/>
      </c>
      <c r="AD70" t="str">
        <f ca="1">IFERROR(IF(0=LEN(ReferenceData!$AD$70),"",ReferenceData!$AD$70),"")</f>
        <v/>
      </c>
      <c r="AE70" t="str">
        <f ca="1">IFERROR(IF(0=LEN(ReferenceData!$AE$70),"",ReferenceData!$AE$70),"")</f>
        <v/>
      </c>
      <c r="AF70" t="str">
        <f ca="1">IFERROR(IF(0=LEN(ReferenceData!$AF$70),"",ReferenceData!$AF$70),"")</f>
        <v/>
      </c>
      <c r="AG70" t="str">
        <f ca="1">IFERROR(IF(0=LEN(ReferenceData!$AG$70),"",ReferenceData!$AG$70),"")</f>
        <v/>
      </c>
      <c r="AH70" t="str">
        <f ca="1">IFERROR(IF(0=LEN(ReferenceData!$AH$70),"",ReferenceData!$AH$70),"")</f>
        <v/>
      </c>
      <c r="AI70" t="str">
        <f ca="1">IFERROR(IF(0=LEN(ReferenceData!$AI$70),"",ReferenceData!$AI$70),"")</f>
        <v/>
      </c>
      <c r="AJ70" t="str">
        <f ca="1">IFERROR(IF(0=LEN(ReferenceData!$AJ$70),"",ReferenceData!$AJ$70),"")</f>
        <v/>
      </c>
      <c r="AK70" t="str">
        <f ca="1">IFERROR(IF(0=LEN(ReferenceData!$AK$70),"",ReferenceData!$AK$70),"")</f>
        <v/>
      </c>
      <c r="AL70" t="str">
        <f ca="1">IFERROR(IF(0=LEN(ReferenceData!$AL$70),"",ReferenceData!$AL$70),"")</f>
        <v/>
      </c>
      <c r="AM70" t="str">
        <f ca="1">IFERROR(IF(0=LEN(ReferenceData!$AM$70),"",ReferenceData!$AM$70),"")</f>
        <v/>
      </c>
      <c r="AN70" t="str">
        <f ca="1">IFERROR(IF(0=LEN(ReferenceData!$AN$70),"",ReferenceData!$AN$70),"")</f>
        <v/>
      </c>
      <c r="AO70" t="str">
        <f ca="1">IFERROR(IF(0=LEN(ReferenceData!$AO$70),"",ReferenceData!$AO$70),"")</f>
        <v/>
      </c>
      <c r="AP70" t="str">
        <f ca="1">IFERROR(IF(0=LEN(ReferenceData!$AP$70),"",ReferenceData!$AP$70),"")</f>
        <v/>
      </c>
      <c r="AQ70" t="str">
        <f ca="1">IFERROR(IF(0=LEN(ReferenceData!$AQ$70),"",ReferenceData!$AQ$70),"")</f>
        <v/>
      </c>
      <c r="AR70" t="str">
        <f ca="1">IFERROR(IF(0=LEN(ReferenceData!$AR$70),"",ReferenceData!$AR$70),"")</f>
        <v/>
      </c>
      <c r="AS70" t="str">
        <f ca="1">IFERROR(IF(0=LEN(ReferenceData!$AS$70),"",ReferenceData!$AS$70),"")</f>
        <v/>
      </c>
    </row>
    <row r="71" spans="1:45" x14ac:dyDescent="0.25">
      <c r="A71" t="str">
        <f>IFERROR(IF(0=LEN(ReferenceData!$A$71),"",ReferenceData!$A$71),"")</f>
        <v>Class 6-7 (Medium-Duty):</v>
      </c>
      <c r="B71" t="str">
        <f>IFERROR(IF(0=LEN(ReferenceData!$B$71),"",ReferenceData!$B$71),"")</f>
        <v/>
      </c>
      <c r="C71" t="str">
        <f>IFERROR(IF(0=LEN(ReferenceData!$C$71),"",ReferenceData!$C$71),"")</f>
        <v/>
      </c>
      <c r="D71" t="str">
        <f>IFERROR(IF(0=LEN(ReferenceData!$D$71),"",ReferenceData!$D$71),"")</f>
        <v/>
      </c>
      <c r="E71" t="str">
        <f>IFERROR(IF(0=LEN(ReferenceData!$E$71),"",ReferenceData!$E$71),"")</f>
        <v>Heading</v>
      </c>
      <c r="F71" t="str">
        <f>IFERROR(IF(0=LEN(ReferenceData!$F$71),"",ReferenceData!$F$71),"")</f>
        <v/>
      </c>
      <c r="G71" t="str">
        <f>IFERROR(IF(0=LEN(ReferenceData!$G$71),"",ReferenceData!$G$71),"")</f>
        <v/>
      </c>
      <c r="H71" t="str">
        <f>IFERROR(IF(0=LEN(ReferenceData!$H$71),"",ReferenceData!$H$71),"")</f>
        <v/>
      </c>
      <c r="I71" t="str">
        <f>IFERROR(IF(0=LEN(ReferenceData!$I$71),"",ReferenceData!$I$71),"")</f>
        <v/>
      </c>
      <c r="J71" t="str">
        <f>IFERROR(IF(0=LEN(ReferenceData!$J$71),"",ReferenceData!$J$71),"")</f>
        <v/>
      </c>
      <c r="K71" t="str">
        <f>IFERROR(IF(0=LEN(ReferenceData!$K$71),"",ReferenceData!$K$71),"")</f>
        <v/>
      </c>
      <c r="L71" t="str">
        <f>IFERROR(IF(0=LEN(ReferenceData!$L$71),"",ReferenceData!$L$71),"")</f>
        <v/>
      </c>
      <c r="M71" t="str">
        <f>IFERROR(IF(0=LEN(ReferenceData!$M$71),"",ReferenceData!$M$71),"")</f>
        <v/>
      </c>
      <c r="N71" t="str">
        <f>IFERROR(IF(0=LEN(ReferenceData!$N$71),"",ReferenceData!$N$71),"")</f>
        <v/>
      </c>
      <c r="O71" t="str">
        <f>IFERROR(IF(0=LEN(ReferenceData!$O$71),"",ReferenceData!$O$71),"")</f>
        <v/>
      </c>
      <c r="P71" t="str">
        <f>IFERROR(IF(0=LEN(ReferenceData!$P$71),"",ReferenceData!$P$71),"")</f>
        <v/>
      </c>
      <c r="Q71" t="str">
        <f>IFERROR(IF(0=LEN(ReferenceData!$Q$71),"",ReferenceData!$Q$71),"")</f>
        <v/>
      </c>
      <c r="R71" t="str">
        <f>IFERROR(IF(0=LEN(ReferenceData!$R$71),"",ReferenceData!$R$71),"")</f>
        <v/>
      </c>
      <c r="S71" t="str">
        <f>IFERROR(IF(0=LEN(ReferenceData!$S$71),"",ReferenceData!$S$71),"")</f>
        <v/>
      </c>
      <c r="T71" t="str">
        <f>IFERROR(IF(0=LEN(ReferenceData!$T$71),"",ReferenceData!$T$71),"")</f>
        <v/>
      </c>
      <c r="U71" t="str">
        <f>IFERROR(IF(0=LEN(ReferenceData!$U$71),"",ReferenceData!$U$71),"")</f>
        <v/>
      </c>
      <c r="V71" t="str">
        <f>IFERROR(IF(0=LEN(ReferenceData!$V$71),"",ReferenceData!$V$71),"")</f>
        <v/>
      </c>
      <c r="W71" t="str">
        <f>IFERROR(IF(0=LEN(ReferenceData!$W$71),"",ReferenceData!$W$71),"")</f>
        <v/>
      </c>
      <c r="X71" t="str">
        <f>IFERROR(IF(0=LEN(ReferenceData!$X$71),"",ReferenceData!$X$71),"")</f>
        <v/>
      </c>
      <c r="Y71" t="str">
        <f>IFERROR(IF(0=LEN(ReferenceData!$Y$71),"",ReferenceData!$Y$71),"")</f>
        <v/>
      </c>
      <c r="Z71" t="str">
        <f>IFERROR(IF(0=LEN(ReferenceData!$Z$71),"",ReferenceData!$Z$71),"")</f>
        <v/>
      </c>
      <c r="AA71" t="str">
        <f>IFERROR(IF(0=LEN(ReferenceData!$AA$71),"",ReferenceData!$AA$71),"")</f>
        <v/>
      </c>
      <c r="AB71" t="str">
        <f>IFERROR(IF(0=LEN(ReferenceData!$AB$71),"",ReferenceData!$AB$71),"")</f>
        <v/>
      </c>
      <c r="AC71" t="str">
        <f>IFERROR(IF(0=LEN(ReferenceData!$AC$71),"",ReferenceData!$AC$71),"")</f>
        <v/>
      </c>
      <c r="AD71" t="str">
        <f>IFERROR(IF(0=LEN(ReferenceData!$AD$71),"",ReferenceData!$AD$71),"")</f>
        <v/>
      </c>
      <c r="AE71" t="str">
        <f>IFERROR(IF(0=LEN(ReferenceData!$AE$71),"",ReferenceData!$AE$71),"")</f>
        <v/>
      </c>
      <c r="AF71" t="str">
        <f>IFERROR(IF(0=LEN(ReferenceData!$AF$71),"",ReferenceData!$AF$71),"")</f>
        <v/>
      </c>
      <c r="AG71" t="str">
        <f>IFERROR(IF(0=LEN(ReferenceData!$AG$71),"",ReferenceData!$AG$71),"")</f>
        <v/>
      </c>
      <c r="AH71" t="str">
        <f>IFERROR(IF(0=LEN(ReferenceData!$AH$71),"",ReferenceData!$AH$71),"")</f>
        <v/>
      </c>
      <c r="AI71" t="str">
        <f>IFERROR(IF(0=LEN(ReferenceData!$AI$71),"",ReferenceData!$AI$71),"")</f>
        <v/>
      </c>
      <c r="AJ71" t="str">
        <f>IFERROR(IF(0=LEN(ReferenceData!$AJ$71),"",ReferenceData!$AJ$71),"")</f>
        <v/>
      </c>
      <c r="AK71" t="str">
        <f>IFERROR(IF(0=LEN(ReferenceData!$AK$71),"",ReferenceData!$AK$71),"")</f>
        <v/>
      </c>
      <c r="AL71" t="str">
        <f>IFERROR(IF(0=LEN(ReferenceData!$AL$71),"",ReferenceData!$AL$71),"")</f>
        <v/>
      </c>
      <c r="AM71" t="str">
        <f>IFERROR(IF(0=LEN(ReferenceData!$AM$71),"",ReferenceData!$AM$71),"")</f>
        <v/>
      </c>
      <c r="AN71" t="str">
        <f>IFERROR(IF(0=LEN(ReferenceData!$AN$71),"",ReferenceData!$AN$71),"")</f>
        <v/>
      </c>
      <c r="AO71" t="str">
        <f>IFERROR(IF(0=LEN(ReferenceData!$AO$71),"",ReferenceData!$AO$71),"")</f>
        <v/>
      </c>
      <c r="AP71" t="str">
        <f>IFERROR(IF(0=LEN(ReferenceData!$AP$71),"",ReferenceData!$AP$71),"")</f>
        <v/>
      </c>
      <c r="AQ71" t="str">
        <f>IFERROR(IF(0=LEN(ReferenceData!$AQ$71),"",ReferenceData!$AQ$71),"")</f>
        <v/>
      </c>
      <c r="AR71" t="str">
        <f>IFERROR(IF(0=LEN(ReferenceData!$AR$71),"",ReferenceData!$AR$71),"")</f>
        <v/>
      </c>
      <c r="AS71" t="str">
        <f>IFERROR(IF(0=LEN(ReferenceData!$AS$71),"",ReferenceData!$AS$71),"")</f>
        <v/>
      </c>
    </row>
    <row r="72" spans="1:45" x14ac:dyDescent="0.25">
      <c r="A72" t="str">
        <f>IFERROR(IF(0=LEN(ReferenceData!$A$72),"",ReferenceData!$A$72),"")</f>
        <v>Total North America (Class 6-7)</v>
      </c>
      <c r="B72" t="str">
        <f>IFERROR(IF(0=LEN(ReferenceData!$B$72),"",ReferenceData!$B$72),"")</f>
        <v>TRCKNA6S Index</v>
      </c>
      <c r="C72" t="str">
        <f>IFERROR(IF(0=LEN(ReferenceData!$C$72),"",ReferenceData!$C$72),"")</f>
        <v/>
      </c>
      <c r="D72" t="str">
        <f>IFERROR(IF(0=LEN(ReferenceData!$D$72),"",ReferenceData!$D$72),"")</f>
        <v/>
      </c>
      <c r="E72" t="str">
        <f>IFERROR(IF(0=LEN(ReferenceData!$E$72),"",ReferenceData!$E$72),"")</f>
        <v>Sum</v>
      </c>
      <c r="F72">
        <f ca="1">IFERROR(IF(0=LEN(ReferenceData!$F$72),"",ReferenceData!$F$72),"")</f>
        <v>99.503116045000013</v>
      </c>
      <c r="G72">
        <f ca="1">IFERROR(IF(0=LEN(ReferenceData!$G$72),"",ReferenceData!$G$72),"")</f>
        <v>100.000000005</v>
      </c>
      <c r="H72">
        <f ca="1">IFERROR(IF(0=LEN(ReferenceData!$H$72),"",ReferenceData!$H$72),"")</f>
        <v>100.00000000599999</v>
      </c>
      <c r="I72">
        <f ca="1">IFERROR(IF(0=LEN(ReferenceData!$I$72),"",ReferenceData!$I$72),"")</f>
        <v>99.999999997000003</v>
      </c>
      <c r="J72">
        <f ca="1">IFERROR(IF(0=LEN(ReferenceData!$J$72),"",ReferenceData!$J$72),"")</f>
        <v>99.999999990999996</v>
      </c>
      <c r="K72">
        <f ca="1">IFERROR(IF(0=LEN(ReferenceData!$K$72),"",ReferenceData!$K$72),"")</f>
        <v>100.00000000000001</v>
      </c>
      <c r="L72">
        <f ca="1">IFERROR(IF(0=LEN(ReferenceData!$L$72),"",ReferenceData!$L$72),"")</f>
        <v>100</v>
      </c>
      <c r="M72">
        <f ca="1">IFERROR(IF(0=LEN(ReferenceData!$M$72),"",ReferenceData!$M$72),"")</f>
        <v>99.999999997000003</v>
      </c>
      <c r="N72">
        <f ca="1">IFERROR(IF(0=LEN(ReferenceData!$N$72),"",ReferenceData!$N$72),"")</f>
        <v>99.999999996</v>
      </c>
      <c r="O72">
        <f ca="1">IFERROR(IF(0=LEN(ReferenceData!$O$72),"",ReferenceData!$O$72),"")</f>
        <v>99.999999997000003</v>
      </c>
      <c r="P72">
        <f ca="1">IFERROR(IF(0=LEN(ReferenceData!$P$72),"",ReferenceData!$P$72),"")</f>
        <v>100.00000000099999</v>
      </c>
      <c r="Q72">
        <f ca="1">IFERROR(IF(0=LEN(ReferenceData!$Q$72),"",ReferenceData!$Q$72),"")</f>
        <v>99.999999997999993</v>
      </c>
      <c r="R72">
        <f ca="1">IFERROR(IF(0=LEN(ReferenceData!$R$72),"",ReferenceData!$R$72),"")</f>
        <v>100.00000000199999</v>
      </c>
      <c r="S72">
        <f ca="1">IFERROR(IF(0=LEN(ReferenceData!$S$72),"",ReferenceData!$S$72),"")</f>
        <v>100.00000000400001</v>
      </c>
      <c r="T72">
        <f ca="1">IFERROR(IF(0=LEN(ReferenceData!$T$72),"",ReferenceData!$T$72),"")</f>
        <v>99.999999991999985</v>
      </c>
      <c r="U72">
        <f ca="1">IFERROR(IF(0=LEN(ReferenceData!$U$72),"",ReferenceData!$U$72),"")</f>
        <v>100.000000003</v>
      </c>
      <c r="V72">
        <f ca="1">IFERROR(IF(0=LEN(ReferenceData!$V$72),"",ReferenceData!$V$72),"")</f>
        <v>99.999999991999999</v>
      </c>
      <c r="W72">
        <f ca="1">IFERROR(IF(0=LEN(ReferenceData!$W$72),"",ReferenceData!$W$72),"")</f>
        <v>100.000000005</v>
      </c>
      <c r="X72">
        <f ca="1">IFERROR(IF(0=LEN(ReferenceData!$X$72),"",ReferenceData!$X$72),"")</f>
        <v>99.999999998999996</v>
      </c>
      <c r="Y72">
        <f ca="1">IFERROR(IF(0=LEN(ReferenceData!$Y$72),"",ReferenceData!$Y$72),"")</f>
        <v>100.00000000199999</v>
      </c>
      <c r="Z72">
        <f ca="1">IFERROR(IF(0=LEN(ReferenceData!$Z$72),"",ReferenceData!$Z$72),"")</f>
        <v>100.00000000599999</v>
      </c>
      <c r="AA72">
        <f ca="1">IFERROR(IF(0=LEN(ReferenceData!$AA$72),"",ReferenceData!$AA$72),"")</f>
        <v>99.999999996999989</v>
      </c>
      <c r="AB72">
        <f ca="1">IFERROR(IF(0=LEN(ReferenceData!$AB$72),"",ReferenceData!$AB$72),"")</f>
        <v>99.18951543899999</v>
      </c>
      <c r="AC72">
        <f ca="1">IFERROR(IF(0=LEN(ReferenceData!$AC$72),"",ReferenceData!$AC$72),"")</f>
        <v>99.288897310999985</v>
      </c>
      <c r="AD72">
        <f ca="1">IFERROR(IF(0=LEN(ReferenceData!$AD$72),"",ReferenceData!$AD$72),"")</f>
        <v>99.417637275000004</v>
      </c>
      <c r="AE72">
        <f ca="1">IFERROR(IF(0=LEN(ReferenceData!$AE$72),"",ReferenceData!$AE$72),"")</f>
        <v>99.400381578000008</v>
      </c>
      <c r="AF72">
        <f ca="1">IFERROR(IF(0=LEN(ReferenceData!$AF$72),"",ReferenceData!$AF$72),"")</f>
        <v>99.409871252000016</v>
      </c>
      <c r="AG72">
        <f ca="1">IFERROR(IF(0=LEN(ReferenceData!$AG$72),"",ReferenceData!$AG$72),"")</f>
        <v>99.423177772999992</v>
      </c>
      <c r="AH72">
        <f ca="1">IFERROR(IF(0=LEN(ReferenceData!$AH$72),"",ReferenceData!$AH$72),"")</f>
        <v>99.446640316</v>
      </c>
      <c r="AI72">
        <f ca="1">IFERROR(IF(0=LEN(ReferenceData!$AI$72),"",ReferenceData!$AI$72),"")</f>
        <v>99.37730870999998</v>
      </c>
      <c r="AJ72">
        <f ca="1">IFERROR(IF(0=LEN(ReferenceData!$AJ$72),"",ReferenceData!$AJ$72),"")</f>
        <v>99.438033122999997</v>
      </c>
      <c r="AK72">
        <f ca="1">IFERROR(IF(0=LEN(ReferenceData!$AK$72),"",ReferenceData!$AK$72),"")</f>
        <v>99.359985967999989</v>
      </c>
      <c r="AL72">
        <f ca="1">IFERROR(IF(0=LEN(ReferenceData!$AL$72),"",ReferenceData!$AL$72),"")</f>
        <v>99.247787610000003</v>
      </c>
      <c r="AM72">
        <f ca="1">IFERROR(IF(0=LEN(ReferenceData!$AM$72),"",ReferenceData!$AM$72),"")</f>
        <v>99.205917541000005</v>
      </c>
      <c r="AN72">
        <f ca="1">IFERROR(IF(0=LEN(ReferenceData!$AN$72),"",ReferenceData!$AN$72),"")</f>
        <v>99.111663857999986</v>
      </c>
      <c r="AO72">
        <f ca="1">IFERROR(IF(0=LEN(ReferenceData!$AO$72),"",ReferenceData!$AO$72),"")</f>
        <v>98.859792006999996</v>
      </c>
      <c r="AP72">
        <f ca="1">IFERROR(IF(0=LEN(ReferenceData!$AP$72),"",ReferenceData!$AP$72),"")</f>
        <v>99.117205104000007</v>
      </c>
      <c r="AQ72">
        <f ca="1">IFERROR(IF(0=LEN(ReferenceData!$AQ$72),"",ReferenceData!$AQ$72),"")</f>
        <v>99.737508197000011</v>
      </c>
      <c r="AR72">
        <f ca="1">IFERROR(IF(0=LEN(ReferenceData!$AR$72),"",ReferenceData!$AR$72),"")</f>
        <v>99.728014513999995</v>
      </c>
      <c r="AS72">
        <f ca="1">IFERROR(IF(0=LEN(ReferenceData!$AS$72),"",ReferenceData!$AS$72),"")</f>
        <v>99.775523029000013</v>
      </c>
    </row>
    <row r="73" spans="1:45" x14ac:dyDescent="0.25">
      <c r="A73" t="str">
        <f>IFERROR(IF(0=LEN(ReferenceData!$A$73),"",ReferenceData!$A$73),"")</f>
        <v xml:space="preserve">    Daimler</v>
      </c>
      <c r="B73" t="str">
        <f>IFERROR(IF(0=LEN(ReferenceData!$B$73),"",ReferenceData!$B$73),"")</f>
        <v/>
      </c>
      <c r="C73" t="str">
        <f>IFERROR(IF(0=LEN(ReferenceData!$C$73),"",ReferenceData!$C$73),"")</f>
        <v/>
      </c>
      <c r="D73" t="str">
        <f>IFERROR(IF(0=LEN(ReferenceData!$D$73),"",ReferenceData!$D$73),"")</f>
        <v/>
      </c>
      <c r="E73" t="str">
        <f>IFERROR(IF(0=LEN(ReferenceData!$E$73),"",ReferenceData!$E$73),"")</f>
        <v>Sum</v>
      </c>
      <c r="F73">
        <f ca="1">IFERROR(IF(0=LEN(ReferenceData!$F$73),"",ReferenceData!$F$73),"")</f>
        <v>35.666161359999997</v>
      </c>
      <c r="G73">
        <f ca="1">IFERROR(IF(0=LEN(ReferenceData!$G$73),"",ReferenceData!$G$73),"")</f>
        <v>36.683910099999999</v>
      </c>
      <c r="H73">
        <f ca="1">IFERROR(IF(0=LEN(ReferenceData!$H$73),"",ReferenceData!$H$73),"")</f>
        <v>35.17039209</v>
      </c>
      <c r="I73">
        <f ca="1">IFERROR(IF(0=LEN(ReferenceData!$I$73),"",ReferenceData!$I$73),"")</f>
        <v>33.957845429999999</v>
      </c>
      <c r="J73">
        <f ca="1">IFERROR(IF(0=LEN(ReferenceData!$J$73),"",ReferenceData!$J$73),"")</f>
        <v>34.130169250000002</v>
      </c>
      <c r="K73">
        <f ca="1">IFERROR(IF(0=LEN(ReferenceData!$K$73),"",ReferenceData!$K$73),"")</f>
        <v>40.857168969999996</v>
      </c>
      <c r="L73">
        <f ca="1">IFERROR(IF(0=LEN(ReferenceData!$L$73),"",ReferenceData!$L$73),"")</f>
        <v>37.934423299999999</v>
      </c>
      <c r="M73">
        <f ca="1">IFERROR(IF(0=LEN(ReferenceData!$M$73),"",ReferenceData!$M$73),"")</f>
        <v>36.12921918</v>
      </c>
      <c r="N73">
        <f ca="1">IFERROR(IF(0=LEN(ReferenceData!$N$73),"",ReferenceData!$N$73),"")</f>
        <v>39.335840750000003</v>
      </c>
      <c r="O73">
        <f ca="1">IFERROR(IF(0=LEN(ReferenceData!$O$73),"",ReferenceData!$O$73),"")</f>
        <v>37.121060030000002</v>
      </c>
      <c r="P73">
        <f ca="1">IFERROR(IF(0=LEN(ReferenceData!$P$73),"",ReferenceData!$P$73),"")</f>
        <v>32.705962870999997</v>
      </c>
      <c r="Q73">
        <f ca="1">IFERROR(IF(0=LEN(ReferenceData!$Q$73),"",ReferenceData!$Q$73),"")</f>
        <v>40.272865086000003</v>
      </c>
      <c r="R73">
        <f ca="1">IFERROR(IF(0=LEN(ReferenceData!$R$73),"",ReferenceData!$R$73),"")</f>
        <v>40.607192897000004</v>
      </c>
      <c r="S73">
        <f ca="1">IFERROR(IF(0=LEN(ReferenceData!$S$73),"",ReferenceData!$S$73),"")</f>
        <v>35.811951389000001</v>
      </c>
      <c r="T73">
        <f ca="1">IFERROR(IF(0=LEN(ReferenceData!$T$73),"",ReferenceData!$T$73),"")</f>
        <v>40.950846089999999</v>
      </c>
      <c r="U73">
        <f ca="1">IFERROR(IF(0=LEN(ReferenceData!$U$73),"",ReferenceData!$U$73),"")</f>
        <v>40.214233841999999</v>
      </c>
      <c r="V73">
        <f ca="1">IFERROR(IF(0=LEN(ReferenceData!$V$73),"",ReferenceData!$V$73),"")</f>
        <v>41.151276337000006</v>
      </c>
      <c r="W73">
        <f ca="1">IFERROR(IF(0=LEN(ReferenceData!$W$73),"",ReferenceData!$W$73),"")</f>
        <v>39.428362041999996</v>
      </c>
      <c r="X73">
        <f ca="1">IFERROR(IF(0=LEN(ReferenceData!$X$73),"",ReferenceData!$X$73),"")</f>
        <v>36.540502293999999</v>
      </c>
      <c r="Y73">
        <f ca="1">IFERROR(IF(0=LEN(ReferenceData!$Y$73),"",ReferenceData!$Y$73),"")</f>
        <v>36.534796862</v>
      </c>
      <c r="Z73">
        <f ca="1">IFERROR(IF(0=LEN(ReferenceData!$Z$73),"",ReferenceData!$Z$73),"")</f>
        <v>42.037418316999997</v>
      </c>
      <c r="AA73">
        <f ca="1">IFERROR(IF(0=LEN(ReferenceData!$AA$73),"",ReferenceData!$AA$73),"")</f>
        <v>42.832469773</v>
      </c>
      <c r="AB73">
        <f ca="1">IFERROR(IF(0=LEN(ReferenceData!$AB$73),"",ReferenceData!$AB$73),"")</f>
        <v>33.617865152999997</v>
      </c>
      <c r="AC73">
        <f ca="1">IFERROR(IF(0=LEN(ReferenceData!$AC$73),"",ReferenceData!$AC$73),"")</f>
        <v>46.107897975999997</v>
      </c>
      <c r="AD73">
        <f ca="1">IFERROR(IF(0=LEN(ReferenceData!$AD$73),"",ReferenceData!$AD$73),"")</f>
        <v>42.961730450999994</v>
      </c>
      <c r="AE73">
        <f ca="1">IFERROR(IF(0=LEN(ReferenceData!$AE$73),"",ReferenceData!$AE$73),"")</f>
        <v>41.191968746999997</v>
      </c>
      <c r="AF73">
        <f ca="1">IFERROR(IF(0=LEN(ReferenceData!$AF$73),"",ReferenceData!$AF$73),"")</f>
        <v>39.028969962000005</v>
      </c>
      <c r="AG73">
        <f ca="1">IFERROR(IF(0=LEN(ReferenceData!$AG$73),"",ReferenceData!$AG$73),"")</f>
        <v>36.234923963999996</v>
      </c>
      <c r="AH73">
        <f ca="1">IFERROR(IF(0=LEN(ReferenceData!$AH$73),"",ReferenceData!$AH$73),"")</f>
        <v>39.209486167000001</v>
      </c>
      <c r="AI73">
        <f ca="1">IFERROR(IF(0=LEN(ReferenceData!$AI$73),"",ReferenceData!$AI$73),"")</f>
        <v>44.654353563999997</v>
      </c>
      <c r="AJ73">
        <f ca="1">IFERROR(IF(0=LEN(ReferenceData!$AJ$73),"",ReferenceData!$AJ$73),"")</f>
        <v>41.936778726999997</v>
      </c>
      <c r="AK73">
        <f ca="1">IFERROR(IF(0=LEN(ReferenceData!$AK$73),"",ReferenceData!$AK$73),"")</f>
        <v>37.839733471999999</v>
      </c>
      <c r="AL73">
        <f ca="1">IFERROR(IF(0=LEN(ReferenceData!$AL$73),"",ReferenceData!$AL$73),"")</f>
        <v>41.106194689000006</v>
      </c>
      <c r="AM73">
        <f ca="1">IFERROR(IF(0=LEN(ReferenceData!$AM$73),"",ReferenceData!$AM$73),"")</f>
        <v>41.183509192999999</v>
      </c>
      <c r="AN73">
        <f ca="1">IFERROR(IF(0=LEN(ReferenceData!$AN$73),"",ReferenceData!$AN$73),"")</f>
        <v>34.858310384999996</v>
      </c>
      <c r="AO73">
        <f ca="1">IFERROR(IF(0=LEN(ReferenceData!$AO$73),"",ReferenceData!$AO$73),"")</f>
        <v>39.293321637999995</v>
      </c>
      <c r="AP73">
        <f ca="1">IFERROR(IF(0=LEN(ReferenceData!$AP$73),"",ReferenceData!$AP$73),"")</f>
        <v>41.510142747000003</v>
      </c>
      <c r="AQ73">
        <f ca="1">IFERROR(IF(0=LEN(ReferenceData!$AQ$73),"",ReferenceData!$AQ$73),"")</f>
        <v>38.605043590000001</v>
      </c>
      <c r="AR73">
        <f ca="1">IFERROR(IF(0=LEN(ReferenceData!$AR$73),"",ReferenceData!$AR$73),"")</f>
        <v>42.218192809000001</v>
      </c>
      <c r="AS73">
        <f ca="1">IFERROR(IF(0=LEN(ReferenceData!$AS$73),"",ReferenceData!$AS$73),"")</f>
        <v>40.405854357000003</v>
      </c>
    </row>
    <row r="74" spans="1:45" x14ac:dyDescent="0.25">
      <c r="A74" t="str">
        <f>IFERROR(IF(0=LEN(ReferenceData!$A$74),"",ReferenceData!$A$74),"")</f>
        <v xml:space="preserve">        Freightliner</v>
      </c>
      <c r="B74" t="str">
        <f>IFERROR(IF(0=LEN(ReferenceData!$B$74),"",ReferenceData!$B$74),"")</f>
        <v/>
      </c>
      <c r="C74" t="str">
        <f>IFERROR(IF(0=LEN(ReferenceData!$C$74),"",ReferenceData!$C$74),"")</f>
        <v/>
      </c>
      <c r="D74" t="str">
        <f>IFERROR(IF(0=LEN(ReferenceData!$D$74),"",ReferenceData!$D$74),"")</f>
        <v/>
      </c>
      <c r="E74" t="str">
        <f>IFERROR(IF(0=LEN(ReferenceData!$E$74),"",ReferenceData!$E$74),"")</f>
        <v>Expression</v>
      </c>
      <c r="F74">
        <f ca="1">IFERROR(IF(0=LEN(ReferenceData!$F$74),"",ReferenceData!$F$74),"")</f>
        <v>35.666161359999997</v>
      </c>
      <c r="G74">
        <f ca="1">IFERROR(IF(0=LEN(ReferenceData!$G$74),"",ReferenceData!$G$74),"")</f>
        <v>36.683910099999999</v>
      </c>
      <c r="H74">
        <f ca="1">IFERROR(IF(0=LEN(ReferenceData!$H$74),"",ReferenceData!$H$74),"")</f>
        <v>35.17039209</v>
      </c>
      <c r="I74">
        <f ca="1">IFERROR(IF(0=LEN(ReferenceData!$I$74),"",ReferenceData!$I$74),"")</f>
        <v>33.957845429999999</v>
      </c>
      <c r="J74">
        <f ca="1">IFERROR(IF(0=LEN(ReferenceData!$J$74),"",ReferenceData!$J$74),"")</f>
        <v>34.130169250000002</v>
      </c>
      <c r="K74">
        <f ca="1">IFERROR(IF(0=LEN(ReferenceData!$K$74),"",ReferenceData!$K$74),"")</f>
        <v>40.857168969999996</v>
      </c>
      <c r="L74">
        <f ca="1">IFERROR(IF(0=LEN(ReferenceData!$L$74),"",ReferenceData!$L$74),"")</f>
        <v>37.934423299999999</v>
      </c>
      <c r="M74">
        <f ca="1">IFERROR(IF(0=LEN(ReferenceData!$M$74),"",ReferenceData!$M$74),"")</f>
        <v>36.12921918</v>
      </c>
      <c r="N74">
        <f ca="1">IFERROR(IF(0=LEN(ReferenceData!$N$74),"",ReferenceData!$N$74),"")</f>
        <v>39.335840750000003</v>
      </c>
      <c r="O74">
        <f ca="1">IFERROR(IF(0=LEN(ReferenceData!$O$74),"",ReferenceData!$O$74),"")</f>
        <v>37.121060030000002</v>
      </c>
      <c r="P74">
        <f ca="1">IFERROR(IF(0=LEN(ReferenceData!$P$74),"",ReferenceData!$P$74),"")</f>
        <v>29.00162546</v>
      </c>
      <c r="Q74">
        <f ca="1">IFERROR(IF(0=LEN(ReferenceData!$Q$74),"",ReferenceData!$Q$74),"")</f>
        <v>36.624557860000003</v>
      </c>
      <c r="R74">
        <f ca="1">IFERROR(IF(0=LEN(ReferenceData!$R$74),"",ReferenceData!$R$74),"")</f>
        <v>37.870154130000003</v>
      </c>
      <c r="S74">
        <f ca="1">IFERROR(IF(0=LEN(ReferenceData!$S$74),"",ReferenceData!$S$74),"")</f>
        <v>33.127954090000003</v>
      </c>
      <c r="T74">
        <f ca="1">IFERROR(IF(0=LEN(ReferenceData!$T$74),"",ReferenceData!$T$74),"")</f>
        <v>37.58259468</v>
      </c>
      <c r="U74">
        <f ca="1">IFERROR(IF(0=LEN(ReferenceData!$U$74),"",ReferenceData!$U$74),"")</f>
        <v>36.882716049999999</v>
      </c>
      <c r="V74">
        <f ca="1">IFERROR(IF(0=LEN(ReferenceData!$V$74),"",ReferenceData!$V$74),"")</f>
        <v>37.262292270000003</v>
      </c>
      <c r="W74">
        <f ca="1">IFERROR(IF(0=LEN(ReferenceData!$W$74),"",ReferenceData!$W$74),"")</f>
        <v>36.744228659999997</v>
      </c>
      <c r="X74">
        <f ca="1">IFERROR(IF(0=LEN(ReferenceData!$X$74),"",ReferenceData!$X$74),"")</f>
        <v>34.13512557</v>
      </c>
      <c r="Y74">
        <f ca="1">IFERROR(IF(0=LEN(ReferenceData!$Y$74),"",ReferenceData!$Y$74),"")</f>
        <v>33.729705010000004</v>
      </c>
      <c r="Z74">
        <f ca="1">IFERROR(IF(0=LEN(ReferenceData!$Z$74),"",ReferenceData!$Z$74),"")</f>
        <v>39.709963299999998</v>
      </c>
      <c r="AA74">
        <f ca="1">IFERROR(IF(0=LEN(ReferenceData!$AA$74),"",ReferenceData!$AA$74),"")</f>
        <v>40.922482979999998</v>
      </c>
      <c r="AB74">
        <f ca="1">IFERROR(IF(0=LEN(ReferenceData!$AB$74),"",ReferenceData!$AB$74),"")</f>
        <v>30.669080879999999</v>
      </c>
      <c r="AC74">
        <f ca="1">IFERROR(IF(0=LEN(ReferenceData!$AC$74),"",ReferenceData!$AC$74),"")</f>
        <v>43.510002839999999</v>
      </c>
      <c r="AD74">
        <f ca="1">IFERROR(IF(0=LEN(ReferenceData!$AD$74),"",ReferenceData!$AD$74),"")</f>
        <v>40.823627289999997</v>
      </c>
      <c r="AE74">
        <f ca="1">IFERROR(IF(0=LEN(ReferenceData!$AE$74),"",ReferenceData!$AE$74),"")</f>
        <v>39.020623239999999</v>
      </c>
      <c r="AF74">
        <f ca="1">IFERROR(IF(0=LEN(ReferenceData!$AF$74),"",ReferenceData!$AF$74),"")</f>
        <v>36.891988560000001</v>
      </c>
      <c r="AG74">
        <f ca="1">IFERROR(IF(0=LEN(ReferenceData!$AG$74),"",ReferenceData!$AG$74),"")</f>
        <v>33.726621219999998</v>
      </c>
      <c r="AH74">
        <f ca="1">IFERROR(IF(0=LEN(ReferenceData!$AH$74),"",ReferenceData!$AH$74),"")</f>
        <v>36.732542819999999</v>
      </c>
      <c r="AI74">
        <f ca="1">IFERROR(IF(0=LEN(ReferenceData!$AI$74),"",ReferenceData!$AI$74),"")</f>
        <v>42.606860159999997</v>
      </c>
      <c r="AJ74">
        <f ca="1">IFERROR(IF(0=LEN(ReferenceData!$AJ$74),"",ReferenceData!$AJ$74),"")</f>
        <v>39.548419469999999</v>
      </c>
      <c r="AK74">
        <f ca="1">IFERROR(IF(0=LEN(ReferenceData!$AK$74),"",ReferenceData!$AK$74),"")</f>
        <v>36.130106959999999</v>
      </c>
      <c r="AL74">
        <f ca="1">IFERROR(IF(0=LEN(ReferenceData!$AL$74),"",ReferenceData!$AL$74),"")</f>
        <v>39.424778760000002</v>
      </c>
      <c r="AM74">
        <f ca="1">IFERROR(IF(0=LEN(ReferenceData!$AM$74),"",ReferenceData!$AM$74),"")</f>
        <v>39.14935277</v>
      </c>
      <c r="AN74">
        <f ca="1">IFERROR(IF(0=LEN(ReferenceData!$AN$74),"",ReferenceData!$AN$74),"")</f>
        <v>32.886204139999997</v>
      </c>
      <c r="AO74">
        <f ca="1">IFERROR(IF(0=LEN(ReferenceData!$AO$74),"",ReferenceData!$AO$74),"")</f>
        <v>36.737250969999998</v>
      </c>
      <c r="AP74">
        <f ca="1">IFERROR(IF(0=LEN(ReferenceData!$AP$74),"",ReferenceData!$AP$74),"")</f>
        <v>39.58489857</v>
      </c>
      <c r="AQ74">
        <f ca="1">IFERROR(IF(0=LEN(ReferenceData!$AQ$74),"",ReferenceData!$AQ$74),"")</f>
        <v>36.673853940000001</v>
      </c>
      <c r="AR74">
        <f ca="1">IFERROR(IF(0=LEN(ReferenceData!$AR$74),"",ReferenceData!$AR$74),"")</f>
        <v>39.397602499999998</v>
      </c>
      <c r="AS74">
        <f ca="1">IFERROR(IF(0=LEN(ReferenceData!$AS$74),"",ReferenceData!$AS$74),"")</f>
        <v>38.161084670000001</v>
      </c>
    </row>
    <row r="75" spans="1:45" x14ac:dyDescent="0.25">
      <c r="A75" t="str">
        <f>IFERROR(IF(0=LEN(ReferenceData!$A$75),"",ReferenceData!$A$75),"")</f>
        <v xml:space="preserve">        Mercedes-Benz</v>
      </c>
      <c r="B75" t="str">
        <f>IFERROR(IF(0=LEN(ReferenceData!$B$75),"",ReferenceData!$B$75),"")</f>
        <v/>
      </c>
      <c r="C75" t="str">
        <f>IFERROR(IF(0=LEN(ReferenceData!$C$75),"",ReferenceData!$C$75),"")</f>
        <v/>
      </c>
      <c r="D75" t="str">
        <f>IFERROR(IF(0=LEN(ReferenceData!$D$75),"",ReferenceData!$D$75),"")</f>
        <v/>
      </c>
      <c r="E75" t="str">
        <f>IFERROR(IF(0=LEN(ReferenceData!$E$75),"",ReferenceData!$E$75),"")</f>
        <v>Expression</v>
      </c>
      <c r="F75" t="str">
        <f ca="1">IFERROR(IF(0=LEN(ReferenceData!$F$75),"",ReferenceData!$F$75),"")</f>
        <v/>
      </c>
      <c r="G75" t="str">
        <f ca="1">IFERROR(IF(0=LEN(ReferenceData!$G$75),"",ReferenceData!$G$75),"")</f>
        <v/>
      </c>
      <c r="H75" t="str">
        <f ca="1">IFERROR(IF(0=LEN(ReferenceData!$H$75),"",ReferenceData!$H$75),"")</f>
        <v/>
      </c>
      <c r="I75" t="str">
        <f ca="1">IFERROR(IF(0=LEN(ReferenceData!$I$75),"",ReferenceData!$I$75),"")</f>
        <v/>
      </c>
      <c r="J75" t="str">
        <f ca="1">IFERROR(IF(0=LEN(ReferenceData!$J$75),"",ReferenceData!$J$75),"")</f>
        <v/>
      </c>
      <c r="K75" t="str">
        <f ca="1">IFERROR(IF(0=LEN(ReferenceData!$K$75),"",ReferenceData!$K$75),"")</f>
        <v/>
      </c>
      <c r="L75" t="str">
        <f ca="1">IFERROR(IF(0=LEN(ReferenceData!$L$75),"",ReferenceData!$L$75),"")</f>
        <v/>
      </c>
      <c r="M75" t="str">
        <f ca="1">IFERROR(IF(0=LEN(ReferenceData!$M$75),"",ReferenceData!$M$75),"")</f>
        <v/>
      </c>
      <c r="N75" t="str">
        <f ca="1">IFERROR(IF(0=LEN(ReferenceData!$N$75),"",ReferenceData!$N$75),"")</f>
        <v/>
      </c>
      <c r="O75" t="str">
        <f ca="1">IFERROR(IF(0=LEN(ReferenceData!$O$75),"",ReferenceData!$O$75),"")</f>
        <v/>
      </c>
      <c r="P75">
        <f ca="1">IFERROR(IF(0=LEN(ReferenceData!$P$75),"",ReferenceData!$P$75),"")</f>
        <v>3.704337411</v>
      </c>
      <c r="Q75">
        <f ca="1">IFERROR(IF(0=LEN(ReferenceData!$Q$75),"",ReferenceData!$Q$75),"")</f>
        <v>3.648307226</v>
      </c>
      <c r="R75">
        <f ca="1">IFERROR(IF(0=LEN(ReferenceData!$R$75),"",ReferenceData!$R$75),"")</f>
        <v>2.737038767</v>
      </c>
      <c r="S75">
        <f ca="1">IFERROR(IF(0=LEN(ReferenceData!$S$75),"",ReferenceData!$S$75),"")</f>
        <v>2.6839972990000001</v>
      </c>
      <c r="T75">
        <f ca="1">IFERROR(IF(0=LEN(ReferenceData!$T$75),"",ReferenceData!$T$75),"")</f>
        <v>3.3682514100000001</v>
      </c>
      <c r="U75">
        <f ca="1">IFERROR(IF(0=LEN(ReferenceData!$U$75),"",ReferenceData!$U$75),"")</f>
        <v>3.3315177920000001</v>
      </c>
      <c r="V75">
        <f ca="1">IFERROR(IF(0=LEN(ReferenceData!$V$75),"",ReferenceData!$V$75),"")</f>
        <v>3.888984067</v>
      </c>
      <c r="W75">
        <f ca="1">IFERROR(IF(0=LEN(ReferenceData!$W$75),"",ReferenceData!$W$75),"")</f>
        <v>2.6841333820000002</v>
      </c>
      <c r="X75">
        <f ca="1">IFERROR(IF(0=LEN(ReferenceData!$X$75),"",ReferenceData!$X$75),"")</f>
        <v>2.4053767239999999</v>
      </c>
      <c r="Y75">
        <f ca="1">IFERROR(IF(0=LEN(ReferenceData!$Y$75),"",ReferenceData!$Y$75),"")</f>
        <v>2.8050918519999999</v>
      </c>
      <c r="Z75">
        <f ca="1">IFERROR(IF(0=LEN(ReferenceData!$Z$75),"",ReferenceData!$Z$75),"")</f>
        <v>2.3274550170000001</v>
      </c>
      <c r="AA75">
        <f ca="1">IFERROR(IF(0=LEN(ReferenceData!$AA$75),"",ReferenceData!$AA$75),"")</f>
        <v>1.9099867930000001</v>
      </c>
      <c r="AB75">
        <f ca="1">IFERROR(IF(0=LEN(ReferenceData!$AB$75),"",ReferenceData!$AB$75),"")</f>
        <v>2.9487842729999998</v>
      </c>
      <c r="AC75">
        <f ca="1">IFERROR(IF(0=LEN(ReferenceData!$AC$75),"",ReferenceData!$AC$75),"")</f>
        <v>2.597895136</v>
      </c>
      <c r="AD75">
        <f ca="1">IFERROR(IF(0=LEN(ReferenceData!$AD$75),"",ReferenceData!$AD$75),"")</f>
        <v>2.1381031610000001</v>
      </c>
      <c r="AE75">
        <f ca="1">IFERROR(IF(0=LEN(ReferenceData!$AE$75),"",ReferenceData!$AE$75),"")</f>
        <v>2.1713455069999998</v>
      </c>
      <c r="AF75">
        <f ca="1">IFERROR(IF(0=LEN(ReferenceData!$AF$75),"",ReferenceData!$AF$75),"")</f>
        <v>2.136981402</v>
      </c>
      <c r="AG75">
        <f ca="1">IFERROR(IF(0=LEN(ReferenceData!$AG$75),"",ReferenceData!$AG$75),"")</f>
        <v>2.5083027439999999</v>
      </c>
      <c r="AH75">
        <f ca="1">IFERROR(IF(0=LEN(ReferenceData!$AH$75),"",ReferenceData!$AH$75),"")</f>
        <v>2.4769433470000002</v>
      </c>
      <c r="AI75">
        <f ca="1">IFERROR(IF(0=LEN(ReferenceData!$AI$75),"",ReferenceData!$AI$75),"")</f>
        <v>2.0474934039999999</v>
      </c>
      <c r="AJ75">
        <f ca="1">IFERROR(IF(0=LEN(ReferenceData!$AJ$75),"",ReferenceData!$AJ$75),"")</f>
        <v>2.3883592569999998</v>
      </c>
      <c r="AK75">
        <f ca="1">IFERROR(IF(0=LEN(ReferenceData!$AK$75),"",ReferenceData!$AK$75),"")</f>
        <v>1.709626512</v>
      </c>
      <c r="AL75">
        <f ca="1">IFERROR(IF(0=LEN(ReferenceData!$AL$75),"",ReferenceData!$AL$75),"")</f>
        <v>1.6814159289999999</v>
      </c>
      <c r="AM75">
        <f ca="1">IFERROR(IF(0=LEN(ReferenceData!$AM$75),"",ReferenceData!$AM$75),"")</f>
        <v>2.0341564230000002</v>
      </c>
      <c r="AN75">
        <f ca="1">IFERROR(IF(0=LEN(ReferenceData!$AN$75),"",ReferenceData!$AN$75),"")</f>
        <v>1.972106245</v>
      </c>
      <c r="AO75">
        <f ca="1">IFERROR(IF(0=LEN(ReferenceData!$AO$75),"",ReferenceData!$AO$75),"")</f>
        <v>2.5560706679999998</v>
      </c>
      <c r="AP75">
        <f ca="1">IFERROR(IF(0=LEN(ReferenceData!$AP$75),"",ReferenceData!$AP$75),"")</f>
        <v>1.9252441769999999</v>
      </c>
      <c r="AQ75">
        <f ca="1">IFERROR(IF(0=LEN(ReferenceData!$AQ$75),"",ReferenceData!$AQ$75),"")</f>
        <v>1.9311896500000001</v>
      </c>
      <c r="AR75">
        <f ca="1">IFERROR(IF(0=LEN(ReferenceData!$AR$75),"",ReferenceData!$AR$75),"")</f>
        <v>2.820590309</v>
      </c>
      <c r="AS75">
        <f ca="1">IFERROR(IF(0=LEN(ReferenceData!$AS$75),"",ReferenceData!$AS$75),"")</f>
        <v>2.2447696869999998</v>
      </c>
    </row>
    <row r="76" spans="1:45" x14ac:dyDescent="0.25">
      <c r="A76" t="str">
        <f>IFERROR(IF(0=LEN(ReferenceData!$A$76),"",ReferenceData!$A$76),"")</f>
        <v xml:space="preserve">        Mitsubishi Fuso</v>
      </c>
      <c r="B76" t="str">
        <f>IFERROR(IF(0=LEN(ReferenceData!$B$76),"",ReferenceData!$B$76),"")</f>
        <v/>
      </c>
      <c r="C76" t="str">
        <f>IFERROR(IF(0=LEN(ReferenceData!$C$76),"",ReferenceData!$C$76),"")</f>
        <v/>
      </c>
      <c r="D76" t="str">
        <f>IFERROR(IF(0=LEN(ReferenceData!$D$76),"",ReferenceData!$D$76),"")</f>
        <v/>
      </c>
      <c r="E76" t="str">
        <f>IFERROR(IF(0=LEN(ReferenceData!$E$76),"",ReferenceData!$E$76),"")</f>
        <v>Expression</v>
      </c>
      <c r="F76" t="str">
        <f ca="1">IFERROR(IF(0=LEN(ReferenceData!$F$76),"",ReferenceData!$F$76),"")</f>
        <v/>
      </c>
      <c r="G76" t="str">
        <f ca="1">IFERROR(IF(0=LEN(ReferenceData!$G$76),"",ReferenceData!$G$76),"")</f>
        <v/>
      </c>
      <c r="H76" t="str">
        <f ca="1">IFERROR(IF(0=LEN(ReferenceData!$H$76),"",ReferenceData!$H$76),"")</f>
        <v/>
      </c>
      <c r="I76" t="str">
        <f ca="1">IFERROR(IF(0=LEN(ReferenceData!$I$76),"",ReferenceData!$I$76),"")</f>
        <v/>
      </c>
      <c r="J76" t="str">
        <f ca="1">IFERROR(IF(0=LEN(ReferenceData!$J$76),"",ReferenceData!$J$76),"")</f>
        <v/>
      </c>
      <c r="K76" t="str">
        <f ca="1">IFERROR(IF(0=LEN(ReferenceData!$K$76),"",ReferenceData!$K$76),"")</f>
        <v/>
      </c>
      <c r="L76" t="str">
        <f ca="1">IFERROR(IF(0=LEN(ReferenceData!$L$76),"",ReferenceData!$L$76),"")</f>
        <v/>
      </c>
      <c r="M76" t="str">
        <f ca="1">IFERROR(IF(0=LEN(ReferenceData!$M$76),"",ReferenceData!$M$76),"")</f>
        <v/>
      </c>
      <c r="N76" t="str">
        <f ca="1">IFERROR(IF(0=LEN(ReferenceData!$N$76),"",ReferenceData!$N$76),"")</f>
        <v/>
      </c>
      <c r="O76" t="str">
        <f ca="1">IFERROR(IF(0=LEN(ReferenceData!$O$76),"",ReferenceData!$O$76),"")</f>
        <v/>
      </c>
      <c r="P76" t="str">
        <f ca="1">IFERROR(IF(0=LEN(ReferenceData!$P$76),"",ReferenceData!$P$76),"")</f>
        <v/>
      </c>
      <c r="Q76" t="str">
        <f ca="1">IFERROR(IF(0=LEN(ReferenceData!$Q$76),"",ReferenceData!$Q$76),"")</f>
        <v/>
      </c>
      <c r="R76" t="str">
        <f ca="1">IFERROR(IF(0=LEN(ReferenceData!$R$76),"",ReferenceData!$R$76),"")</f>
        <v/>
      </c>
      <c r="S76" t="str">
        <f ca="1">IFERROR(IF(0=LEN(ReferenceData!$S$76),"",ReferenceData!$S$76),"")</f>
        <v/>
      </c>
      <c r="T76" t="str">
        <f ca="1">IFERROR(IF(0=LEN(ReferenceData!$T$76),"",ReferenceData!$T$76),"")</f>
        <v/>
      </c>
      <c r="U76" t="str">
        <f ca="1">IFERROR(IF(0=LEN(ReferenceData!$U$76),"",ReferenceData!$U$76),"")</f>
        <v/>
      </c>
      <c r="V76" t="str">
        <f ca="1">IFERROR(IF(0=LEN(ReferenceData!$V$76),"",ReferenceData!$V$76),"")</f>
        <v/>
      </c>
      <c r="W76" t="str">
        <f ca="1">IFERROR(IF(0=LEN(ReferenceData!$W$76),"",ReferenceData!$W$76),"")</f>
        <v/>
      </c>
      <c r="X76" t="str">
        <f ca="1">IFERROR(IF(0=LEN(ReferenceData!$X$76),"",ReferenceData!$X$76),"")</f>
        <v/>
      </c>
      <c r="Y76" t="str">
        <f ca="1">IFERROR(IF(0=LEN(ReferenceData!$Y$76),"",ReferenceData!$Y$76),"")</f>
        <v/>
      </c>
      <c r="Z76" t="str">
        <f ca="1">IFERROR(IF(0=LEN(ReferenceData!$Z$76),"",ReferenceData!$Z$76),"")</f>
        <v/>
      </c>
      <c r="AA76" t="str">
        <f ca="1">IFERROR(IF(0=LEN(ReferenceData!$AA$76),"",ReferenceData!$AA$76),"")</f>
        <v/>
      </c>
      <c r="AB76" t="str">
        <f ca="1">IFERROR(IF(0=LEN(ReferenceData!$AB$76),"",ReferenceData!$AB$76),"")</f>
        <v/>
      </c>
      <c r="AC76" t="str">
        <f ca="1">IFERROR(IF(0=LEN(ReferenceData!$AC$76),"",ReferenceData!$AC$76),"")</f>
        <v/>
      </c>
      <c r="AD76" t="str">
        <f ca="1">IFERROR(IF(0=LEN(ReferenceData!$AD$76),"",ReferenceData!$AD$76),"")</f>
        <v/>
      </c>
      <c r="AE76" t="str">
        <f ca="1">IFERROR(IF(0=LEN(ReferenceData!$AE$76),"",ReferenceData!$AE$76),"")</f>
        <v/>
      </c>
      <c r="AF76" t="str">
        <f ca="1">IFERROR(IF(0=LEN(ReferenceData!$AF$76),"",ReferenceData!$AF$76),"")</f>
        <v/>
      </c>
      <c r="AG76" t="str">
        <f ca="1">IFERROR(IF(0=LEN(ReferenceData!$AG$76),"",ReferenceData!$AG$76),"")</f>
        <v/>
      </c>
      <c r="AH76" t="str">
        <f ca="1">IFERROR(IF(0=LEN(ReferenceData!$AH$76),"",ReferenceData!$AH$76),"")</f>
        <v/>
      </c>
      <c r="AI76" t="str">
        <f ca="1">IFERROR(IF(0=LEN(ReferenceData!$AI$76),"",ReferenceData!$AI$76),"")</f>
        <v/>
      </c>
      <c r="AJ76" t="str">
        <f ca="1">IFERROR(IF(0=LEN(ReferenceData!$AJ$76),"",ReferenceData!$AJ$76),"")</f>
        <v/>
      </c>
      <c r="AK76" t="str">
        <f ca="1">IFERROR(IF(0=LEN(ReferenceData!$AK$76),"",ReferenceData!$AK$76),"")</f>
        <v/>
      </c>
      <c r="AL76" t="str">
        <f ca="1">IFERROR(IF(0=LEN(ReferenceData!$AL$76),"",ReferenceData!$AL$76),"")</f>
        <v/>
      </c>
      <c r="AM76" t="str">
        <f ca="1">IFERROR(IF(0=LEN(ReferenceData!$AM$76),"",ReferenceData!$AM$76),"")</f>
        <v/>
      </c>
      <c r="AN76" t="str">
        <f ca="1">IFERROR(IF(0=LEN(ReferenceData!$AN$76),"",ReferenceData!$AN$76),"")</f>
        <v/>
      </c>
      <c r="AO76" t="str">
        <f ca="1">IFERROR(IF(0=LEN(ReferenceData!$AO$76),"",ReferenceData!$AO$76),"")</f>
        <v/>
      </c>
      <c r="AP76" t="str">
        <f ca="1">IFERROR(IF(0=LEN(ReferenceData!$AP$76),"",ReferenceData!$AP$76),"")</f>
        <v/>
      </c>
      <c r="AQ76" t="str">
        <f ca="1">IFERROR(IF(0=LEN(ReferenceData!$AQ$76),"",ReferenceData!$AQ$76),"")</f>
        <v/>
      </c>
      <c r="AR76" t="str">
        <f ca="1">IFERROR(IF(0=LEN(ReferenceData!$AR$76),"",ReferenceData!$AR$76),"")</f>
        <v/>
      </c>
      <c r="AS76" t="str">
        <f ca="1">IFERROR(IF(0=LEN(ReferenceData!$AS$76),"",ReferenceData!$AS$76),"")</f>
        <v/>
      </c>
    </row>
    <row r="77" spans="1:45" x14ac:dyDescent="0.25">
      <c r="A77" t="str">
        <f>IFERROR(IF(0=LEN(ReferenceData!$A$77),"",ReferenceData!$A$77),"")</f>
        <v xml:space="preserve">        Sterling</v>
      </c>
      <c r="B77" t="str">
        <f>IFERROR(IF(0=LEN(ReferenceData!$B$77),"",ReferenceData!$B$77),"")</f>
        <v/>
      </c>
      <c r="C77" t="str">
        <f>IFERROR(IF(0=LEN(ReferenceData!$C$77),"",ReferenceData!$C$77),"")</f>
        <v/>
      </c>
      <c r="D77" t="str">
        <f>IFERROR(IF(0=LEN(ReferenceData!$D$77),"",ReferenceData!$D$77),"")</f>
        <v/>
      </c>
      <c r="E77" t="str">
        <f>IFERROR(IF(0=LEN(ReferenceData!$E$77),"",ReferenceData!$E$77),"")</f>
        <v>Expression</v>
      </c>
      <c r="F77" t="str">
        <f ca="1">IFERROR(IF(0=LEN(ReferenceData!$F$77),"",ReferenceData!$F$77),"")</f>
        <v/>
      </c>
      <c r="G77" t="str">
        <f ca="1">IFERROR(IF(0=LEN(ReferenceData!$G$77),"",ReferenceData!$G$77),"")</f>
        <v/>
      </c>
      <c r="H77" t="str">
        <f ca="1">IFERROR(IF(0=LEN(ReferenceData!$H$77),"",ReferenceData!$H$77),"")</f>
        <v/>
      </c>
      <c r="I77" t="str">
        <f ca="1">IFERROR(IF(0=LEN(ReferenceData!$I$77),"",ReferenceData!$I$77),"")</f>
        <v/>
      </c>
      <c r="J77" t="str">
        <f ca="1">IFERROR(IF(0=LEN(ReferenceData!$J$77),"",ReferenceData!$J$77),"")</f>
        <v/>
      </c>
      <c r="K77" t="str">
        <f ca="1">IFERROR(IF(0=LEN(ReferenceData!$K$77),"",ReferenceData!$K$77),"")</f>
        <v/>
      </c>
      <c r="L77" t="str">
        <f ca="1">IFERROR(IF(0=LEN(ReferenceData!$L$77),"",ReferenceData!$L$77),"")</f>
        <v/>
      </c>
      <c r="M77" t="str">
        <f ca="1">IFERROR(IF(0=LEN(ReferenceData!$M$77),"",ReferenceData!$M$77),"")</f>
        <v/>
      </c>
      <c r="N77" t="str">
        <f ca="1">IFERROR(IF(0=LEN(ReferenceData!$N$77),"",ReferenceData!$N$77),"")</f>
        <v/>
      </c>
      <c r="O77" t="str">
        <f ca="1">IFERROR(IF(0=LEN(ReferenceData!$O$77),"",ReferenceData!$O$77),"")</f>
        <v/>
      </c>
      <c r="P77" t="str">
        <f ca="1">IFERROR(IF(0=LEN(ReferenceData!$P$77),"",ReferenceData!$P$77),"")</f>
        <v/>
      </c>
      <c r="Q77" t="str">
        <f ca="1">IFERROR(IF(0=LEN(ReferenceData!$Q$77),"",ReferenceData!$Q$77),"")</f>
        <v/>
      </c>
      <c r="R77" t="str">
        <f ca="1">IFERROR(IF(0=LEN(ReferenceData!$R$77),"",ReferenceData!$R$77),"")</f>
        <v/>
      </c>
      <c r="S77" t="str">
        <f ca="1">IFERROR(IF(0=LEN(ReferenceData!$S$77),"",ReferenceData!$S$77),"")</f>
        <v/>
      </c>
      <c r="T77" t="str">
        <f ca="1">IFERROR(IF(0=LEN(ReferenceData!$T$77),"",ReferenceData!$T$77),"")</f>
        <v/>
      </c>
      <c r="U77" t="str">
        <f ca="1">IFERROR(IF(0=LEN(ReferenceData!$U$77),"",ReferenceData!$U$77),"")</f>
        <v/>
      </c>
      <c r="V77" t="str">
        <f ca="1">IFERROR(IF(0=LEN(ReferenceData!$V$77),"",ReferenceData!$V$77),"")</f>
        <v/>
      </c>
      <c r="W77" t="str">
        <f ca="1">IFERROR(IF(0=LEN(ReferenceData!$W$77),"",ReferenceData!$W$77),"")</f>
        <v/>
      </c>
      <c r="X77" t="str">
        <f ca="1">IFERROR(IF(0=LEN(ReferenceData!$X$77),"",ReferenceData!$X$77),"")</f>
        <v/>
      </c>
      <c r="Y77" t="str">
        <f ca="1">IFERROR(IF(0=LEN(ReferenceData!$Y$77),"",ReferenceData!$Y$77),"")</f>
        <v/>
      </c>
      <c r="Z77" t="str">
        <f ca="1">IFERROR(IF(0=LEN(ReferenceData!$Z$77),"",ReferenceData!$Z$77),"")</f>
        <v/>
      </c>
      <c r="AA77" t="str">
        <f ca="1">IFERROR(IF(0=LEN(ReferenceData!$AA$77),"",ReferenceData!$AA$77),"")</f>
        <v/>
      </c>
      <c r="AB77" t="str">
        <f ca="1">IFERROR(IF(0=LEN(ReferenceData!$AB$77),"",ReferenceData!$AB$77),"")</f>
        <v/>
      </c>
      <c r="AC77" t="str">
        <f ca="1">IFERROR(IF(0=LEN(ReferenceData!$AC$77),"",ReferenceData!$AC$77),"")</f>
        <v/>
      </c>
      <c r="AD77" t="str">
        <f ca="1">IFERROR(IF(0=LEN(ReferenceData!$AD$77),"",ReferenceData!$AD$77),"")</f>
        <v/>
      </c>
      <c r="AE77" t="str">
        <f ca="1">IFERROR(IF(0=LEN(ReferenceData!$AE$77),"",ReferenceData!$AE$77),"")</f>
        <v/>
      </c>
      <c r="AF77" t="str">
        <f ca="1">IFERROR(IF(0=LEN(ReferenceData!$AF$77),"",ReferenceData!$AF$77),"")</f>
        <v/>
      </c>
      <c r="AG77" t="str">
        <f ca="1">IFERROR(IF(0=LEN(ReferenceData!$AG$77),"",ReferenceData!$AG$77),"")</f>
        <v/>
      </c>
      <c r="AH77" t="str">
        <f ca="1">IFERROR(IF(0=LEN(ReferenceData!$AH$77),"",ReferenceData!$AH$77),"")</f>
        <v/>
      </c>
      <c r="AI77" t="str">
        <f ca="1">IFERROR(IF(0=LEN(ReferenceData!$AI$77),"",ReferenceData!$AI$77),"")</f>
        <v/>
      </c>
      <c r="AJ77" t="str">
        <f ca="1">IFERROR(IF(0=LEN(ReferenceData!$AJ$77),"",ReferenceData!$AJ$77),"")</f>
        <v/>
      </c>
      <c r="AK77" t="str">
        <f ca="1">IFERROR(IF(0=LEN(ReferenceData!$AK$77),"",ReferenceData!$AK$77),"")</f>
        <v/>
      </c>
      <c r="AL77" t="str">
        <f ca="1">IFERROR(IF(0=LEN(ReferenceData!$AL$77),"",ReferenceData!$AL$77),"")</f>
        <v/>
      </c>
      <c r="AM77" t="str">
        <f ca="1">IFERROR(IF(0=LEN(ReferenceData!$AM$77),"",ReferenceData!$AM$77),"")</f>
        <v/>
      </c>
      <c r="AN77" t="str">
        <f ca="1">IFERROR(IF(0=LEN(ReferenceData!$AN$77),"",ReferenceData!$AN$77),"")</f>
        <v/>
      </c>
      <c r="AO77" t="str">
        <f ca="1">IFERROR(IF(0=LEN(ReferenceData!$AO$77),"",ReferenceData!$AO$77),"")</f>
        <v/>
      </c>
      <c r="AP77" t="str">
        <f ca="1">IFERROR(IF(0=LEN(ReferenceData!$AP$77),"",ReferenceData!$AP$77),"")</f>
        <v/>
      </c>
      <c r="AQ77" t="str">
        <f ca="1">IFERROR(IF(0=LEN(ReferenceData!$AQ$77),"",ReferenceData!$AQ$77),"")</f>
        <v/>
      </c>
      <c r="AR77" t="str">
        <f ca="1">IFERROR(IF(0=LEN(ReferenceData!$AR$77),"",ReferenceData!$AR$77),"")</f>
        <v/>
      </c>
      <c r="AS77" t="str">
        <f ca="1">IFERROR(IF(0=LEN(ReferenceData!$AS$77),"",ReferenceData!$AS$77),"")</f>
        <v/>
      </c>
    </row>
    <row r="78" spans="1:45" x14ac:dyDescent="0.25">
      <c r="A78" t="str">
        <f>IFERROR(IF(0=LEN(ReferenceData!$A$78),"",ReferenceData!$A$78),"")</f>
        <v xml:space="preserve">        Western Star</v>
      </c>
      <c r="B78" t="str">
        <f>IFERROR(IF(0=LEN(ReferenceData!$B$78),"",ReferenceData!$B$78),"")</f>
        <v/>
      </c>
      <c r="C78" t="str">
        <f>IFERROR(IF(0=LEN(ReferenceData!$C$78),"",ReferenceData!$C$78),"")</f>
        <v/>
      </c>
      <c r="D78" t="str">
        <f>IFERROR(IF(0=LEN(ReferenceData!$D$78),"",ReferenceData!$D$78),"")</f>
        <v/>
      </c>
      <c r="E78" t="str">
        <f>IFERROR(IF(0=LEN(ReferenceData!$E$78),"",ReferenceData!$E$78),"")</f>
        <v>Expression</v>
      </c>
      <c r="F78" t="str">
        <f ca="1">IFERROR(IF(0=LEN(ReferenceData!$F$78),"",ReferenceData!$F$78),"")</f>
        <v/>
      </c>
      <c r="G78" t="str">
        <f ca="1">IFERROR(IF(0=LEN(ReferenceData!$G$78),"",ReferenceData!$G$78),"")</f>
        <v/>
      </c>
      <c r="H78" t="str">
        <f ca="1">IFERROR(IF(0=LEN(ReferenceData!$H$78),"",ReferenceData!$H$78),"")</f>
        <v/>
      </c>
      <c r="I78" t="str">
        <f ca="1">IFERROR(IF(0=LEN(ReferenceData!$I$78),"",ReferenceData!$I$78),"")</f>
        <v/>
      </c>
      <c r="J78" t="str">
        <f ca="1">IFERROR(IF(0=LEN(ReferenceData!$J$78),"",ReferenceData!$J$78),"")</f>
        <v/>
      </c>
      <c r="K78" t="str">
        <f ca="1">IFERROR(IF(0=LEN(ReferenceData!$K$78),"",ReferenceData!$K$78),"")</f>
        <v/>
      </c>
      <c r="L78" t="str">
        <f ca="1">IFERROR(IF(0=LEN(ReferenceData!$L$78),"",ReferenceData!$L$78),"")</f>
        <v/>
      </c>
      <c r="M78" t="str">
        <f ca="1">IFERROR(IF(0=LEN(ReferenceData!$M$78),"",ReferenceData!$M$78),"")</f>
        <v/>
      </c>
      <c r="N78" t="str">
        <f ca="1">IFERROR(IF(0=LEN(ReferenceData!$N$78),"",ReferenceData!$N$78),"")</f>
        <v/>
      </c>
      <c r="O78" t="str">
        <f ca="1">IFERROR(IF(0=LEN(ReferenceData!$O$78),"",ReferenceData!$O$78),"")</f>
        <v/>
      </c>
      <c r="P78" t="str">
        <f ca="1">IFERROR(IF(0=LEN(ReferenceData!$P$78),"",ReferenceData!$P$78),"")</f>
        <v/>
      </c>
      <c r="Q78" t="str">
        <f ca="1">IFERROR(IF(0=LEN(ReferenceData!$Q$78),"",ReferenceData!$Q$78),"")</f>
        <v/>
      </c>
      <c r="R78" t="str">
        <f ca="1">IFERROR(IF(0=LEN(ReferenceData!$R$78),"",ReferenceData!$R$78),"")</f>
        <v/>
      </c>
      <c r="S78" t="str">
        <f ca="1">IFERROR(IF(0=LEN(ReferenceData!$S$78),"",ReferenceData!$S$78),"")</f>
        <v/>
      </c>
      <c r="T78" t="str">
        <f ca="1">IFERROR(IF(0=LEN(ReferenceData!$T$78),"",ReferenceData!$T$78),"")</f>
        <v/>
      </c>
      <c r="U78" t="str">
        <f ca="1">IFERROR(IF(0=LEN(ReferenceData!$U$78),"",ReferenceData!$U$78),"")</f>
        <v/>
      </c>
      <c r="V78" t="str">
        <f ca="1">IFERROR(IF(0=LEN(ReferenceData!$V$78),"",ReferenceData!$V$78),"")</f>
        <v/>
      </c>
      <c r="W78" t="str">
        <f ca="1">IFERROR(IF(0=LEN(ReferenceData!$W$78),"",ReferenceData!$W$78),"")</f>
        <v/>
      </c>
      <c r="X78" t="str">
        <f ca="1">IFERROR(IF(0=LEN(ReferenceData!$X$78),"",ReferenceData!$X$78),"")</f>
        <v/>
      </c>
      <c r="Y78" t="str">
        <f ca="1">IFERROR(IF(0=LEN(ReferenceData!$Y$78),"",ReferenceData!$Y$78),"")</f>
        <v/>
      </c>
      <c r="Z78" t="str">
        <f ca="1">IFERROR(IF(0=LEN(ReferenceData!$Z$78),"",ReferenceData!$Z$78),"")</f>
        <v/>
      </c>
      <c r="AA78" t="str">
        <f ca="1">IFERROR(IF(0=LEN(ReferenceData!$AA$78),"",ReferenceData!$AA$78),"")</f>
        <v/>
      </c>
      <c r="AB78" t="str">
        <f ca="1">IFERROR(IF(0=LEN(ReferenceData!$AB$78),"",ReferenceData!$AB$78),"")</f>
        <v/>
      </c>
      <c r="AC78" t="str">
        <f ca="1">IFERROR(IF(0=LEN(ReferenceData!$AC$78),"",ReferenceData!$AC$78),"")</f>
        <v/>
      </c>
      <c r="AD78" t="str">
        <f ca="1">IFERROR(IF(0=LEN(ReferenceData!$AD$78),"",ReferenceData!$AD$78),"")</f>
        <v/>
      </c>
      <c r="AE78" t="str">
        <f ca="1">IFERROR(IF(0=LEN(ReferenceData!$AE$78),"",ReferenceData!$AE$78),"")</f>
        <v/>
      </c>
      <c r="AF78" t="str">
        <f ca="1">IFERROR(IF(0=LEN(ReferenceData!$AF$78),"",ReferenceData!$AF$78),"")</f>
        <v/>
      </c>
      <c r="AG78" t="str">
        <f ca="1">IFERROR(IF(0=LEN(ReferenceData!$AG$78),"",ReferenceData!$AG$78),"")</f>
        <v/>
      </c>
      <c r="AH78" t="str">
        <f ca="1">IFERROR(IF(0=LEN(ReferenceData!$AH$78),"",ReferenceData!$AH$78),"")</f>
        <v/>
      </c>
      <c r="AI78" t="str">
        <f ca="1">IFERROR(IF(0=LEN(ReferenceData!$AI$78),"",ReferenceData!$AI$78),"")</f>
        <v/>
      </c>
      <c r="AJ78" t="str">
        <f ca="1">IFERROR(IF(0=LEN(ReferenceData!$AJ$78),"",ReferenceData!$AJ$78),"")</f>
        <v/>
      </c>
      <c r="AK78" t="str">
        <f ca="1">IFERROR(IF(0=LEN(ReferenceData!$AK$78),"",ReferenceData!$AK$78),"")</f>
        <v/>
      </c>
      <c r="AL78" t="str">
        <f ca="1">IFERROR(IF(0=LEN(ReferenceData!$AL$78),"",ReferenceData!$AL$78),"")</f>
        <v/>
      </c>
      <c r="AM78" t="str">
        <f ca="1">IFERROR(IF(0=LEN(ReferenceData!$AM$78),"",ReferenceData!$AM$78),"")</f>
        <v/>
      </c>
      <c r="AN78" t="str">
        <f ca="1">IFERROR(IF(0=LEN(ReferenceData!$AN$78),"",ReferenceData!$AN$78),"")</f>
        <v/>
      </c>
      <c r="AO78" t="str">
        <f ca="1">IFERROR(IF(0=LEN(ReferenceData!$AO$78),"",ReferenceData!$AO$78),"")</f>
        <v/>
      </c>
      <c r="AP78" t="str">
        <f ca="1">IFERROR(IF(0=LEN(ReferenceData!$AP$78),"",ReferenceData!$AP$78),"")</f>
        <v/>
      </c>
      <c r="AQ78" t="str">
        <f ca="1">IFERROR(IF(0=LEN(ReferenceData!$AQ$78),"",ReferenceData!$AQ$78),"")</f>
        <v/>
      </c>
      <c r="AR78" t="str">
        <f ca="1">IFERROR(IF(0=LEN(ReferenceData!$AR$78),"",ReferenceData!$AR$78),"")</f>
        <v/>
      </c>
      <c r="AS78" t="str">
        <f ca="1">IFERROR(IF(0=LEN(ReferenceData!$AS$78),"",ReferenceData!$AS$78),"")</f>
        <v/>
      </c>
    </row>
    <row r="79" spans="1:45" x14ac:dyDescent="0.25">
      <c r="A79" t="str">
        <f>IFERROR(IF(0=LEN(ReferenceData!$A$79),"",ReferenceData!$A$79),"")</f>
        <v xml:space="preserve">    Navistar</v>
      </c>
      <c r="B79" t="str">
        <f>IFERROR(IF(0=LEN(ReferenceData!$B$79),"",ReferenceData!$B$79),"")</f>
        <v/>
      </c>
      <c r="C79" t="str">
        <f>IFERROR(IF(0=LEN(ReferenceData!$C$79),"",ReferenceData!$C$79),"")</f>
        <v/>
      </c>
      <c r="D79" t="str">
        <f>IFERROR(IF(0=LEN(ReferenceData!$D$79),"",ReferenceData!$D$79),"")</f>
        <v/>
      </c>
      <c r="E79" t="str">
        <f>IFERROR(IF(0=LEN(ReferenceData!$E$79),"",ReferenceData!$E$79),"")</f>
        <v>Expression</v>
      </c>
      <c r="F79">
        <f ca="1">IFERROR(IF(0=LEN(ReferenceData!$F$79),"",ReferenceData!$F$79),"")</f>
        <v>27.951827519999998</v>
      </c>
      <c r="G79">
        <f ca="1">IFERROR(IF(0=LEN(ReferenceData!$G$79),"",ReferenceData!$G$79),"")</f>
        <v>27.390296110000001</v>
      </c>
      <c r="H79">
        <f ca="1">IFERROR(IF(0=LEN(ReferenceData!$H$79),"",ReferenceData!$H$79),"")</f>
        <v>32.143642360000001</v>
      </c>
      <c r="I79">
        <f ca="1">IFERROR(IF(0=LEN(ReferenceData!$I$79),"",ReferenceData!$I$79),"")</f>
        <v>30.012610339999998</v>
      </c>
      <c r="J79">
        <f ca="1">IFERROR(IF(0=LEN(ReferenceData!$J$79),"",ReferenceData!$J$79),"")</f>
        <v>25.693596230000001</v>
      </c>
      <c r="K79">
        <f ca="1">IFERROR(IF(0=LEN(ReferenceData!$K$79),"",ReferenceData!$K$79),"")</f>
        <v>24.061043590000001</v>
      </c>
      <c r="L79">
        <f ca="1">IFERROR(IF(0=LEN(ReferenceData!$L$79),"",ReferenceData!$L$79),"")</f>
        <v>22.942910749999999</v>
      </c>
      <c r="M79">
        <f ca="1">IFERROR(IF(0=LEN(ReferenceData!$M$79),"",ReferenceData!$M$79),"")</f>
        <v>26.263943210000001</v>
      </c>
      <c r="N79">
        <f ca="1">IFERROR(IF(0=LEN(ReferenceData!$N$79),"",ReferenceData!$N$79),"")</f>
        <v>24.99770663</v>
      </c>
      <c r="O79">
        <f ca="1">IFERROR(IF(0=LEN(ReferenceData!$O$79),"",ReferenceData!$O$79),"")</f>
        <v>20.708693029999999</v>
      </c>
      <c r="P79">
        <f ca="1">IFERROR(IF(0=LEN(ReferenceData!$P$79),"",ReferenceData!$P$79),"")</f>
        <v>18.162374880000002</v>
      </c>
      <c r="Q79">
        <f ca="1">IFERROR(IF(0=LEN(ReferenceData!$Q$79),"",ReferenceData!$Q$79),"")</f>
        <v>15.93734209</v>
      </c>
      <c r="R79">
        <f ca="1">IFERROR(IF(0=LEN(ReferenceData!$R$79),"",ReferenceData!$R$79),"")</f>
        <v>22.01774872</v>
      </c>
      <c r="S79">
        <f ca="1">IFERROR(IF(0=LEN(ReferenceData!$S$79),"",ReferenceData!$S$79),"")</f>
        <v>31.980081030000001</v>
      </c>
      <c r="T79">
        <f ca="1">IFERROR(IF(0=LEN(ReferenceData!$T$79),"",ReferenceData!$T$79),"")</f>
        <v>28.92022562</v>
      </c>
      <c r="U79">
        <f ca="1">IFERROR(IF(0=LEN(ReferenceData!$U$79),"",ReferenceData!$U$79),"")</f>
        <v>26.279956429999999</v>
      </c>
      <c r="V79">
        <f ca="1">IFERROR(IF(0=LEN(ReferenceData!$V$79),"",ReferenceData!$V$79),"")</f>
        <v>23.76220661</v>
      </c>
      <c r="W79">
        <f ca="1">IFERROR(IF(0=LEN(ReferenceData!$W$79),"",ReferenceData!$W$79),"")</f>
        <v>23.06705753</v>
      </c>
      <c r="X79">
        <f ca="1">IFERROR(IF(0=LEN(ReferenceData!$X$79),"",ReferenceData!$X$79),"")</f>
        <v>23.134064380000002</v>
      </c>
      <c r="Y79">
        <f ca="1">IFERROR(IF(0=LEN(ReferenceData!$Y$79),"",ReferenceData!$Y$79),"")</f>
        <v>20.817135449999999</v>
      </c>
      <c r="Z79">
        <f ca="1">IFERROR(IF(0=LEN(ReferenceData!$Z$79),"",ReferenceData!$Z$79),"")</f>
        <v>24.733685439999999</v>
      </c>
      <c r="AA79">
        <f ca="1">IFERROR(IF(0=LEN(ReferenceData!$AA$79),"",ReferenceData!$AA$79),"")</f>
        <v>21.4568729</v>
      </c>
      <c r="AB79">
        <f ca="1">IFERROR(IF(0=LEN(ReferenceData!$AB$79),"",ReferenceData!$AB$79),"")</f>
        <v>18.563545439999999</v>
      </c>
      <c r="AC79">
        <f ca="1">IFERROR(IF(0=LEN(ReferenceData!$AC$79),"",ReferenceData!$AC$79),"")</f>
        <v>16.829430169999998</v>
      </c>
      <c r="AD79">
        <f ca="1">IFERROR(IF(0=LEN(ReferenceData!$AD$79),"",ReferenceData!$AD$79),"")</f>
        <v>22.803660570000002</v>
      </c>
      <c r="AE79">
        <f ca="1">IFERROR(IF(0=LEN(ReferenceData!$AE$79),"",ReferenceData!$AE$79),"")</f>
        <v>27.137276279999998</v>
      </c>
      <c r="AF79">
        <f ca="1">IFERROR(IF(0=LEN(ReferenceData!$AF$79),"",ReferenceData!$AF$79),"")</f>
        <v>29.506437770000002</v>
      </c>
      <c r="AG79">
        <f ca="1">IFERROR(IF(0=LEN(ReferenceData!$AG$79),"",ReferenceData!$AG$79),"")</f>
        <v>30.580318129999998</v>
      </c>
      <c r="AH79">
        <f ca="1">IFERROR(IF(0=LEN(ReferenceData!$AH$79),"",ReferenceData!$AH$79),"")</f>
        <v>28.73956961</v>
      </c>
      <c r="AI79">
        <f ca="1">IFERROR(IF(0=LEN(ReferenceData!$AI$79),"",ReferenceData!$AI$79),"")</f>
        <v>20.875989449999999</v>
      </c>
      <c r="AJ79">
        <f ca="1">IFERROR(IF(0=LEN(ReferenceData!$AJ$79),"",ReferenceData!$AJ$79),"")</f>
        <v>23.582538889999999</v>
      </c>
      <c r="AK79">
        <f ca="1">IFERROR(IF(0=LEN(ReferenceData!$AK$79),"",ReferenceData!$AK$79),"")</f>
        <v>25.048220229999998</v>
      </c>
      <c r="AL79">
        <f ca="1">IFERROR(IF(0=LEN(ReferenceData!$AL$79),"",ReferenceData!$AL$79),"")</f>
        <v>24.988938050000002</v>
      </c>
      <c r="AM79">
        <f ca="1">IFERROR(IF(0=LEN(ReferenceData!$AM$79),"",ReferenceData!$AM$79),"")</f>
        <v>24.486021969999999</v>
      </c>
      <c r="AN79">
        <f ca="1">IFERROR(IF(0=LEN(ReferenceData!$AN$79),"",ReferenceData!$AN$79),"")</f>
        <v>19.818779429999999</v>
      </c>
      <c r="AO79">
        <f ca="1">IFERROR(IF(0=LEN(ReferenceData!$AO$79),"",ReferenceData!$AO$79),"")</f>
        <v>17.692018539999999</v>
      </c>
      <c r="AP79">
        <f ca="1">IFERROR(IF(0=LEN(ReferenceData!$AP$79),"",ReferenceData!$AP$79),"")</f>
        <v>24.182945149999998</v>
      </c>
      <c r="AQ79">
        <f ca="1">IFERROR(IF(0=LEN(ReferenceData!$AQ$79),"",ReferenceData!$AQ$79),"")</f>
        <v>29.220961840000001</v>
      </c>
      <c r="AR79">
        <f ca="1">IFERROR(IF(0=LEN(ReferenceData!$AR$79),"",ReferenceData!$AR$79),"")</f>
        <v>26.735166719999999</v>
      </c>
      <c r="AS79">
        <f ca="1">IFERROR(IF(0=LEN(ReferenceData!$AS$79),"",ReferenceData!$AS$79),"")</f>
        <v>31.05863338</v>
      </c>
    </row>
    <row r="80" spans="1:45" x14ac:dyDescent="0.25">
      <c r="A80" t="str">
        <f>IFERROR(IF(0=LEN(ReferenceData!$A$80),"",ReferenceData!$A$80),"")</f>
        <v xml:space="preserve">    PACCAR</v>
      </c>
      <c r="B80" t="str">
        <f>IFERROR(IF(0=LEN(ReferenceData!$B$80),"",ReferenceData!$B$80),"")</f>
        <v/>
      </c>
      <c r="C80" t="str">
        <f>IFERROR(IF(0=LEN(ReferenceData!$C$80),"",ReferenceData!$C$80),"")</f>
        <v/>
      </c>
      <c r="D80" t="str">
        <f>IFERROR(IF(0=LEN(ReferenceData!$D$80),"",ReferenceData!$D$80),"")</f>
        <v/>
      </c>
      <c r="E80" t="str">
        <f>IFERROR(IF(0=LEN(ReferenceData!$E$80),"",ReferenceData!$E$80),"")</f>
        <v>Sum</v>
      </c>
      <c r="F80">
        <f ca="1">IFERROR(IF(0=LEN(ReferenceData!$F$80),"",ReferenceData!$F$80),"")</f>
        <v>11.529391949000001</v>
      </c>
      <c r="G80">
        <f ca="1">IFERROR(IF(0=LEN(ReferenceData!$G$80),"",ReferenceData!$G$80),"")</f>
        <v>11.006064931000001</v>
      </c>
      <c r="H80">
        <f ca="1">IFERROR(IF(0=LEN(ReferenceData!$H$80),"",ReferenceData!$H$80),"")</f>
        <v>8.9556614140000015</v>
      </c>
      <c r="I80">
        <f ca="1">IFERROR(IF(0=LEN(ReferenceData!$I$80),"",ReferenceData!$I$80),"")</f>
        <v>11.367321202999999</v>
      </c>
      <c r="J80">
        <f ca="1">IFERROR(IF(0=LEN(ReferenceData!$J$80),"",ReferenceData!$J$80),"")</f>
        <v>10.469377072</v>
      </c>
      <c r="K80">
        <f ca="1">IFERROR(IF(0=LEN(ReferenceData!$K$80),"",ReferenceData!$K$80),"")</f>
        <v>11.687836973</v>
      </c>
      <c r="L80">
        <f ca="1">IFERROR(IF(0=LEN(ReferenceData!$L$80),"",ReferenceData!$L$80),"")</f>
        <v>9.9526489769999991</v>
      </c>
      <c r="M80">
        <f ca="1">IFERROR(IF(0=LEN(ReferenceData!$M$80),"",ReferenceData!$M$80),"")</f>
        <v>8.8584673330000001</v>
      </c>
      <c r="N80">
        <f ca="1">IFERROR(IF(0=LEN(ReferenceData!$N$80),"",ReferenceData!$N$80),"")</f>
        <v>7.7057150720000003</v>
      </c>
      <c r="O80">
        <f ca="1">IFERROR(IF(0=LEN(ReferenceData!$O$80),"",ReferenceData!$O$80),"")</f>
        <v>8.3115840189999997</v>
      </c>
      <c r="P80">
        <f ca="1">IFERROR(IF(0=LEN(ReferenceData!$P$80),"",ReferenceData!$P$80),"")</f>
        <v>13.756523226999999</v>
      </c>
      <c r="Q80">
        <f ca="1">IFERROR(IF(0=LEN(ReferenceData!$Q$80),"",ReferenceData!$Q$80),"")</f>
        <v>11.045982818999999</v>
      </c>
      <c r="R80">
        <f ca="1">IFERROR(IF(0=LEN(ReferenceData!$R$80),"",ReferenceData!$R$80),"")</f>
        <v>12.003736572000001</v>
      </c>
      <c r="S80">
        <f ca="1">IFERROR(IF(0=LEN(ReferenceData!$S$80),"",ReferenceData!$S$80),"")</f>
        <v>9.8244429440000012</v>
      </c>
      <c r="T80">
        <f ca="1">IFERROR(IF(0=LEN(ReferenceData!$T$80),"",ReferenceData!$T$80),"")</f>
        <v>9.6535052379999993</v>
      </c>
      <c r="U80">
        <f ca="1">IFERROR(IF(0=LEN(ReferenceData!$U$80),"",ReferenceData!$U$80),"")</f>
        <v>9.7312999270000002</v>
      </c>
      <c r="V80">
        <f ca="1">IFERROR(IF(0=LEN(ReferenceData!$V$80),"",ReferenceData!$V$80),"")</f>
        <v>11.067329106999999</v>
      </c>
      <c r="W80">
        <f ca="1">IFERROR(IF(0=LEN(ReferenceData!$W$80),"",ReferenceData!$W$80),"")</f>
        <v>10.470868450000001</v>
      </c>
      <c r="X80">
        <f ca="1">IFERROR(IF(0=LEN(ReferenceData!$X$80),"",ReferenceData!$X$80),"")</f>
        <v>10.390873718</v>
      </c>
      <c r="Y80">
        <f ca="1">IFERROR(IF(0=LEN(ReferenceData!$Y$80),"",ReferenceData!$Y$80),"")</f>
        <v>9.3299794190000007</v>
      </c>
      <c r="Z80">
        <f ca="1">IFERROR(IF(0=LEN(ReferenceData!$Z$80),"",ReferenceData!$Z$80),"")</f>
        <v>8.6652940650000012</v>
      </c>
      <c r="AA80">
        <f ca="1">IFERROR(IF(0=LEN(ReferenceData!$AA$80),"",ReferenceData!$AA$80),"")</f>
        <v>9.1740323070000009</v>
      </c>
      <c r="AB80">
        <f ca="1">IFERROR(IF(0=LEN(ReferenceData!$AB$80),"",ReferenceData!$AB$80),"")</f>
        <v>13.51957234</v>
      </c>
      <c r="AC80">
        <f ca="1">IFERROR(IF(0=LEN(ReferenceData!$AC$80),"",ReferenceData!$AC$80),"")</f>
        <v>11.462975254</v>
      </c>
      <c r="AD80">
        <f ca="1">IFERROR(IF(0=LEN(ReferenceData!$AD$80),"",ReferenceData!$AD$80),"")</f>
        <v>10.183028285999999</v>
      </c>
      <c r="AE80">
        <f ca="1">IFERROR(IF(0=LEN(ReferenceData!$AE$80),"",ReferenceData!$AE$80),"")</f>
        <v>13.173435087</v>
      </c>
      <c r="AF80">
        <f ca="1">IFERROR(IF(0=LEN(ReferenceData!$AF$80),"",ReferenceData!$AF$80),"")</f>
        <v>13.233190272000002</v>
      </c>
      <c r="AG80">
        <f ca="1">IFERROR(IF(0=LEN(ReferenceData!$AG$80),"",ReferenceData!$AG$80),"")</f>
        <v>12.663869951999999</v>
      </c>
      <c r="AH80">
        <f ca="1">IFERROR(IF(0=LEN(ReferenceData!$AH$80),"",ReferenceData!$AH$80),"")</f>
        <v>9.9692577950000008</v>
      </c>
      <c r="AI80">
        <f ca="1">IFERROR(IF(0=LEN(ReferenceData!$AI$80),"",ReferenceData!$AI$80),"")</f>
        <v>12.116094987</v>
      </c>
      <c r="AJ80">
        <f ca="1">IFERROR(IF(0=LEN(ReferenceData!$AJ$80),"",ReferenceData!$AJ$80),"")</f>
        <v>11.098845960999999</v>
      </c>
      <c r="AK80">
        <f ca="1">IFERROR(IF(0=LEN(ReferenceData!$AK$80),"",ReferenceData!$AK$80),"")</f>
        <v>8.8286866569999987</v>
      </c>
      <c r="AL80">
        <f ca="1">IFERROR(IF(0=LEN(ReferenceData!$AL$80),"",ReferenceData!$AL$80),"")</f>
        <v>8.4955752219999994</v>
      </c>
      <c r="AM80">
        <f ca="1">IFERROR(IF(0=LEN(ReferenceData!$AM$80),"",ReferenceData!$AM$80),"")</f>
        <v>9.9967366469999988</v>
      </c>
      <c r="AN80">
        <f ca="1">IFERROR(IF(0=LEN(ReferenceData!$AN$80),"",ReferenceData!$AN$80),"")</f>
        <v>12.552189749</v>
      </c>
      <c r="AO80">
        <f ca="1">IFERROR(IF(0=LEN(ReferenceData!$AO$80),"",ReferenceData!$AO$80),"")</f>
        <v>13.669966169</v>
      </c>
      <c r="AP80">
        <f ca="1">IFERROR(IF(0=LEN(ReferenceData!$AP$80),"",ReferenceData!$AP$80),"")</f>
        <v>10.020661156999999</v>
      </c>
      <c r="AQ80">
        <f ca="1">IFERROR(IF(0=LEN(ReferenceData!$AQ$80),"",ReferenceData!$AQ$80),"")</f>
        <v>9.7590700290000001</v>
      </c>
      <c r="AR80">
        <f ca="1">IFERROR(IF(0=LEN(ReferenceData!$AR$80),"",ReferenceData!$AR$80),"")</f>
        <v>9.6907424199999994</v>
      </c>
      <c r="AS80">
        <f ca="1">IFERROR(IF(0=LEN(ReferenceData!$AS$80),"",ReferenceData!$AS$80),"")</f>
        <v>10.864685284</v>
      </c>
    </row>
    <row r="81" spans="1:45" x14ac:dyDescent="0.25">
      <c r="A81" t="str">
        <f>IFERROR(IF(0=LEN(ReferenceData!$A$81),"",ReferenceData!$A$81),"")</f>
        <v xml:space="preserve">        Kenworth</v>
      </c>
      <c r="B81" t="str">
        <f>IFERROR(IF(0=LEN(ReferenceData!$B$81),"",ReferenceData!$B$81),"")</f>
        <v/>
      </c>
      <c r="C81" t="str">
        <f>IFERROR(IF(0=LEN(ReferenceData!$C$81),"",ReferenceData!$C$81),"")</f>
        <v/>
      </c>
      <c r="D81" t="str">
        <f>IFERROR(IF(0=LEN(ReferenceData!$D$81),"",ReferenceData!$D$81),"")</f>
        <v/>
      </c>
      <c r="E81" t="str">
        <f>IFERROR(IF(0=LEN(ReferenceData!$E$81),"",ReferenceData!$E$81),"")</f>
        <v>Expression</v>
      </c>
      <c r="F81">
        <f ca="1">IFERROR(IF(0=LEN(ReferenceData!$F$81),"",ReferenceData!$F$81),"")</f>
        <v>5.5920498570000001</v>
      </c>
      <c r="G81">
        <f ca="1">IFERROR(IF(0=LEN(ReferenceData!$G$81),"",ReferenceData!$G$81),"")</f>
        <v>6.0114163400000002</v>
      </c>
      <c r="H81">
        <f ca="1">IFERROR(IF(0=LEN(ReferenceData!$H$81),"",ReferenceData!$H$81),"")</f>
        <v>4.9028948330000004</v>
      </c>
      <c r="I81">
        <f ca="1">IFERROR(IF(0=LEN(ReferenceData!$I$81),"",ReferenceData!$I$81),"")</f>
        <v>6.3862367139999998</v>
      </c>
      <c r="J81">
        <f ca="1">IFERROR(IF(0=LEN(ReferenceData!$J$81),"",ReferenceData!$J$81),"")</f>
        <v>5.9762694119999997</v>
      </c>
      <c r="K81">
        <f ca="1">IFERROR(IF(0=LEN(ReferenceData!$K$81),"",ReferenceData!$K$81),"")</f>
        <v>6.19574157</v>
      </c>
      <c r="L81">
        <f ca="1">IFERROR(IF(0=LEN(ReferenceData!$L$81),"",ReferenceData!$L$81),"")</f>
        <v>5.780398463</v>
      </c>
      <c r="M81">
        <f ca="1">IFERROR(IF(0=LEN(ReferenceData!$M$81),"",ReferenceData!$M$81),"")</f>
        <v>4.4690714180000004</v>
      </c>
      <c r="N81">
        <f ca="1">IFERROR(IF(0=LEN(ReferenceData!$N$81),"",ReferenceData!$N$81),"")</f>
        <v>3.5868268969999999</v>
      </c>
      <c r="O81">
        <f ca="1">IFERROR(IF(0=LEN(ReferenceData!$O$81),"",ReferenceData!$O$81),"")</f>
        <v>4.4970889380000001</v>
      </c>
      <c r="P81">
        <f ca="1">IFERROR(IF(0=LEN(ReferenceData!$P$81),"",ReferenceData!$P$81),"")</f>
        <v>7.2889040979999997</v>
      </c>
      <c r="Q81">
        <f ca="1">IFERROR(IF(0=LEN(ReferenceData!$Q$81),"",ReferenceData!$Q$81),"")</f>
        <v>6.1546235469999999</v>
      </c>
      <c r="R81">
        <f ca="1">IFERROR(IF(0=LEN(ReferenceData!$R$81),"",ReferenceData!$R$81),"")</f>
        <v>6.7164876229999999</v>
      </c>
      <c r="S81">
        <f ca="1">IFERROR(IF(0=LEN(ReferenceData!$S$81),"",ReferenceData!$S$81),"")</f>
        <v>5.1147873060000002</v>
      </c>
      <c r="T81">
        <f ca="1">IFERROR(IF(0=LEN(ReferenceData!$T$81),"",ReferenceData!$T$81),"")</f>
        <v>5.5116841259999996</v>
      </c>
      <c r="U81">
        <f ca="1">IFERROR(IF(0=LEN(ReferenceData!$U$81),"",ReferenceData!$U$81),"")</f>
        <v>4.956427015</v>
      </c>
      <c r="V81">
        <f ca="1">IFERROR(IF(0=LEN(ReferenceData!$V$81),"",ReferenceData!$V$81),"")</f>
        <v>5.9876648960000001</v>
      </c>
      <c r="W81">
        <f ca="1">IFERROR(IF(0=LEN(ReferenceData!$W$81),"",ReferenceData!$W$81),"")</f>
        <v>6.0278490290000004</v>
      </c>
      <c r="X81">
        <f ca="1">IFERROR(IF(0=LEN(ReferenceData!$X$81),"",ReferenceData!$X$81),"")</f>
        <v>5.5712769719999997</v>
      </c>
      <c r="Y81">
        <f ca="1">IFERROR(IF(0=LEN(ReferenceData!$Y$81),"",ReferenceData!$Y$81),"")</f>
        <v>4.939400869</v>
      </c>
      <c r="Z81">
        <f ca="1">IFERROR(IF(0=LEN(ReferenceData!$Z$81),"",ReferenceData!$Z$81),"")</f>
        <v>4.090949781</v>
      </c>
      <c r="AA81">
        <f ca="1">IFERROR(IF(0=LEN(ReferenceData!$AA$81),"",ReferenceData!$AA$81),"")</f>
        <v>4.3177892919999996</v>
      </c>
      <c r="AB81">
        <f ca="1">IFERROR(IF(0=LEN(ReferenceData!$AB$81),"",ReferenceData!$AB$81),"")</f>
        <v>7.3633385069999999</v>
      </c>
      <c r="AC81">
        <f ca="1">IFERROR(IF(0=LEN(ReferenceData!$AC$81),"",ReferenceData!$AC$81),"")</f>
        <v>6.5611074240000002</v>
      </c>
      <c r="AD81">
        <f ca="1">IFERROR(IF(0=LEN(ReferenceData!$AD$81),"",ReferenceData!$AD$81),"")</f>
        <v>5.6738768720000001</v>
      </c>
      <c r="AE81">
        <f ca="1">IFERROR(IF(0=LEN(ReferenceData!$AE$81),"",ReferenceData!$AE$81),"")</f>
        <v>6.6684836919999997</v>
      </c>
      <c r="AF81">
        <f ca="1">IFERROR(IF(0=LEN(ReferenceData!$AF$81),"",ReferenceData!$AF$81),"")</f>
        <v>7.8683834050000003</v>
      </c>
      <c r="AG81">
        <f ca="1">IFERROR(IF(0=LEN(ReferenceData!$AG$81),"",ReferenceData!$AG$81),"")</f>
        <v>7.2102779229999996</v>
      </c>
      <c r="AH81">
        <f ca="1">IFERROR(IF(0=LEN(ReferenceData!$AH$81),"",ReferenceData!$AH$81),"")</f>
        <v>4.6288976719999999</v>
      </c>
      <c r="AI81">
        <f ca="1">IFERROR(IF(0=LEN(ReferenceData!$AI$81),"",ReferenceData!$AI$81),"")</f>
        <v>6.5857519790000003</v>
      </c>
      <c r="AJ81">
        <f ca="1">IFERROR(IF(0=LEN(ReferenceData!$AJ$81),"",ReferenceData!$AJ$81),"")</f>
        <v>5.1781234319999996</v>
      </c>
      <c r="AK81">
        <f ca="1">IFERROR(IF(0=LEN(ReferenceData!$AK$81),"",ReferenceData!$AK$81),"")</f>
        <v>4.1995440999999998</v>
      </c>
      <c r="AL81">
        <f ca="1">IFERROR(IF(0=LEN(ReferenceData!$AL$81),"",ReferenceData!$AL$81),"")</f>
        <v>4.3584070800000001</v>
      </c>
      <c r="AM81">
        <f ca="1">IFERROR(IF(0=LEN(ReferenceData!$AM$81),"",ReferenceData!$AM$81),"")</f>
        <v>5.4824322849999998</v>
      </c>
      <c r="AN81">
        <f ca="1">IFERROR(IF(0=LEN(ReferenceData!$AN$81),"",ReferenceData!$AN$81),"")</f>
        <v>7.213289509</v>
      </c>
      <c r="AO81">
        <f ca="1">IFERROR(IF(0=LEN(ReferenceData!$AO$81),"",ReferenceData!$AO$81),"")</f>
        <v>7.0166645780000003</v>
      </c>
      <c r="AP81">
        <f ca="1">IFERROR(IF(0=LEN(ReferenceData!$AP$81),"",ReferenceData!$AP$81),"")</f>
        <v>5.2967693459999996</v>
      </c>
      <c r="AQ81">
        <f ca="1">IFERROR(IF(0=LEN(ReferenceData!$AQ$81),"",ReferenceData!$AQ$81),"")</f>
        <v>5.4279553759999999</v>
      </c>
      <c r="AR81">
        <f ca="1">IFERROR(IF(0=LEN(ReferenceData!$AR$81),"",ReferenceData!$AR$81),"")</f>
        <v>5.1777979250000001</v>
      </c>
      <c r="AS81">
        <f ca="1">IFERROR(IF(0=LEN(ReferenceData!$AS$81),"",ReferenceData!$AS$81),"")</f>
        <v>6.491873934</v>
      </c>
    </row>
    <row r="82" spans="1:45" x14ac:dyDescent="0.25">
      <c r="A82" t="str">
        <f>IFERROR(IF(0=LEN(ReferenceData!$A$82),"",ReferenceData!$A$82),"")</f>
        <v xml:space="preserve">        Peterbilt</v>
      </c>
      <c r="B82" t="str">
        <f>IFERROR(IF(0=LEN(ReferenceData!$B$82),"",ReferenceData!$B$82),"")</f>
        <v/>
      </c>
      <c r="C82" t="str">
        <f>IFERROR(IF(0=LEN(ReferenceData!$C$82),"",ReferenceData!$C$82),"")</f>
        <v/>
      </c>
      <c r="D82" t="str">
        <f>IFERROR(IF(0=LEN(ReferenceData!$D$82),"",ReferenceData!$D$82),"")</f>
        <v/>
      </c>
      <c r="E82" t="str">
        <f>IFERROR(IF(0=LEN(ReferenceData!$E$82),"",ReferenceData!$E$82),"")</f>
        <v>Expression</v>
      </c>
      <c r="F82">
        <f ca="1">IFERROR(IF(0=LEN(ReferenceData!$F$82),"",ReferenceData!$F$82),"")</f>
        <v>5.9373420919999997</v>
      </c>
      <c r="G82">
        <f ca="1">IFERROR(IF(0=LEN(ReferenceData!$G$82),"",ReferenceData!$G$82),"")</f>
        <v>4.9946485909999998</v>
      </c>
      <c r="H82">
        <f ca="1">IFERROR(IF(0=LEN(ReferenceData!$H$82),"",ReferenceData!$H$82),"")</f>
        <v>4.0527665810000002</v>
      </c>
      <c r="I82">
        <f ca="1">IFERROR(IF(0=LEN(ReferenceData!$I$82),"",ReferenceData!$I$82),"")</f>
        <v>4.9810844889999997</v>
      </c>
      <c r="J82">
        <f ca="1">IFERROR(IF(0=LEN(ReferenceData!$J$82),"",ReferenceData!$J$82),"")</f>
        <v>4.4931076599999997</v>
      </c>
      <c r="K82">
        <f ca="1">IFERROR(IF(0=LEN(ReferenceData!$K$82),"",ReferenceData!$K$82),"")</f>
        <v>5.4920954030000004</v>
      </c>
      <c r="L82">
        <f ca="1">IFERROR(IF(0=LEN(ReferenceData!$L$82),"",ReferenceData!$L$82),"")</f>
        <v>4.1722505139999999</v>
      </c>
      <c r="M82">
        <f ca="1">IFERROR(IF(0=LEN(ReferenceData!$M$82),"",ReferenceData!$M$82),"")</f>
        <v>4.3893959149999997</v>
      </c>
      <c r="N82">
        <f ca="1">IFERROR(IF(0=LEN(ReferenceData!$N$82),"",ReferenceData!$N$82),"")</f>
        <v>4.1188881750000004</v>
      </c>
      <c r="O82">
        <f ca="1">IFERROR(IF(0=LEN(ReferenceData!$O$82),"",ReferenceData!$O$82),"")</f>
        <v>3.814495081</v>
      </c>
      <c r="P82">
        <f ca="1">IFERROR(IF(0=LEN(ReferenceData!$P$82),"",ReferenceData!$P$82),"")</f>
        <v>6.467619129</v>
      </c>
      <c r="Q82">
        <f ca="1">IFERROR(IF(0=LEN(ReferenceData!$Q$82),"",ReferenceData!$Q$82),"")</f>
        <v>4.8913592719999999</v>
      </c>
      <c r="R82">
        <f ca="1">IFERROR(IF(0=LEN(ReferenceData!$R$82),"",ReferenceData!$R$82),"")</f>
        <v>5.2872489490000003</v>
      </c>
      <c r="S82">
        <f ca="1">IFERROR(IF(0=LEN(ReferenceData!$S$82),"",ReferenceData!$S$82),"")</f>
        <v>4.7096556380000001</v>
      </c>
      <c r="T82">
        <f ca="1">IFERROR(IF(0=LEN(ReferenceData!$T$82),"",ReferenceData!$T$82),"")</f>
        <v>4.1418211119999997</v>
      </c>
      <c r="U82">
        <f ca="1">IFERROR(IF(0=LEN(ReferenceData!$U$82),"",ReferenceData!$U$82),"")</f>
        <v>4.7748729120000002</v>
      </c>
      <c r="V82">
        <f ca="1">IFERROR(IF(0=LEN(ReferenceData!$V$82),"",ReferenceData!$V$82),"")</f>
        <v>5.0796642109999999</v>
      </c>
      <c r="W82">
        <f ca="1">IFERROR(IF(0=LEN(ReferenceData!$W$82),"",ReferenceData!$W$82),"")</f>
        <v>4.4430194209999998</v>
      </c>
      <c r="X82">
        <f ca="1">IFERROR(IF(0=LEN(ReferenceData!$X$82),"",ReferenceData!$X$82),"")</f>
        <v>4.8195967460000002</v>
      </c>
      <c r="Y82">
        <f ca="1">IFERROR(IF(0=LEN(ReferenceData!$Y$82),"",ReferenceData!$Y$82),"")</f>
        <v>4.3905785499999999</v>
      </c>
      <c r="Z82">
        <f ca="1">IFERROR(IF(0=LEN(ReferenceData!$Z$82),"",ReferenceData!$Z$82),"")</f>
        <v>4.5743442840000004</v>
      </c>
      <c r="AA82">
        <f ca="1">IFERROR(IF(0=LEN(ReferenceData!$AA$82),"",ReferenceData!$AA$82),"")</f>
        <v>4.8562430150000004</v>
      </c>
      <c r="AB82">
        <f ca="1">IFERROR(IF(0=LEN(ReferenceData!$AB$82),"",ReferenceData!$AB$82),"")</f>
        <v>6.1562338329999999</v>
      </c>
      <c r="AC82">
        <f ca="1">IFERROR(IF(0=LEN(ReferenceData!$AC$82),"",ReferenceData!$AC$82),"")</f>
        <v>4.9018678299999996</v>
      </c>
      <c r="AD82">
        <f ca="1">IFERROR(IF(0=LEN(ReferenceData!$AD$82),"",ReferenceData!$AD$82),"")</f>
        <v>4.5091514139999997</v>
      </c>
      <c r="AE82">
        <f ca="1">IFERROR(IF(0=LEN(ReferenceData!$AE$82),"",ReferenceData!$AE$82),"")</f>
        <v>6.504951395</v>
      </c>
      <c r="AF82">
        <f ca="1">IFERROR(IF(0=LEN(ReferenceData!$AF$82),"",ReferenceData!$AF$82),"")</f>
        <v>5.3648068670000004</v>
      </c>
      <c r="AG82">
        <f ca="1">IFERROR(IF(0=LEN(ReferenceData!$AG$82),"",ReferenceData!$AG$82),"")</f>
        <v>5.4535920290000002</v>
      </c>
      <c r="AH82">
        <f ca="1">IFERROR(IF(0=LEN(ReferenceData!$AH$82),"",ReferenceData!$AH$82),"")</f>
        <v>5.340360123</v>
      </c>
      <c r="AI82">
        <f ca="1">IFERROR(IF(0=LEN(ReferenceData!$AI$82),"",ReferenceData!$AI$82),"")</f>
        <v>5.530343008</v>
      </c>
      <c r="AJ82">
        <f ca="1">IFERROR(IF(0=LEN(ReferenceData!$AJ$82),"",ReferenceData!$AJ$82),"")</f>
        <v>5.9207225289999998</v>
      </c>
      <c r="AK82">
        <f ca="1">IFERROR(IF(0=LEN(ReferenceData!$AK$82),"",ReferenceData!$AK$82),"")</f>
        <v>4.6291425569999998</v>
      </c>
      <c r="AL82">
        <f ca="1">IFERROR(IF(0=LEN(ReferenceData!$AL$82),"",ReferenceData!$AL$82),"")</f>
        <v>4.1371681420000002</v>
      </c>
      <c r="AM82">
        <f ca="1">IFERROR(IF(0=LEN(ReferenceData!$AM$82),"",ReferenceData!$AM$82),"")</f>
        <v>4.5143043619999998</v>
      </c>
      <c r="AN82">
        <f ca="1">IFERROR(IF(0=LEN(ReferenceData!$AN$82),"",ReferenceData!$AN$82),"")</f>
        <v>5.3389002400000001</v>
      </c>
      <c r="AO82">
        <f ca="1">IFERROR(IF(0=LEN(ReferenceData!$AO$82),"",ReferenceData!$AO$82),"")</f>
        <v>6.653301591</v>
      </c>
      <c r="AP82">
        <f ca="1">IFERROR(IF(0=LEN(ReferenceData!$AP$82),"",ReferenceData!$AP$82),"")</f>
        <v>4.7238918109999997</v>
      </c>
      <c r="AQ82">
        <f ca="1">IFERROR(IF(0=LEN(ReferenceData!$AQ$82),"",ReferenceData!$AQ$82),"")</f>
        <v>4.3311146530000002</v>
      </c>
      <c r="AR82">
        <f ca="1">IFERROR(IF(0=LEN(ReferenceData!$AR$82),"",ReferenceData!$AR$82),"")</f>
        <v>4.5129444950000002</v>
      </c>
      <c r="AS82">
        <f ca="1">IFERROR(IF(0=LEN(ReferenceData!$AS$82),"",ReferenceData!$AS$82),"")</f>
        <v>4.3728113500000001</v>
      </c>
    </row>
    <row r="83" spans="1:45" x14ac:dyDescent="0.25">
      <c r="A83" t="str">
        <f>IFERROR(IF(0=LEN(ReferenceData!$A$83),"",ReferenceData!$A$83),"")</f>
        <v xml:space="preserve">    Ford</v>
      </c>
      <c r="B83" t="str">
        <f>IFERROR(IF(0=LEN(ReferenceData!$B$83),"",ReferenceData!$B$83),"")</f>
        <v/>
      </c>
      <c r="C83" t="str">
        <f>IFERROR(IF(0=LEN(ReferenceData!$C$83),"",ReferenceData!$C$83),"")</f>
        <v/>
      </c>
      <c r="D83" t="str">
        <f>IFERROR(IF(0=LEN(ReferenceData!$D$83),"",ReferenceData!$D$83),"")</f>
        <v/>
      </c>
      <c r="E83" t="str">
        <f>IFERROR(IF(0=LEN(ReferenceData!$E$83),"",ReferenceData!$E$83),"")</f>
        <v>Expression</v>
      </c>
      <c r="F83">
        <f ca="1">IFERROR(IF(0=LEN(ReferenceData!$F$83),"",ReferenceData!$F$83),"")</f>
        <v>13.348492500000001</v>
      </c>
      <c r="G83">
        <f ca="1">IFERROR(IF(0=LEN(ReferenceData!$G$83),"",ReferenceData!$G$83),"")</f>
        <v>12.50445951</v>
      </c>
      <c r="H83">
        <f ca="1">IFERROR(IF(0=LEN(ReferenceData!$H$83),"",ReferenceData!$H$83),"")</f>
        <v>13.34554782</v>
      </c>
      <c r="I83">
        <f ca="1">IFERROR(IF(0=LEN(ReferenceData!$I$83),"",ReferenceData!$I$83),"")</f>
        <v>13.41199784</v>
      </c>
      <c r="J83">
        <f ca="1">IFERROR(IF(0=LEN(ReferenceData!$J$83),"",ReferenceData!$J$83),"")</f>
        <v>16.637585059999999</v>
      </c>
      <c r="K83">
        <f ca="1">IFERROR(IF(0=LEN(ReferenceData!$K$83),"",ReferenceData!$K$83),"")</f>
        <v>11.687836969999999</v>
      </c>
      <c r="L83">
        <f ca="1">IFERROR(IF(0=LEN(ReferenceData!$L$83),"",ReferenceData!$L$83),"")</f>
        <v>18.68131868</v>
      </c>
      <c r="M83">
        <f ca="1">IFERROR(IF(0=LEN(ReferenceData!$M$83),"",ReferenceData!$M$83),"")</f>
        <v>17.405475880000001</v>
      </c>
      <c r="N83">
        <f ca="1">IFERROR(IF(0=LEN(ReferenceData!$N$83),"",ReferenceData!$N$83),"")</f>
        <v>16.78745069</v>
      </c>
      <c r="O83">
        <f ca="1">IFERROR(IF(0=LEN(ReferenceData!$O$83),"",ReferenceData!$O$83),"")</f>
        <v>22.304758079999999</v>
      </c>
      <c r="P83">
        <f ca="1">IFERROR(IF(0=LEN(ReferenceData!$P$83),"",ReferenceData!$P$83),"")</f>
        <v>26.16990333</v>
      </c>
      <c r="Q83">
        <f ca="1">IFERROR(IF(0=LEN(ReferenceData!$Q$83),"",ReferenceData!$Q$83),"")</f>
        <v>22.19302678</v>
      </c>
      <c r="R83">
        <f ca="1">IFERROR(IF(0=LEN(ReferenceData!$R$83),"",ReferenceData!$R$83),"")</f>
        <v>17.197571230000001</v>
      </c>
      <c r="S83">
        <f ca="1">IFERROR(IF(0=LEN(ReferenceData!$S$83),"",ReferenceData!$S$83),"")</f>
        <v>14.34841323</v>
      </c>
      <c r="T83">
        <f ca="1">IFERROR(IF(0=LEN(ReferenceData!$T$83),"",ReferenceData!$T$83),"")</f>
        <v>13.32796132</v>
      </c>
      <c r="U83">
        <f ca="1">IFERROR(IF(0=LEN(ReferenceData!$U$83),"",ReferenceData!$U$83),"")</f>
        <v>16.00399419</v>
      </c>
      <c r="V83">
        <f ca="1">IFERROR(IF(0=LEN(ReferenceData!$V$83),"",ReferenceData!$V$83),"")</f>
        <v>15.418879560000001</v>
      </c>
      <c r="W83">
        <f ca="1">IFERROR(IF(0=LEN(ReferenceData!$W$83),"",ReferenceData!$W$83),"")</f>
        <v>17.781238550000001</v>
      </c>
      <c r="X83">
        <f ca="1">IFERROR(IF(0=LEN(ReferenceData!$X$83),"",ReferenceData!$X$83),"")</f>
        <v>22.97488504</v>
      </c>
      <c r="Y83">
        <f ca="1">IFERROR(IF(0=LEN(ReferenceData!$Y$83),"",ReferenceData!$Y$83),"")</f>
        <v>21.388825369999999</v>
      </c>
      <c r="Z83">
        <f ca="1">IFERROR(IF(0=LEN(ReferenceData!$Z$83),"",ReferenceData!$Z$83),"")</f>
        <v>16.068391370000001</v>
      </c>
      <c r="AA83">
        <f ca="1">IFERROR(IF(0=LEN(ReferenceData!$AA$83),"",ReferenceData!$AA$83),"")</f>
        <v>18.398862139999999</v>
      </c>
      <c r="AB83">
        <f ca="1">IFERROR(IF(0=LEN(ReferenceData!$AB$83),"",ReferenceData!$AB$83),"")</f>
        <v>21.538196240000001</v>
      </c>
      <c r="AC83">
        <f ca="1">IFERROR(IF(0=LEN(ReferenceData!$AC$83),"",ReferenceData!$AC$83),"")</f>
        <v>15.62529629</v>
      </c>
      <c r="AD83">
        <f ca="1">IFERROR(IF(0=LEN(ReferenceData!$AD$83),"",ReferenceData!$AD$83),"")</f>
        <v>14.61730449</v>
      </c>
      <c r="AE83">
        <f ca="1">IFERROR(IF(0=LEN(ReferenceData!$AE$83),"",ReferenceData!$AE$83),"")</f>
        <v>8.7126374129999995</v>
      </c>
      <c r="AF83">
        <f ca="1">IFERROR(IF(0=LEN(ReferenceData!$AF$83),"",ReferenceData!$AF$83),"")</f>
        <v>8.6999284689999996</v>
      </c>
      <c r="AG83">
        <f ca="1">IFERROR(IF(0=LEN(ReferenceData!$AG$83),"",ReferenceData!$AG$83),"")</f>
        <v>11.405348719999999</v>
      </c>
      <c r="AH83">
        <f ca="1">IFERROR(IF(0=LEN(ReferenceData!$AH$83),"",ReferenceData!$AH$83),"")</f>
        <v>12.92050944</v>
      </c>
      <c r="AI83">
        <f ca="1">IFERROR(IF(0=LEN(ReferenceData!$AI$83),"",ReferenceData!$AI$83),"")</f>
        <v>13.319261210000001</v>
      </c>
      <c r="AJ83">
        <f ca="1">IFERROR(IF(0=LEN(ReferenceData!$AJ$83),"",ReferenceData!$AJ$83),"")</f>
        <v>13.96889112</v>
      </c>
      <c r="AK83">
        <f ca="1">IFERROR(IF(0=LEN(ReferenceData!$AK$83),"",ReferenceData!$AK$83),"")</f>
        <v>14.51867438</v>
      </c>
      <c r="AL83">
        <f ca="1">IFERROR(IF(0=LEN(ReferenceData!$AL$83),"",ReferenceData!$AL$83),"")</f>
        <v>15.01106195</v>
      </c>
      <c r="AM83">
        <f ca="1">IFERROR(IF(0=LEN(ReferenceData!$AM$83),"",ReferenceData!$AM$83),"")</f>
        <v>16.066572390000001</v>
      </c>
      <c r="AN83">
        <f ca="1">IFERROR(IF(0=LEN(ReferenceData!$AN$83),"",ReferenceData!$AN$83),"")</f>
        <v>18.823842939999999</v>
      </c>
      <c r="AO83">
        <f ca="1">IFERROR(IF(0=LEN(ReferenceData!$AO$83),"",ReferenceData!$AO$83),"")</f>
        <v>16.501691520000001</v>
      </c>
      <c r="AP83">
        <f ca="1">IFERROR(IF(0=LEN(ReferenceData!$AP$83),"",ReferenceData!$AP$83),"")</f>
        <v>15.36438768</v>
      </c>
      <c r="AQ83">
        <f ca="1">IFERROR(IF(0=LEN(ReferenceData!$AQ$83),"",ReferenceData!$AQ$83),"")</f>
        <v>13.75269523</v>
      </c>
      <c r="AR83">
        <f ca="1">IFERROR(IF(0=LEN(ReferenceData!$AR$83),"",ReferenceData!$AR$83),"")</f>
        <v>13.21648031</v>
      </c>
      <c r="AS83">
        <f ca="1">IFERROR(IF(0=LEN(ReferenceData!$AS$83),"",ReferenceData!$AS$83),"")</f>
        <v>10.909580679999999</v>
      </c>
    </row>
    <row r="84" spans="1:45" x14ac:dyDescent="0.25">
      <c r="A84" t="str">
        <f>IFERROR(IF(0=LEN(ReferenceData!$A$84),"",ReferenceData!$A$84),"")</f>
        <v xml:space="preserve">    Hino</v>
      </c>
      <c r="B84" t="str">
        <f>IFERROR(IF(0=LEN(ReferenceData!$B$84),"",ReferenceData!$B$84),"")</f>
        <v/>
      </c>
      <c r="C84" t="str">
        <f>IFERROR(IF(0=LEN(ReferenceData!$C$84),"",ReferenceData!$C$84),"")</f>
        <v/>
      </c>
      <c r="D84" t="str">
        <f>IFERROR(IF(0=LEN(ReferenceData!$D$84),"",ReferenceData!$D$84),"")</f>
        <v/>
      </c>
      <c r="E84" t="str">
        <f>IFERROR(IF(0=LEN(ReferenceData!$E$84),"",ReferenceData!$E$84),"")</f>
        <v>Expression</v>
      </c>
      <c r="F84">
        <f ca="1">IFERROR(IF(0=LEN(ReferenceData!$F$84),"",ReferenceData!$F$84),"")</f>
        <v>7.0153276069999997</v>
      </c>
      <c r="G84">
        <f ca="1">IFERROR(IF(0=LEN(ReferenceData!$G$84),"",ReferenceData!$G$84),"")</f>
        <v>7.6257581160000001</v>
      </c>
      <c r="H84">
        <f ca="1">IFERROR(IF(0=LEN(ReferenceData!$H$84),"",ReferenceData!$H$84),"")</f>
        <v>6.4199340420000004</v>
      </c>
      <c r="I84">
        <f ca="1">IFERROR(IF(0=LEN(ReferenceData!$I$84),"",ReferenceData!$I$84),"")</f>
        <v>6.9987389660000003</v>
      </c>
      <c r="J84">
        <f ca="1">IFERROR(IF(0=LEN(ReferenceData!$J$84),"",ReferenceData!$J$84),"")</f>
        <v>8.5499912760000001</v>
      </c>
      <c r="K84">
        <f ca="1">IFERROR(IF(0=LEN(ReferenceData!$K$84),"",ReferenceData!$K$84),"")</f>
        <v>7.7583843549999996</v>
      </c>
      <c r="L84">
        <f ca="1">IFERROR(IF(0=LEN(ReferenceData!$L$84),"",ReferenceData!$L$84),"")</f>
        <v>6.5844724379999997</v>
      </c>
      <c r="M84">
        <f ca="1">IFERROR(IF(0=LEN(ReferenceData!$M$84),"",ReferenceData!$M$84),"")</f>
        <v>7.7212806030000003</v>
      </c>
      <c r="N84">
        <f ca="1">IFERROR(IF(0=LEN(ReferenceData!$N$84),"",ReferenceData!$N$84),"")</f>
        <v>7.201174204</v>
      </c>
      <c r="O84">
        <f ca="1">IFERROR(IF(0=LEN(ReferenceData!$O$84),"",ReferenceData!$O$84),"")</f>
        <v>7.0568159000000001</v>
      </c>
      <c r="P84">
        <f ca="1">IFERROR(IF(0=LEN(ReferenceData!$P$84),"",ReferenceData!$P$84),"")</f>
        <v>8.0759688599999997</v>
      </c>
      <c r="Q84">
        <f ca="1">IFERROR(IF(0=LEN(ReferenceData!$Q$84),"",ReferenceData!$Q$84),"")</f>
        <v>9.4896412330000004</v>
      </c>
      <c r="R84">
        <f ca="1">IFERROR(IF(0=LEN(ReferenceData!$R$84),"",ReferenceData!$R$84),"")</f>
        <v>7.4170948159999996</v>
      </c>
      <c r="S84">
        <f ca="1">IFERROR(IF(0=LEN(ReferenceData!$S$84),"",ReferenceData!$S$84),"")</f>
        <v>7.2586090480000003</v>
      </c>
      <c r="T84">
        <f ca="1">IFERROR(IF(0=LEN(ReferenceData!$T$84),"",ReferenceData!$T$84),"")</f>
        <v>6.4061240929999999</v>
      </c>
      <c r="U84">
        <f ca="1">IFERROR(IF(0=LEN(ReferenceData!$U$84),"",ReferenceData!$U$84),"")</f>
        <v>7.071532317</v>
      </c>
      <c r="V84">
        <f ca="1">IFERROR(IF(0=LEN(ReferenceData!$V$84),"",ReferenceData!$V$84),"")</f>
        <v>7.9150248420000002</v>
      </c>
      <c r="W84">
        <f ca="1">IFERROR(IF(0=LEN(ReferenceData!$W$84),"",ReferenceData!$W$84),"")</f>
        <v>8.4554781969999997</v>
      </c>
      <c r="X84">
        <f ca="1">IFERROR(IF(0=LEN(ReferenceData!$X$84),"",ReferenceData!$X$84),"")</f>
        <v>6.1991510439999997</v>
      </c>
      <c r="Y84">
        <f ca="1">IFERROR(IF(0=LEN(ReferenceData!$Y$84),"",ReferenceData!$Y$84),"")</f>
        <v>11.372818049999999</v>
      </c>
      <c r="Z84">
        <f ca="1">IFERROR(IF(0=LEN(ReferenceData!$Z$84),"",ReferenceData!$Z$84),"")</f>
        <v>7.9043953089999999</v>
      </c>
      <c r="AA84">
        <f ca="1">IFERROR(IF(0=LEN(ReferenceData!$AA$84),"",ReferenceData!$AA$84),"")</f>
        <v>7.396119069</v>
      </c>
      <c r="AB84">
        <f ca="1">IFERROR(IF(0=LEN(ReferenceData!$AB$84),"",ReferenceData!$AB$84),"")</f>
        <v>10.863942059999999</v>
      </c>
      <c r="AC84">
        <f ca="1">IFERROR(IF(0=LEN(ReferenceData!$AC$84),"",ReferenceData!$AC$84),"")</f>
        <v>8.3056793399999993</v>
      </c>
      <c r="AD84">
        <f ca="1">IFERROR(IF(0=LEN(ReferenceData!$AD$84),"",ReferenceData!$AD$84),"")</f>
        <v>8.069883527</v>
      </c>
      <c r="AE84">
        <f ca="1">IFERROR(IF(0=LEN(ReferenceData!$AE$84),"",ReferenceData!$AE$84),"")</f>
        <v>8.3764876899999994</v>
      </c>
      <c r="AF84">
        <f ca="1">IFERROR(IF(0=LEN(ReferenceData!$AF$84),"",ReferenceData!$AF$84),"")</f>
        <v>8.1455650930000001</v>
      </c>
      <c r="AG84">
        <f ca="1">IFERROR(IF(0=LEN(ReferenceData!$AG$84),"",ReferenceData!$AG$84),"")</f>
        <v>7.7608809650000001</v>
      </c>
      <c r="AH84">
        <f ca="1">IFERROR(IF(0=LEN(ReferenceData!$AH$84),"",ReferenceData!$AH$84),"")</f>
        <v>7.8612209049999997</v>
      </c>
      <c r="AI84">
        <f ca="1">IFERROR(IF(0=LEN(ReferenceData!$AI$84),"",ReferenceData!$AI$84),"")</f>
        <v>7.5778364119999999</v>
      </c>
      <c r="AJ84">
        <f ca="1">IFERROR(IF(0=LEN(ReferenceData!$AJ$84),"",ReferenceData!$AJ$84),"")</f>
        <v>8.0983442050000001</v>
      </c>
      <c r="AK84">
        <f ca="1">IFERROR(IF(0=LEN(ReferenceData!$AK$84),"",ReferenceData!$AK$84),"")</f>
        <v>12.274241630000001</v>
      </c>
      <c r="AL84">
        <f ca="1">IFERROR(IF(0=LEN(ReferenceData!$AL$84),"",ReferenceData!$AL$84),"")</f>
        <v>8.6283185840000005</v>
      </c>
      <c r="AM84">
        <f ca="1">IFERROR(IF(0=LEN(ReferenceData!$AM$84),"",ReferenceData!$AM$84),"")</f>
        <v>6.4179266830000001</v>
      </c>
      <c r="AN84">
        <f ca="1">IFERROR(IF(0=LEN(ReferenceData!$AN$84),"",ReferenceData!$AN$84),"")</f>
        <v>12.2412721</v>
      </c>
      <c r="AO84">
        <f ca="1">IFERROR(IF(0=LEN(ReferenceData!$AO$84),"",ReferenceData!$AO$84),"")</f>
        <v>10.600175419999999</v>
      </c>
      <c r="AP84">
        <f ca="1">IFERROR(IF(0=LEN(ReferenceData!$AP$84),"",ReferenceData!$AP$84),"")</f>
        <v>7.1844477839999996</v>
      </c>
      <c r="AQ84">
        <f ca="1">IFERROR(IF(0=LEN(ReferenceData!$AQ$84),"",ReferenceData!$AQ$84),"")</f>
        <v>6.9372832100000004</v>
      </c>
      <c r="AR84">
        <f ca="1">IFERROR(IF(0=LEN(ReferenceData!$AR$84),"",ReferenceData!$AR$84),"")</f>
        <v>7.3133877299999996</v>
      </c>
      <c r="AS84">
        <f ca="1">IFERROR(IF(0=LEN(ReferenceData!$AS$84),"",ReferenceData!$AS$84),"")</f>
        <v>6.2853551230000004</v>
      </c>
    </row>
    <row r="85" spans="1:45" x14ac:dyDescent="0.25">
      <c r="A85" t="str">
        <f>IFERROR(IF(0=LEN(ReferenceData!$A$85),"",ReferenceData!$A$85),"")</f>
        <v xml:space="preserve">    Volvo</v>
      </c>
      <c r="B85" t="str">
        <f>IFERROR(IF(0=LEN(ReferenceData!$B$85),"",ReferenceData!$B$85),"")</f>
        <v/>
      </c>
      <c r="C85" t="str">
        <f>IFERROR(IF(0=LEN(ReferenceData!$C$85),"",ReferenceData!$C$85),"")</f>
        <v/>
      </c>
      <c r="D85" t="str">
        <f>IFERROR(IF(0=LEN(ReferenceData!$D$85),"",ReferenceData!$D$85),"")</f>
        <v/>
      </c>
      <c r="E85" t="str">
        <f>IFERROR(IF(0=LEN(ReferenceData!$E$85),"",ReferenceData!$E$85),"")</f>
        <v>Sum</v>
      </c>
      <c r="F85" t="str">
        <f ca="1">IFERROR(IF(0=LEN(ReferenceData!$F$85),"",ReferenceData!$F$85),"")</f>
        <v/>
      </c>
      <c r="G85" t="str">
        <f ca="1">IFERROR(IF(0=LEN(ReferenceData!$G$85),"",ReferenceData!$G$85),"")</f>
        <v/>
      </c>
      <c r="H85" t="str">
        <f ca="1">IFERROR(IF(0=LEN(ReferenceData!$H$85),"",ReferenceData!$H$85),"")</f>
        <v/>
      </c>
      <c r="I85" t="str">
        <f ca="1">IFERROR(IF(0=LEN(ReferenceData!$I$85),"",ReferenceData!$I$85),"")</f>
        <v/>
      </c>
      <c r="J85" t="str">
        <f ca="1">IFERROR(IF(0=LEN(ReferenceData!$J$85),"",ReferenceData!$J$85),"")</f>
        <v/>
      </c>
      <c r="K85" t="str">
        <f ca="1">IFERROR(IF(0=LEN(ReferenceData!$K$85),"",ReferenceData!$K$85),"")</f>
        <v/>
      </c>
      <c r="L85" t="str">
        <f ca="1">IFERROR(IF(0=LEN(ReferenceData!$L$85),"",ReferenceData!$L$85),"")</f>
        <v/>
      </c>
      <c r="M85" t="str">
        <f ca="1">IFERROR(IF(0=LEN(ReferenceData!$M$85),"",ReferenceData!$M$85),"")</f>
        <v/>
      </c>
      <c r="N85" t="str">
        <f ca="1">IFERROR(IF(0=LEN(ReferenceData!$N$85),"",ReferenceData!$N$85),"")</f>
        <v/>
      </c>
      <c r="O85" t="str">
        <f ca="1">IFERROR(IF(0=LEN(ReferenceData!$O$85),"",ReferenceData!$O$85),"")</f>
        <v/>
      </c>
      <c r="P85" t="str">
        <f ca="1">IFERROR(IF(0=LEN(ReferenceData!$P$85),"",ReferenceData!$P$85),"")</f>
        <v/>
      </c>
      <c r="Q85" t="str">
        <f ca="1">IFERROR(IF(0=LEN(ReferenceData!$Q$85),"",ReferenceData!$Q$85),"")</f>
        <v/>
      </c>
      <c r="R85" t="str">
        <f ca="1">IFERROR(IF(0=LEN(ReferenceData!$R$85),"",ReferenceData!$R$85),"")</f>
        <v/>
      </c>
      <c r="S85" t="str">
        <f ca="1">IFERROR(IF(0=LEN(ReferenceData!$S$85),"",ReferenceData!$S$85),"")</f>
        <v/>
      </c>
      <c r="T85" t="str">
        <f ca="1">IFERROR(IF(0=LEN(ReferenceData!$T$85),"",ReferenceData!$T$85),"")</f>
        <v/>
      </c>
      <c r="U85" t="str">
        <f ca="1">IFERROR(IF(0=LEN(ReferenceData!$U$85),"",ReferenceData!$U$85),"")</f>
        <v/>
      </c>
      <c r="V85" t="str">
        <f ca="1">IFERROR(IF(0=LEN(ReferenceData!$V$85),"",ReferenceData!$V$85),"")</f>
        <v/>
      </c>
      <c r="W85" t="str">
        <f ca="1">IFERROR(IF(0=LEN(ReferenceData!$W$85),"",ReferenceData!$W$85),"")</f>
        <v/>
      </c>
      <c r="X85" t="str">
        <f ca="1">IFERROR(IF(0=LEN(ReferenceData!$X$85),"",ReferenceData!$X$85),"")</f>
        <v/>
      </c>
      <c r="Y85" t="str">
        <f ca="1">IFERROR(IF(0=LEN(ReferenceData!$Y$85),"",ReferenceData!$Y$85),"")</f>
        <v/>
      </c>
      <c r="Z85" t="str">
        <f ca="1">IFERROR(IF(0=LEN(ReferenceData!$Z$85),"",ReferenceData!$Z$85),"")</f>
        <v/>
      </c>
      <c r="AA85" t="str">
        <f ca="1">IFERROR(IF(0=LEN(ReferenceData!$AA$85),"",ReferenceData!$AA$85),"")</f>
        <v/>
      </c>
      <c r="AB85" t="str">
        <f ca="1">IFERROR(IF(0=LEN(ReferenceData!$AB$85),"",ReferenceData!$AB$85),"")</f>
        <v/>
      </c>
      <c r="AC85" t="str">
        <f ca="1">IFERROR(IF(0=LEN(ReferenceData!$AC$85),"",ReferenceData!$AC$85),"")</f>
        <v/>
      </c>
      <c r="AD85" t="str">
        <f ca="1">IFERROR(IF(0=LEN(ReferenceData!$AD$85),"",ReferenceData!$AD$85),"")</f>
        <v/>
      </c>
      <c r="AE85" t="str">
        <f ca="1">IFERROR(IF(0=LEN(ReferenceData!$AE$85),"",ReferenceData!$AE$85),"")</f>
        <v/>
      </c>
      <c r="AF85" t="str">
        <f ca="1">IFERROR(IF(0=LEN(ReferenceData!$AF$85),"",ReferenceData!$AF$85),"")</f>
        <v/>
      </c>
      <c r="AG85" t="str">
        <f ca="1">IFERROR(IF(0=LEN(ReferenceData!$AG$85),"",ReferenceData!$AG$85),"")</f>
        <v/>
      </c>
      <c r="AH85" t="str">
        <f ca="1">IFERROR(IF(0=LEN(ReferenceData!$AH$85),"",ReferenceData!$AH$85),"")</f>
        <v/>
      </c>
      <c r="AI85" t="str">
        <f ca="1">IFERROR(IF(0=LEN(ReferenceData!$AI$85),"",ReferenceData!$AI$85),"")</f>
        <v/>
      </c>
      <c r="AJ85" t="str">
        <f ca="1">IFERROR(IF(0=LEN(ReferenceData!$AJ$85),"",ReferenceData!$AJ$85),"")</f>
        <v/>
      </c>
      <c r="AK85" t="str">
        <f ca="1">IFERROR(IF(0=LEN(ReferenceData!$AK$85),"",ReferenceData!$AK$85),"")</f>
        <v/>
      </c>
      <c r="AL85" t="str">
        <f ca="1">IFERROR(IF(0=LEN(ReferenceData!$AL$85),"",ReferenceData!$AL$85),"")</f>
        <v/>
      </c>
      <c r="AM85" t="str">
        <f ca="1">IFERROR(IF(0=LEN(ReferenceData!$AM$85),"",ReferenceData!$AM$85),"")</f>
        <v/>
      </c>
      <c r="AN85" t="str">
        <f ca="1">IFERROR(IF(0=LEN(ReferenceData!$AN$85),"",ReferenceData!$AN$85),"")</f>
        <v/>
      </c>
      <c r="AO85" t="str">
        <f ca="1">IFERROR(IF(0=LEN(ReferenceData!$AO$85),"",ReferenceData!$AO$85),"")</f>
        <v/>
      </c>
      <c r="AP85" t="str">
        <f ca="1">IFERROR(IF(0=LEN(ReferenceData!$AP$85),"",ReferenceData!$AP$85),"")</f>
        <v/>
      </c>
      <c r="AQ85" t="str">
        <f ca="1">IFERROR(IF(0=LEN(ReferenceData!$AQ$85),"",ReferenceData!$AQ$85),"")</f>
        <v/>
      </c>
      <c r="AR85" t="str">
        <f ca="1">IFERROR(IF(0=LEN(ReferenceData!$AR$85),"",ReferenceData!$AR$85),"")</f>
        <v/>
      </c>
      <c r="AS85" t="str">
        <f ca="1">IFERROR(IF(0=LEN(ReferenceData!$AS$85),"",ReferenceData!$AS$85),"")</f>
        <v/>
      </c>
    </row>
    <row r="86" spans="1:45" x14ac:dyDescent="0.25">
      <c r="A86" t="str">
        <f>IFERROR(IF(0=LEN(ReferenceData!$A$86),"",ReferenceData!$A$86),"")</f>
        <v xml:space="preserve">        Mack</v>
      </c>
      <c r="B86" t="str">
        <f>IFERROR(IF(0=LEN(ReferenceData!$B$86),"",ReferenceData!$B$86),"")</f>
        <v/>
      </c>
      <c r="C86" t="str">
        <f>IFERROR(IF(0=LEN(ReferenceData!$C$86),"",ReferenceData!$C$86),"")</f>
        <v/>
      </c>
      <c r="D86" t="str">
        <f>IFERROR(IF(0=LEN(ReferenceData!$D$86),"",ReferenceData!$D$86),"")</f>
        <v/>
      </c>
      <c r="E86" t="str">
        <f>IFERROR(IF(0=LEN(ReferenceData!$E$86),"",ReferenceData!$E$86),"")</f>
        <v>Expression</v>
      </c>
      <c r="F86" t="str">
        <f ca="1">IFERROR(IF(0=LEN(ReferenceData!$F$86),"",ReferenceData!$F$86),"")</f>
        <v/>
      </c>
      <c r="G86" t="str">
        <f ca="1">IFERROR(IF(0=LEN(ReferenceData!$G$86),"",ReferenceData!$G$86),"")</f>
        <v/>
      </c>
      <c r="H86" t="str">
        <f ca="1">IFERROR(IF(0=LEN(ReferenceData!$H$86),"",ReferenceData!$H$86),"")</f>
        <v/>
      </c>
      <c r="I86" t="str">
        <f ca="1">IFERROR(IF(0=LEN(ReferenceData!$I$86),"",ReferenceData!$I$86),"")</f>
        <v/>
      </c>
      <c r="J86" t="str">
        <f ca="1">IFERROR(IF(0=LEN(ReferenceData!$J$86),"",ReferenceData!$J$86),"")</f>
        <v/>
      </c>
      <c r="K86" t="str">
        <f ca="1">IFERROR(IF(0=LEN(ReferenceData!$K$86),"",ReferenceData!$K$86),"")</f>
        <v/>
      </c>
      <c r="L86" t="str">
        <f ca="1">IFERROR(IF(0=LEN(ReferenceData!$L$86),"",ReferenceData!$L$86),"")</f>
        <v/>
      </c>
      <c r="M86" t="str">
        <f ca="1">IFERROR(IF(0=LEN(ReferenceData!$M$86),"",ReferenceData!$M$86),"")</f>
        <v/>
      </c>
      <c r="N86" t="str">
        <f ca="1">IFERROR(IF(0=LEN(ReferenceData!$N$86),"",ReferenceData!$N$86),"")</f>
        <v/>
      </c>
      <c r="O86" t="str">
        <f ca="1">IFERROR(IF(0=LEN(ReferenceData!$O$86),"",ReferenceData!$O$86),"")</f>
        <v/>
      </c>
      <c r="P86" t="str">
        <f ca="1">IFERROR(IF(0=LEN(ReferenceData!$P$86),"",ReferenceData!$P$86),"")</f>
        <v/>
      </c>
      <c r="Q86" t="str">
        <f ca="1">IFERROR(IF(0=LEN(ReferenceData!$Q$86),"",ReferenceData!$Q$86),"")</f>
        <v/>
      </c>
      <c r="R86" t="str">
        <f ca="1">IFERROR(IF(0=LEN(ReferenceData!$R$86),"",ReferenceData!$R$86),"")</f>
        <v/>
      </c>
      <c r="S86" t="str">
        <f ca="1">IFERROR(IF(0=LEN(ReferenceData!$S$86),"",ReferenceData!$S$86),"")</f>
        <v/>
      </c>
      <c r="T86" t="str">
        <f ca="1">IFERROR(IF(0=LEN(ReferenceData!$T$86),"",ReferenceData!$T$86),"")</f>
        <v/>
      </c>
      <c r="U86" t="str">
        <f ca="1">IFERROR(IF(0=LEN(ReferenceData!$U$86),"",ReferenceData!$U$86),"")</f>
        <v/>
      </c>
      <c r="V86" t="str">
        <f ca="1">IFERROR(IF(0=LEN(ReferenceData!$V$86),"",ReferenceData!$V$86),"")</f>
        <v/>
      </c>
      <c r="W86" t="str">
        <f ca="1">IFERROR(IF(0=LEN(ReferenceData!$W$86),"",ReferenceData!$W$86),"")</f>
        <v/>
      </c>
      <c r="X86" t="str">
        <f ca="1">IFERROR(IF(0=LEN(ReferenceData!$X$86),"",ReferenceData!$X$86),"")</f>
        <v/>
      </c>
      <c r="Y86" t="str">
        <f ca="1">IFERROR(IF(0=LEN(ReferenceData!$Y$86),"",ReferenceData!$Y$86),"")</f>
        <v/>
      </c>
      <c r="Z86" t="str">
        <f ca="1">IFERROR(IF(0=LEN(ReferenceData!$Z$86),"",ReferenceData!$Z$86),"")</f>
        <v/>
      </c>
      <c r="AA86" t="str">
        <f ca="1">IFERROR(IF(0=LEN(ReferenceData!$AA$86),"",ReferenceData!$AA$86),"")</f>
        <v/>
      </c>
      <c r="AB86" t="str">
        <f ca="1">IFERROR(IF(0=LEN(ReferenceData!$AB$86),"",ReferenceData!$AB$86),"")</f>
        <v/>
      </c>
      <c r="AC86" t="str">
        <f ca="1">IFERROR(IF(0=LEN(ReferenceData!$AC$86),"",ReferenceData!$AC$86),"")</f>
        <v/>
      </c>
      <c r="AD86" t="str">
        <f ca="1">IFERROR(IF(0=LEN(ReferenceData!$AD$86),"",ReferenceData!$AD$86),"")</f>
        <v/>
      </c>
      <c r="AE86" t="str">
        <f ca="1">IFERROR(IF(0=LEN(ReferenceData!$AE$86),"",ReferenceData!$AE$86),"")</f>
        <v/>
      </c>
      <c r="AF86" t="str">
        <f ca="1">IFERROR(IF(0=LEN(ReferenceData!$AF$86),"",ReferenceData!$AF$86),"")</f>
        <v/>
      </c>
      <c r="AG86" t="str">
        <f ca="1">IFERROR(IF(0=LEN(ReferenceData!$AG$86),"",ReferenceData!$AG$86),"")</f>
        <v/>
      </c>
      <c r="AH86" t="str">
        <f ca="1">IFERROR(IF(0=LEN(ReferenceData!$AH$86),"",ReferenceData!$AH$86),"")</f>
        <v/>
      </c>
      <c r="AI86" t="str">
        <f ca="1">IFERROR(IF(0=LEN(ReferenceData!$AI$86),"",ReferenceData!$AI$86),"")</f>
        <v/>
      </c>
      <c r="AJ86" t="str">
        <f ca="1">IFERROR(IF(0=LEN(ReferenceData!$AJ$86),"",ReferenceData!$AJ$86),"")</f>
        <v/>
      </c>
      <c r="AK86" t="str">
        <f ca="1">IFERROR(IF(0=LEN(ReferenceData!$AK$86),"",ReferenceData!$AK$86),"")</f>
        <v/>
      </c>
      <c r="AL86" t="str">
        <f ca="1">IFERROR(IF(0=LEN(ReferenceData!$AL$86),"",ReferenceData!$AL$86),"")</f>
        <v/>
      </c>
      <c r="AM86" t="str">
        <f ca="1">IFERROR(IF(0=LEN(ReferenceData!$AM$86),"",ReferenceData!$AM$86),"")</f>
        <v/>
      </c>
      <c r="AN86" t="str">
        <f ca="1">IFERROR(IF(0=LEN(ReferenceData!$AN$86),"",ReferenceData!$AN$86),"")</f>
        <v/>
      </c>
      <c r="AO86" t="str">
        <f ca="1">IFERROR(IF(0=LEN(ReferenceData!$AO$86),"",ReferenceData!$AO$86),"")</f>
        <v/>
      </c>
      <c r="AP86" t="str">
        <f ca="1">IFERROR(IF(0=LEN(ReferenceData!$AP$86),"",ReferenceData!$AP$86),"")</f>
        <v/>
      </c>
      <c r="AQ86" t="str">
        <f ca="1">IFERROR(IF(0=LEN(ReferenceData!$AQ$86),"",ReferenceData!$AQ$86),"")</f>
        <v/>
      </c>
      <c r="AR86" t="str">
        <f ca="1">IFERROR(IF(0=LEN(ReferenceData!$AR$86),"",ReferenceData!$AR$86),"")</f>
        <v/>
      </c>
      <c r="AS86" t="str">
        <f ca="1">IFERROR(IF(0=LEN(ReferenceData!$AS$86),"",ReferenceData!$AS$86),"")</f>
        <v/>
      </c>
    </row>
    <row r="87" spans="1:45" x14ac:dyDescent="0.25">
      <c r="A87" t="str">
        <f>IFERROR(IF(0=LEN(ReferenceData!$A$87),"",ReferenceData!$A$87),"")</f>
        <v xml:space="preserve">        UD Truck</v>
      </c>
      <c r="B87" t="str">
        <f>IFERROR(IF(0=LEN(ReferenceData!$B$87),"",ReferenceData!$B$87),"")</f>
        <v/>
      </c>
      <c r="C87" t="str">
        <f>IFERROR(IF(0=LEN(ReferenceData!$C$87),"",ReferenceData!$C$87),"")</f>
        <v/>
      </c>
      <c r="D87" t="str">
        <f>IFERROR(IF(0=LEN(ReferenceData!$D$87),"",ReferenceData!$D$87),"")</f>
        <v/>
      </c>
      <c r="E87" t="str">
        <f>IFERROR(IF(0=LEN(ReferenceData!$E$87),"",ReferenceData!$E$87),"")</f>
        <v>Expression</v>
      </c>
      <c r="F87" t="str">
        <f ca="1">IFERROR(IF(0=LEN(ReferenceData!$F$87),"",ReferenceData!$F$87),"")</f>
        <v/>
      </c>
      <c r="G87" t="str">
        <f ca="1">IFERROR(IF(0=LEN(ReferenceData!$G$87),"",ReferenceData!$G$87),"")</f>
        <v/>
      </c>
      <c r="H87" t="str">
        <f ca="1">IFERROR(IF(0=LEN(ReferenceData!$H$87),"",ReferenceData!$H$87),"")</f>
        <v/>
      </c>
      <c r="I87" t="str">
        <f ca="1">IFERROR(IF(0=LEN(ReferenceData!$I$87),"",ReferenceData!$I$87),"")</f>
        <v/>
      </c>
      <c r="J87" t="str">
        <f ca="1">IFERROR(IF(0=LEN(ReferenceData!$J$87),"",ReferenceData!$J$87),"")</f>
        <v/>
      </c>
      <c r="K87" t="str">
        <f ca="1">IFERROR(IF(0=LEN(ReferenceData!$K$87),"",ReferenceData!$K$87),"")</f>
        <v/>
      </c>
      <c r="L87" t="str">
        <f ca="1">IFERROR(IF(0=LEN(ReferenceData!$L$87),"",ReferenceData!$L$87),"")</f>
        <v/>
      </c>
      <c r="M87" t="str">
        <f ca="1">IFERROR(IF(0=LEN(ReferenceData!$M$87),"",ReferenceData!$M$87),"")</f>
        <v/>
      </c>
      <c r="N87" t="str">
        <f ca="1">IFERROR(IF(0=LEN(ReferenceData!$N$87),"",ReferenceData!$N$87),"")</f>
        <v/>
      </c>
      <c r="O87" t="str">
        <f ca="1">IFERROR(IF(0=LEN(ReferenceData!$O$87),"",ReferenceData!$O$87),"")</f>
        <v/>
      </c>
      <c r="P87" t="str">
        <f ca="1">IFERROR(IF(0=LEN(ReferenceData!$P$87),"",ReferenceData!$P$87),"")</f>
        <v/>
      </c>
      <c r="Q87" t="str">
        <f ca="1">IFERROR(IF(0=LEN(ReferenceData!$Q$87),"",ReferenceData!$Q$87),"")</f>
        <v/>
      </c>
      <c r="R87" t="str">
        <f ca="1">IFERROR(IF(0=LEN(ReferenceData!$R$87),"",ReferenceData!$R$87),"")</f>
        <v/>
      </c>
      <c r="S87" t="str">
        <f ca="1">IFERROR(IF(0=LEN(ReferenceData!$S$87),"",ReferenceData!$S$87),"")</f>
        <v/>
      </c>
      <c r="T87" t="str">
        <f ca="1">IFERROR(IF(0=LEN(ReferenceData!$T$87),"",ReferenceData!$T$87),"")</f>
        <v/>
      </c>
      <c r="U87" t="str">
        <f ca="1">IFERROR(IF(0=LEN(ReferenceData!$U$87),"",ReferenceData!$U$87),"")</f>
        <v/>
      </c>
      <c r="V87" t="str">
        <f ca="1">IFERROR(IF(0=LEN(ReferenceData!$V$87),"",ReferenceData!$V$87),"")</f>
        <v/>
      </c>
      <c r="W87" t="str">
        <f ca="1">IFERROR(IF(0=LEN(ReferenceData!$W$87),"",ReferenceData!$W$87),"")</f>
        <v/>
      </c>
      <c r="X87" t="str">
        <f ca="1">IFERROR(IF(0=LEN(ReferenceData!$X$87),"",ReferenceData!$X$87),"")</f>
        <v/>
      </c>
      <c r="Y87" t="str">
        <f ca="1">IFERROR(IF(0=LEN(ReferenceData!$Y$87),"",ReferenceData!$Y$87),"")</f>
        <v/>
      </c>
      <c r="Z87" t="str">
        <f ca="1">IFERROR(IF(0=LEN(ReferenceData!$Z$87),"",ReferenceData!$Z$87),"")</f>
        <v/>
      </c>
      <c r="AA87" t="str">
        <f ca="1">IFERROR(IF(0=LEN(ReferenceData!$AA$87),"",ReferenceData!$AA$87),"")</f>
        <v/>
      </c>
      <c r="AB87" t="str">
        <f ca="1">IFERROR(IF(0=LEN(ReferenceData!$AB$87),"",ReferenceData!$AB$87),"")</f>
        <v/>
      </c>
      <c r="AC87" t="str">
        <f ca="1">IFERROR(IF(0=LEN(ReferenceData!$AC$87),"",ReferenceData!$AC$87),"")</f>
        <v/>
      </c>
      <c r="AD87" t="str">
        <f ca="1">IFERROR(IF(0=LEN(ReferenceData!$AD$87),"",ReferenceData!$AD$87),"")</f>
        <v/>
      </c>
      <c r="AE87" t="str">
        <f ca="1">IFERROR(IF(0=LEN(ReferenceData!$AE$87),"",ReferenceData!$AE$87),"")</f>
        <v/>
      </c>
      <c r="AF87" t="str">
        <f ca="1">IFERROR(IF(0=LEN(ReferenceData!$AF$87),"",ReferenceData!$AF$87),"")</f>
        <v/>
      </c>
      <c r="AG87" t="str">
        <f ca="1">IFERROR(IF(0=LEN(ReferenceData!$AG$87),"",ReferenceData!$AG$87),"")</f>
        <v/>
      </c>
      <c r="AH87" t="str">
        <f ca="1">IFERROR(IF(0=LEN(ReferenceData!$AH$87),"",ReferenceData!$AH$87),"")</f>
        <v/>
      </c>
      <c r="AI87" t="str">
        <f ca="1">IFERROR(IF(0=LEN(ReferenceData!$AI$87),"",ReferenceData!$AI$87),"")</f>
        <v/>
      </c>
      <c r="AJ87" t="str">
        <f ca="1">IFERROR(IF(0=LEN(ReferenceData!$AJ$87),"",ReferenceData!$AJ$87),"")</f>
        <v/>
      </c>
      <c r="AK87" t="str">
        <f ca="1">IFERROR(IF(0=LEN(ReferenceData!$AK$87),"",ReferenceData!$AK$87),"")</f>
        <v/>
      </c>
      <c r="AL87" t="str">
        <f ca="1">IFERROR(IF(0=LEN(ReferenceData!$AL$87),"",ReferenceData!$AL$87),"")</f>
        <v/>
      </c>
      <c r="AM87" t="str">
        <f ca="1">IFERROR(IF(0=LEN(ReferenceData!$AM$87),"",ReferenceData!$AM$87),"")</f>
        <v/>
      </c>
      <c r="AN87" t="str">
        <f ca="1">IFERROR(IF(0=LEN(ReferenceData!$AN$87),"",ReferenceData!$AN$87),"")</f>
        <v/>
      </c>
      <c r="AO87" t="str">
        <f ca="1">IFERROR(IF(0=LEN(ReferenceData!$AO$87),"",ReferenceData!$AO$87),"")</f>
        <v/>
      </c>
      <c r="AP87" t="str">
        <f ca="1">IFERROR(IF(0=LEN(ReferenceData!$AP$87),"",ReferenceData!$AP$87),"")</f>
        <v/>
      </c>
      <c r="AQ87" t="str">
        <f ca="1">IFERROR(IF(0=LEN(ReferenceData!$AQ$87),"",ReferenceData!$AQ$87),"")</f>
        <v/>
      </c>
      <c r="AR87" t="str">
        <f ca="1">IFERROR(IF(0=LEN(ReferenceData!$AR$87),"",ReferenceData!$AR$87),"")</f>
        <v/>
      </c>
      <c r="AS87" t="str">
        <f ca="1">IFERROR(IF(0=LEN(ReferenceData!$AS$87),"",ReferenceData!$AS$87),"")</f>
        <v/>
      </c>
    </row>
    <row r="88" spans="1:45" x14ac:dyDescent="0.25">
      <c r="A88" t="str">
        <f>IFERROR(IF(0=LEN(ReferenceData!$A$88),"",ReferenceData!$A$88),"")</f>
        <v xml:space="preserve">        Volvo Truck</v>
      </c>
      <c r="B88" t="str">
        <f>IFERROR(IF(0=LEN(ReferenceData!$B$88),"",ReferenceData!$B$88),"")</f>
        <v/>
      </c>
      <c r="C88" t="str">
        <f>IFERROR(IF(0=LEN(ReferenceData!$C$88),"",ReferenceData!$C$88),"")</f>
        <v/>
      </c>
      <c r="D88" t="str">
        <f>IFERROR(IF(0=LEN(ReferenceData!$D$88),"",ReferenceData!$D$88),"")</f>
        <v/>
      </c>
      <c r="E88" t="str">
        <f>IFERROR(IF(0=LEN(ReferenceData!$E$88),"",ReferenceData!$E$88),"")</f>
        <v>Expression</v>
      </c>
      <c r="F88" t="str">
        <f ca="1">IFERROR(IF(0=LEN(ReferenceData!$F$88),"",ReferenceData!$F$88),"")</f>
        <v/>
      </c>
      <c r="G88" t="str">
        <f ca="1">IFERROR(IF(0=LEN(ReferenceData!$G$88),"",ReferenceData!$G$88),"")</f>
        <v/>
      </c>
      <c r="H88" t="str">
        <f ca="1">IFERROR(IF(0=LEN(ReferenceData!$H$88),"",ReferenceData!$H$88),"")</f>
        <v/>
      </c>
      <c r="I88" t="str">
        <f ca="1">IFERROR(IF(0=LEN(ReferenceData!$I$88),"",ReferenceData!$I$88),"")</f>
        <v/>
      </c>
      <c r="J88" t="str">
        <f ca="1">IFERROR(IF(0=LEN(ReferenceData!$J$88),"",ReferenceData!$J$88),"")</f>
        <v/>
      </c>
      <c r="K88" t="str">
        <f ca="1">IFERROR(IF(0=LEN(ReferenceData!$K$88),"",ReferenceData!$K$88),"")</f>
        <v/>
      </c>
      <c r="L88" t="str">
        <f ca="1">IFERROR(IF(0=LEN(ReferenceData!$L$88),"",ReferenceData!$L$88),"")</f>
        <v/>
      </c>
      <c r="M88" t="str">
        <f ca="1">IFERROR(IF(0=LEN(ReferenceData!$M$88),"",ReferenceData!$M$88),"")</f>
        <v/>
      </c>
      <c r="N88" t="str">
        <f ca="1">IFERROR(IF(0=LEN(ReferenceData!$N$88),"",ReferenceData!$N$88),"")</f>
        <v/>
      </c>
      <c r="O88" t="str">
        <f ca="1">IFERROR(IF(0=LEN(ReferenceData!$O$88),"",ReferenceData!$O$88),"")</f>
        <v/>
      </c>
      <c r="P88" t="str">
        <f ca="1">IFERROR(IF(0=LEN(ReferenceData!$P$88),"",ReferenceData!$P$88),"")</f>
        <v/>
      </c>
      <c r="Q88" t="str">
        <f ca="1">IFERROR(IF(0=LEN(ReferenceData!$Q$88),"",ReferenceData!$Q$88),"")</f>
        <v/>
      </c>
      <c r="R88" t="str">
        <f ca="1">IFERROR(IF(0=LEN(ReferenceData!$R$88),"",ReferenceData!$R$88),"")</f>
        <v/>
      </c>
      <c r="S88" t="str">
        <f ca="1">IFERROR(IF(0=LEN(ReferenceData!$S$88),"",ReferenceData!$S$88),"")</f>
        <v/>
      </c>
      <c r="T88" t="str">
        <f ca="1">IFERROR(IF(0=LEN(ReferenceData!$T$88),"",ReferenceData!$T$88),"")</f>
        <v/>
      </c>
      <c r="U88" t="str">
        <f ca="1">IFERROR(IF(0=LEN(ReferenceData!$U$88),"",ReferenceData!$U$88),"")</f>
        <v/>
      </c>
      <c r="V88" t="str">
        <f ca="1">IFERROR(IF(0=LEN(ReferenceData!$V$88),"",ReferenceData!$V$88),"")</f>
        <v/>
      </c>
      <c r="W88" t="str">
        <f ca="1">IFERROR(IF(0=LEN(ReferenceData!$W$88),"",ReferenceData!$W$88),"")</f>
        <v/>
      </c>
      <c r="X88" t="str">
        <f ca="1">IFERROR(IF(0=LEN(ReferenceData!$X$88),"",ReferenceData!$X$88),"")</f>
        <v/>
      </c>
      <c r="Y88" t="str">
        <f ca="1">IFERROR(IF(0=LEN(ReferenceData!$Y$88),"",ReferenceData!$Y$88),"")</f>
        <v/>
      </c>
      <c r="Z88" t="str">
        <f ca="1">IFERROR(IF(0=LEN(ReferenceData!$Z$88),"",ReferenceData!$Z$88),"")</f>
        <v/>
      </c>
      <c r="AA88" t="str">
        <f ca="1">IFERROR(IF(0=LEN(ReferenceData!$AA$88),"",ReferenceData!$AA$88),"")</f>
        <v/>
      </c>
      <c r="AB88" t="str">
        <f ca="1">IFERROR(IF(0=LEN(ReferenceData!$AB$88),"",ReferenceData!$AB$88),"")</f>
        <v/>
      </c>
      <c r="AC88" t="str">
        <f ca="1">IFERROR(IF(0=LEN(ReferenceData!$AC$88),"",ReferenceData!$AC$88),"")</f>
        <v/>
      </c>
      <c r="AD88" t="str">
        <f ca="1">IFERROR(IF(0=LEN(ReferenceData!$AD$88),"",ReferenceData!$AD$88),"")</f>
        <v/>
      </c>
      <c r="AE88" t="str">
        <f ca="1">IFERROR(IF(0=LEN(ReferenceData!$AE$88),"",ReferenceData!$AE$88),"")</f>
        <v/>
      </c>
      <c r="AF88" t="str">
        <f ca="1">IFERROR(IF(0=LEN(ReferenceData!$AF$88),"",ReferenceData!$AF$88),"")</f>
        <v/>
      </c>
      <c r="AG88" t="str">
        <f ca="1">IFERROR(IF(0=LEN(ReferenceData!$AG$88),"",ReferenceData!$AG$88),"")</f>
        <v/>
      </c>
      <c r="AH88" t="str">
        <f ca="1">IFERROR(IF(0=LEN(ReferenceData!$AH$88),"",ReferenceData!$AH$88),"")</f>
        <v/>
      </c>
      <c r="AI88" t="str">
        <f ca="1">IFERROR(IF(0=LEN(ReferenceData!$AI$88),"",ReferenceData!$AI$88),"")</f>
        <v/>
      </c>
      <c r="AJ88" t="str">
        <f ca="1">IFERROR(IF(0=LEN(ReferenceData!$AJ$88),"",ReferenceData!$AJ$88),"")</f>
        <v/>
      </c>
      <c r="AK88" t="str">
        <f ca="1">IFERROR(IF(0=LEN(ReferenceData!$AK$88),"",ReferenceData!$AK$88),"")</f>
        <v/>
      </c>
      <c r="AL88" t="str">
        <f ca="1">IFERROR(IF(0=LEN(ReferenceData!$AL$88),"",ReferenceData!$AL$88),"")</f>
        <v/>
      </c>
      <c r="AM88" t="str">
        <f ca="1">IFERROR(IF(0=LEN(ReferenceData!$AM$88),"",ReferenceData!$AM$88),"")</f>
        <v/>
      </c>
      <c r="AN88" t="str">
        <f ca="1">IFERROR(IF(0=LEN(ReferenceData!$AN$88),"",ReferenceData!$AN$88),"")</f>
        <v/>
      </c>
      <c r="AO88" t="str">
        <f ca="1">IFERROR(IF(0=LEN(ReferenceData!$AO$88),"",ReferenceData!$AO$88),"")</f>
        <v/>
      </c>
      <c r="AP88" t="str">
        <f ca="1">IFERROR(IF(0=LEN(ReferenceData!$AP$88),"",ReferenceData!$AP$88),"")</f>
        <v/>
      </c>
      <c r="AQ88" t="str">
        <f ca="1">IFERROR(IF(0=LEN(ReferenceData!$AQ$88),"",ReferenceData!$AQ$88),"")</f>
        <v/>
      </c>
      <c r="AR88" t="str">
        <f ca="1">IFERROR(IF(0=LEN(ReferenceData!$AR$88),"",ReferenceData!$AR$88),"")</f>
        <v/>
      </c>
      <c r="AS88" t="str">
        <f ca="1">IFERROR(IF(0=LEN(ReferenceData!$AS$88),"",ReferenceData!$AS$88),"")</f>
        <v/>
      </c>
    </row>
    <row r="89" spans="1:45" x14ac:dyDescent="0.25">
      <c r="A89" t="str">
        <f>IFERROR(IF(0=LEN(ReferenceData!$A$89),"",ReferenceData!$A$89),"")</f>
        <v xml:space="preserve">    Isuzu</v>
      </c>
      <c r="B89" t="str">
        <f>IFERROR(IF(0=LEN(ReferenceData!$B$89),"",ReferenceData!$B$89),"")</f>
        <v/>
      </c>
      <c r="C89" t="str">
        <f>IFERROR(IF(0=LEN(ReferenceData!$C$89),"",ReferenceData!$C$89),"")</f>
        <v/>
      </c>
      <c r="D89" t="str">
        <f>IFERROR(IF(0=LEN(ReferenceData!$D$89),"",ReferenceData!$D$89),"")</f>
        <v/>
      </c>
      <c r="E89" t="str">
        <f>IFERROR(IF(0=LEN(ReferenceData!$E$89),"",ReferenceData!$E$89),"")</f>
        <v>Expression</v>
      </c>
      <c r="F89" t="str">
        <f ca="1">IFERROR(IF(0=LEN(ReferenceData!$F$89),"",ReferenceData!$F$89),"")</f>
        <v/>
      </c>
      <c r="G89">
        <f ca="1">IFERROR(IF(0=LEN(ReferenceData!$G$89),"",ReferenceData!$G$89),"")</f>
        <v>0.34784159799999997</v>
      </c>
      <c r="H89">
        <f ca="1">IFERROR(IF(0=LEN(ReferenceData!$H$89),"",ReferenceData!$H$89),"")</f>
        <v>0.190545988</v>
      </c>
      <c r="I89">
        <f ca="1">IFERROR(IF(0=LEN(ReferenceData!$I$89),"",ReferenceData!$I$89),"")</f>
        <v>3.6029543999999997E-2</v>
      </c>
      <c r="J89">
        <f ca="1">IFERROR(IF(0=LEN(ReferenceData!$J$89),"",ReferenceData!$J$89),"")</f>
        <v>0</v>
      </c>
      <c r="K89">
        <f ca="1">IFERROR(IF(0=LEN(ReferenceData!$K$89),"",ReferenceData!$K$89),"")</f>
        <v>0</v>
      </c>
      <c r="L89">
        <f ca="1">IFERROR(IF(0=LEN(ReferenceData!$L$89),"",ReferenceData!$L$89),"")</f>
        <v>0</v>
      </c>
      <c r="M89">
        <f ca="1">IFERROR(IF(0=LEN(ReferenceData!$M$89),"",ReferenceData!$M$89),"")</f>
        <v>0</v>
      </c>
      <c r="N89">
        <f ca="1">IFERROR(IF(0=LEN(ReferenceData!$N$89),"",ReferenceData!$N$89),"")</f>
        <v>0</v>
      </c>
      <c r="O89">
        <f ca="1">IFERROR(IF(0=LEN(ReferenceData!$O$89),"",ReferenceData!$O$89),"")</f>
        <v>0</v>
      </c>
      <c r="P89">
        <f ca="1">IFERROR(IF(0=LEN(ReferenceData!$P$89),"",ReferenceData!$P$89),"")</f>
        <v>0.35931217399999998</v>
      </c>
      <c r="Q89">
        <f ca="1">IFERROR(IF(0=LEN(ReferenceData!$Q$89),"",ReferenceData!$Q$89),"")</f>
        <v>0.363820111</v>
      </c>
      <c r="R89">
        <f ca="1">IFERROR(IF(0=LEN(ReferenceData!$R$89),"",ReferenceData!$R$89),"")</f>
        <v>0.17748715500000001</v>
      </c>
      <c r="S89">
        <f ca="1">IFERROR(IF(0=LEN(ReferenceData!$S$89),"",ReferenceData!$S$89),"")</f>
        <v>0.270087778</v>
      </c>
      <c r="T89">
        <f ca="1">IFERROR(IF(0=LEN(ReferenceData!$T$89),"",ReferenceData!$T$89),"")</f>
        <v>0.30620467400000001</v>
      </c>
      <c r="U89">
        <f ca="1">IFERROR(IF(0=LEN(ReferenceData!$U$89),"",ReferenceData!$U$89),"")</f>
        <v>0.28140885999999998</v>
      </c>
      <c r="V89">
        <f ca="1">IFERROR(IF(0=LEN(ReferenceData!$V$89),"",ReferenceData!$V$89),"")</f>
        <v>0.222717149</v>
      </c>
      <c r="W89">
        <f ca="1">IFERROR(IF(0=LEN(ReferenceData!$W$89),"",ReferenceData!$W$89),"")</f>
        <v>0.28398680799999998</v>
      </c>
      <c r="X89">
        <f ca="1">IFERROR(IF(0=LEN(ReferenceData!$X$89),"",ReferenceData!$X$89),"")</f>
        <v>0.291828794</v>
      </c>
      <c r="Y89">
        <f ca="1">IFERROR(IF(0=LEN(ReferenceData!$Y$89),"",ReferenceData!$Y$89),"")</f>
        <v>0.16007317600000001</v>
      </c>
      <c r="Z89">
        <f ca="1">IFERROR(IF(0=LEN(ReferenceData!$Z$89),"",ReferenceData!$Z$89),"")</f>
        <v>0.25064900200000001</v>
      </c>
      <c r="AA89">
        <f ca="1">IFERROR(IF(0=LEN(ReferenceData!$AA$89),"",ReferenceData!$AA$89),"")</f>
        <v>0.23366859700000001</v>
      </c>
      <c r="AB89" t="str">
        <f ca="1">IFERROR(IF(0=LEN(ReferenceData!$AB$89),"",ReferenceData!$AB$89),"")</f>
        <v/>
      </c>
      <c r="AC89" t="str">
        <f ca="1">IFERROR(IF(0=LEN(ReferenceData!$AC$89),"",ReferenceData!$AC$89),"")</f>
        <v/>
      </c>
      <c r="AD89" t="str">
        <f ca="1">IFERROR(IF(0=LEN(ReferenceData!$AD$89),"",ReferenceData!$AD$89),"")</f>
        <v/>
      </c>
      <c r="AE89" t="str">
        <f ca="1">IFERROR(IF(0=LEN(ReferenceData!$AE$89),"",ReferenceData!$AE$89),"")</f>
        <v/>
      </c>
      <c r="AF89" t="str">
        <f ca="1">IFERROR(IF(0=LEN(ReferenceData!$AF$89),"",ReferenceData!$AF$89),"")</f>
        <v/>
      </c>
      <c r="AG89" t="str">
        <f ca="1">IFERROR(IF(0=LEN(ReferenceData!$AG$89),"",ReferenceData!$AG$89),"")</f>
        <v/>
      </c>
      <c r="AH89" t="str">
        <f ca="1">IFERROR(IF(0=LEN(ReferenceData!$AH$89),"",ReferenceData!$AH$89),"")</f>
        <v/>
      </c>
      <c r="AI89" t="str">
        <f ca="1">IFERROR(IF(0=LEN(ReferenceData!$AI$89),"",ReferenceData!$AI$89),"")</f>
        <v/>
      </c>
      <c r="AJ89" t="str">
        <f ca="1">IFERROR(IF(0=LEN(ReferenceData!$AJ$89),"",ReferenceData!$AJ$89),"")</f>
        <v/>
      </c>
      <c r="AK89" t="str">
        <f ca="1">IFERROR(IF(0=LEN(ReferenceData!$AK$89),"",ReferenceData!$AK$89),"")</f>
        <v/>
      </c>
      <c r="AL89" t="str">
        <f ca="1">IFERROR(IF(0=LEN(ReferenceData!$AL$89),"",ReferenceData!$AL$89),"")</f>
        <v/>
      </c>
      <c r="AM89" t="str">
        <f ca="1">IFERROR(IF(0=LEN(ReferenceData!$AM$89),"",ReferenceData!$AM$89),"")</f>
        <v/>
      </c>
      <c r="AN89" t="str">
        <f ca="1">IFERROR(IF(0=LEN(ReferenceData!$AN$89),"",ReferenceData!$AN$89),"")</f>
        <v/>
      </c>
      <c r="AO89" t="str">
        <f ca="1">IFERROR(IF(0=LEN(ReferenceData!$AO$89),"",ReferenceData!$AO$89),"")</f>
        <v/>
      </c>
      <c r="AP89" t="str">
        <f ca="1">IFERROR(IF(0=LEN(ReferenceData!$AP$89),"",ReferenceData!$AP$89),"")</f>
        <v/>
      </c>
      <c r="AQ89" t="str">
        <f ca="1">IFERROR(IF(0=LEN(ReferenceData!$AQ$89),"",ReferenceData!$AQ$89),"")</f>
        <v/>
      </c>
      <c r="AR89" t="str">
        <f ca="1">IFERROR(IF(0=LEN(ReferenceData!$AR$89),"",ReferenceData!$AR$89),"")</f>
        <v/>
      </c>
      <c r="AS89" t="str">
        <f ca="1">IFERROR(IF(0=LEN(ReferenceData!$AS$89),"",ReferenceData!$AS$89),"")</f>
        <v/>
      </c>
    </row>
    <row r="90" spans="1:45" x14ac:dyDescent="0.25">
      <c r="A90" t="str">
        <f>IFERROR(IF(0=LEN(ReferenceData!$A$90),"",ReferenceData!$A$90),"")</f>
        <v xml:space="preserve">    Dina Camiones</v>
      </c>
      <c r="B90" t="str">
        <f>IFERROR(IF(0=LEN(ReferenceData!$B$90),"",ReferenceData!$B$90),"")</f>
        <v/>
      </c>
      <c r="C90" t="str">
        <f>IFERROR(IF(0=LEN(ReferenceData!$C$90),"",ReferenceData!$C$90),"")</f>
        <v/>
      </c>
      <c r="D90" t="str">
        <f>IFERROR(IF(0=LEN(ReferenceData!$D$90),"",ReferenceData!$D$90),"")</f>
        <v/>
      </c>
      <c r="E90" t="str">
        <f>IFERROR(IF(0=LEN(ReferenceData!$E$90),"",ReferenceData!$E$90),"")</f>
        <v>Expression</v>
      </c>
      <c r="F90" t="str">
        <f ca="1">IFERROR(IF(0=LEN(ReferenceData!$F$90),"",ReferenceData!$F$90),"")</f>
        <v/>
      </c>
      <c r="G90" t="str">
        <f ca="1">IFERROR(IF(0=LEN(ReferenceData!$G$90),"",ReferenceData!$G$90),"")</f>
        <v/>
      </c>
      <c r="H90" t="str">
        <f ca="1">IFERROR(IF(0=LEN(ReferenceData!$H$90),"",ReferenceData!$H$90),"")</f>
        <v/>
      </c>
      <c r="I90" t="str">
        <f ca="1">IFERROR(IF(0=LEN(ReferenceData!$I$90),"",ReferenceData!$I$90),"")</f>
        <v/>
      </c>
      <c r="J90" t="str">
        <f ca="1">IFERROR(IF(0=LEN(ReferenceData!$J$90),"",ReferenceData!$J$90),"")</f>
        <v/>
      </c>
      <c r="K90" t="str">
        <f ca="1">IFERROR(IF(0=LEN(ReferenceData!$K$90),"",ReferenceData!$K$90),"")</f>
        <v/>
      </c>
      <c r="L90" t="str">
        <f ca="1">IFERROR(IF(0=LEN(ReferenceData!$L$90),"",ReferenceData!$L$90),"")</f>
        <v/>
      </c>
      <c r="M90" t="str">
        <f ca="1">IFERROR(IF(0=LEN(ReferenceData!$M$90),"",ReferenceData!$M$90),"")</f>
        <v/>
      </c>
      <c r="N90" t="str">
        <f ca="1">IFERROR(IF(0=LEN(ReferenceData!$N$90),"",ReferenceData!$N$90),"")</f>
        <v/>
      </c>
      <c r="O90" t="str">
        <f ca="1">IFERROR(IF(0=LEN(ReferenceData!$O$90),"",ReferenceData!$O$90),"")</f>
        <v/>
      </c>
      <c r="P90">
        <f ca="1">IFERROR(IF(0=LEN(ReferenceData!$P$90),"",ReferenceData!$P$90),"")</f>
        <v>0.11977072499999999</v>
      </c>
      <c r="Q90">
        <f ca="1">IFERROR(IF(0=LEN(ReferenceData!$Q$90),"",ReferenceData!$Q$90),"")</f>
        <v>0.12127337000000001</v>
      </c>
      <c r="R90">
        <f ca="1">IFERROR(IF(0=LEN(ReferenceData!$R$90),"",ReferenceData!$R$90),"")</f>
        <v>9.3414291999999996E-2</v>
      </c>
      <c r="S90">
        <f ca="1">IFERROR(IF(0=LEN(ReferenceData!$S$90),"",ReferenceData!$S$90),"")</f>
        <v>8.4402431E-2</v>
      </c>
      <c r="T90">
        <f ca="1">IFERROR(IF(0=LEN(ReferenceData!$T$90),"",ReferenceData!$T$90),"")</f>
        <v>0.112812248</v>
      </c>
      <c r="U90">
        <f ca="1">IFERROR(IF(0=LEN(ReferenceData!$U$90),"",ReferenceData!$U$90),"")</f>
        <v>0.10893246199999999</v>
      </c>
      <c r="V90">
        <f ca="1">IFERROR(IF(0=LEN(ReferenceData!$V$90),"",ReferenceData!$V$90),"")</f>
        <v>0.128490663</v>
      </c>
      <c r="W90">
        <f ca="1">IFERROR(IF(0=LEN(ReferenceData!$W$90),"",ReferenceData!$W$90),"")</f>
        <v>9.1608648000000001E-2</v>
      </c>
      <c r="X90">
        <f ca="1">IFERROR(IF(0=LEN(ReferenceData!$X$90),"",ReferenceData!$X$90),"")</f>
        <v>7.9589671000000001E-2</v>
      </c>
      <c r="Y90">
        <f ca="1">IFERROR(IF(0=LEN(ReferenceData!$Y$90),"",ReferenceData!$Y$90),"")</f>
        <v>9.9092919000000002E-2</v>
      </c>
      <c r="Z90">
        <f ca="1">IFERROR(IF(0=LEN(ReferenceData!$Z$90),"",ReferenceData!$Z$90),"")</f>
        <v>7.1614000999999997E-2</v>
      </c>
      <c r="AA90">
        <f ca="1">IFERROR(IF(0=LEN(ReferenceData!$AA$90),"",ReferenceData!$AA$90),"")</f>
        <v>6.0957024999999998E-2</v>
      </c>
      <c r="AB90">
        <f ca="1">IFERROR(IF(0=LEN(ReferenceData!$AB$90),"",ReferenceData!$AB$90),"")</f>
        <v>0.44835316400000003</v>
      </c>
      <c r="AC90">
        <f ca="1">IFERROR(IF(0=LEN(ReferenceData!$AC$90),"",ReferenceData!$AC$90),"")</f>
        <v>0.39821750299999997</v>
      </c>
      <c r="AD90">
        <f ca="1">IFERROR(IF(0=LEN(ReferenceData!$AD$90),"",ReferenceData!$AD$90),"")</f>
        <v>0.32445923500000001</v>
      </c>
      <c r="AE90">
        <f ca="1">IFERROR(IF(0=LEN(ReferenceData!$AE$90),"",ReferenceData!$AE$90),"")</f>
        <v>0.33614972300000001</v>
      </c>
      <c r="AF90">
        <f ca="1">IFERROR(IF(0=LEN(ReferenceData!$AF$90),"",ReferenceData!$AF$90),"")</f>
        <v>0.330829757</v>
      </c>
      <c r="AG90">
        <f ca="1">IFERROR(IF(0=LEN(ReferenceData!$AG$90),"",ReferenceData!$AG$90),"")</f>
        <v>0.32337004000000003</v>
      </c>
      <c r="AH90">
        <f ca="1">IFERROR(IF(0=LEN(ReferenceData!$AH$90),"",ReferenceData!$AH$90),"")</f>
        <v>0.30742204699999998</v>
      </c>
      <c r="AI90">
        <f ca="1">IFERROR(IF(0=LEN(ReferenceData!$AI$90),"",ReferenceData!$AI$90),"")</f>
        <v>0.34828495999999998</v>
      </c>
      <c r="AJ90">
        <f ca="1">IFERROR(IF(0=LEN(ReferenceData!$AJ$90),"",ReferenceData!$AJ$90),"")</f>
        <v>0.31108881100000002</v>
      </c>
      <c r="AK90">
        <f ca="1">IFERROR(IF(0=LEN(ReferenceData!$AK$90),"",ReferenceData!$AK$90),"")</f>
        <v>0.35069261800000001</v>
      </c>
      <c r="AL90">
        <f ca="1">IFERROR(IF(0=LEN(ReferenceData!$AL$90),"",ReferenceData!$AL$90),"")</f>
        <v>0.42035398200000001</v>
      </c>
      <c r="AM90">
        <f ca="1">IFERROR(IF(0=LEN(ReferenceData!$AM$90),"",ReferenceData!$AM$90),"")</f>
        <v>0.43511367299999998</v>
      </c>
      <c r="AN90">
        <f ca="1">IFERROR(IF(0=LEN(ReferenceData!$AN$90),"",ReferenceData!$AN$90),"")</f>
        <v>0.159900506</v>
      </c>
      <c r="AO90">
        <f ca="1">IFERROR(IF(0=LEN(ReferenceData!$AO$90),"",ReferenceData!$AO$90),"")</f>
        <v>0.200476131</v>
      </c>
      <c r="AP90">
        <f ca="1">IFERROR(IF(0=LEN(ReferenceData!$AP$90),"",ReferenceData!$AP$90),"")</f>
        <v>0.15026296</v>
      </c>
      <c r="AQ90">
        <f ca="1">IFERROR(IF(0=LEN(ReferenceData!$AQ$90),"",ReferenceData!$AQ$90),"")</f>
        <v>1.1999625009999999</v>
      </c>
      <c r="AR90">
        <f ca="1">IFERROR(IF(0=LEN(ReferenceData!$AR$90),"",ReferenceData!$AR$90),"")</f>
        <v>0.29213256799999998</v>
      </c>
      <c r="AS90">
        <f ca="1">IFERROR(IF(0=LEN(ReferenceData!$AS$90),"",ReferenceData!$AS$90),"")</f>
        <v>8.0811708999999995E-2</v>
      </c>
    </row>
    <row r="91" spans="1:45" x14ac:dyDescent="0.25">
      <c r="A91" t="str">
        <f>IFERROR(IF(0=LEN(ReferenceData!$A$91),"",ReferenceData!$A$91),"")</f>
        <v xml:space="preserve">    General Motors</v>
      </c>
      <c r="B91" t="str">
        <f>IFERROR(IF(0=LEN(ReferenceData!$B$91),"",ReferenceData!$B$91),"")</f>
        <v>MTLQQ US Equity</v>
      </c>
      <c r="C91" t="str">
        <f>IFERROR(IF(0=LEN(ReferenceData!$C$91),"",ReferenceData!$C$91),"")</f>
        <v/>
      </c>
      <c r="D91" t="str">
        <f>IFERROR(IF(0=LEN(ReferenceData!$D$91),"",ReferenceData!$D$91),"")</f>
        <v/>
      </c>
      <c r="E91" t="str">
        <f>IFERROR(IF(0=LEN(ReferenceData!$E$91),"",ReferenceData!$E$91),"")</f>
        <v>Sum</v>
      </c>
      <c r="F91" t="str">
        <f ca="1">IFERROR(IF(0=LEN(ReferenceData!$F$91),"",ReferenceData!$F$91),"")</f>
        <v/>
      </c>
      <c r="G91" t="str">
        <f ca="1">IFERROR(IF(0=LEN(ReferenceData!$G$91),"",ReferenceData!$G$91),"")</f>
        <v/>
      </c>
      <c r="H91" t="str">
        <f ca="1">IFERROR(IF(0=LEN(ReferenceData!$H$91),"",ReferenceData!$H$91),"")</f>
        <v/>
      </c>
      <c r="I91" t="str">
        <f ca="1">IFERROR(IF(0=LEN(ReferenceData!$I$91),"",ReferenceData!$I$91),"")</f>
        <v/>
      </c>
      <c r="J91" t="str">
        <f ca="1">IFERROR(IF(0=LEN(ReferenceData!$J$91),"",ReferenceData!$J$91),"")</f>
        <v/>
      </c>
      <c r="K91" t="str">
        <f ca="1">IFERROR(IF(0=LEN(ReferenceData!$K$91),"",ReferenceData!$K$91),"")</f>
        <v/>
      </c>
      <c r="L91" t="str">
        <f ca="1">IFERROR(IF(0=LEN(ReferenceData!$L$91),"",ReferenceData!$L$91),"")</f>
        <v/>
      </c>
      <c r="M91" t="str">
        <f ca="1">IFERROR(IF(0=LEN(ReferenceData!$M$91),"",ReferenceData!$M$91),"")</f>
        <v/>
      </c>
      <c r="N91" t="str">
        <f ca="1">IFERROR(IF(0=LEN(ReferenceData!$N$91),"",ReferenceData!$N$91),"")</f>
        <v/>
      </c>
      <c r="O91" t="str">
        <f ca="1">IFERROR(IF(0=LEN(ReferenceData!$O$91),"",ReferenceData!$O$91),"")</f>
        <v/>
      </c>
      <c r="P91" t="str">
        <f ca="1">IFERROR(IF(0=LEN(ReferenceData!$P$91),"",ReferenceData!$P$91),"")</f>
        <v/>
      </c>
      <c r="Q91" t="str">
        <f ca="1">IFERROR(IF(0=LEN(ReferenceData!$Q$91),"",ReferenceData!$Q$91),"")</f>
        <v/>
      </c>
      <c r="R91" t="str">
        <f ca="1">IFERROR(IF(0=LEN(ReferenceData!$R$91),"",ReferenceData!$R$91),"")</f>
        <v/>
      </c>
      <c r="S91" t="str">
        <f ca="1">IFERROR(IF(0=LEN(ReferenceData!$S$91),"",ReferenceData!$S$91),"")</f>
        <v/>
      </c>
      <c r="T91" t="str">
        <f ca="1">IFERROR(IF(0=LEN(ReferenceData!$T$91),"",ReferenceData!$T$91),"")</f>
        <v/>
      </c>
      <c r="U91" t="str">
        <f ca="1">IFERROR(IF(0=LEN(ReferenceData!$U$91),"",ReferenceData!$U$91),"")</f>
        <v/>
      </c>
      <c r="V91" t="str">
        <f ca="1">IFERROR(IF(0=LEN(ReferenceData!$V$91),"",ReferenceData!$V$91),"")</f>
        <v/>
      </c>
      <c r="W91" t="str">
        <f ca="1">IFERROR(IF(0=LEN(ReferenceData!$W$91),"",ReferenceData!$W$91),"")</f>
        <v/>
      </c>
      <c r="X91" t="str">
        <f ca="1">IFERROR(IF(0=LEN(ReferenceData!$X$91),"",ReferenceData!$X$91),"")</f>
        <v/>
      </c>
      <c r="Y91" t="str">
        <f ca="1">IFERROR(IF(0=LEN(ReferenceData!$Y$91),"",ReferenceData!$Y$91),"")</f>
        <v/>
      </c>
      <c r="Z91" t="str">
        <f ca="1">IFERROR(IF(0=LEN(ReferenceData!$Z$91),"",ReferenceData!$Z$91),"")</f>
        <v/>
      </c>
      <c r="AA91" t="str">
        <f ca="1">IFERROR(IF(0=LEN(ReferenceData!$AA$91),"",ReferenceData!$AA$91),"")</f>
        <v/>
      </c>
      <c r="AB91" t="str">
        <f ca="1">IFERROR(IF(0=LEN(ReferenceData!$AB$91),"",ReferenceData!$AB$91),"")</f>
        <v/>
      </c>
      <c r="AC91" t="str">
        <f ca="1">IFERROR(IF(0=LEN(ReferenceData!$AC$91),"",ReferenceData!$AC$91),"")</f>
        <v/>
      </c>
      <c r="AD91" t="str">
        <f ca="1">IFERROR(IF(0=LEN(ReferenceData!$AD$91),"",ReferenceData!$AD$91),"")</f>
        <v/>
      </c>
      <c r="AE91" t="str">
        <f ca="1">IFERROR(IF(0=LEN(ReferenceData!$AE$91),"",ReferenceData!$AE$91),"")</f>
        <v/>
      </c>
      <c r="AF91" t="str">
        <f ca="1">IFERROR(IF(0=LEN(ReferenceData!$AF$91),"",ReferenceData!$AF$91),"")</f>
        <v/>
      </c>
      <c r="AG91" t="str">
        <f ca="1">IFERROR(IF(0=LEN(ReferenceData!$AG$91),"",ReferenceData!$AG$91),"")</f>
        <v/>
      </c>
      <c r="AH91" t="str">
        <f ca="1">IFERROR(IF(0=LEN(ReferenceData!$AH$91),"",ReferenceData!$AH$91),"")</f>
        <v/>
      </c>
      <c r="AI91" t="str">
        <f ca="1">IFERROR(IF(0=LEN(ReferenceData!$AI$91),"",ReferenceData!$AI$91),"")</f>
        <v/>
      </c>
      <c r="AJ91" t="str">
        <f ca="1">IFERROR(IF(0=LEN(ReferenceData!$AJ$91),"",ReferenceData!$AJ$91),"")</f>
        <v/>
      </c>
      <c r="AK91" t="str">
        <f ca="1">IFERROR(IF(0=LEN(ReferenceData!$AK$91),"",ReferenceData!$AK$91),"")</f>
        <v/>
      </c>
      <c r="AL91" t="str">
        <f ca="1">IFERROR(IF(0=LEN(ReferenceData!$AL$91),"",ReferenceData!$AL$91),"")</f>
        <v/>
      </c>
      <c r="AM91" t="str">
        <f ca="1">IFERROR(IF(0=LEN(ReferenceData!$AM$91),"",ReferenceData!$AM$91),"")</f>
        <v/>
      </c>
      <c r="AN91" t="str">
        <f ca="1">IFERROR(IF(0=LEN(ReferenceData!$AN$91),"",ReferenceData!$AN$91),"")</f>
        <v/>
      </c>
      <c r="AO91" t="str">
        <f ca="1">IFERROR(IF(0=LEN(ReferenceData!$AO$91),"",ReferenceData!$AO$91),"")</f>
        <v/>
      </c>
      <c r="AP91" t="str">
        <f ca="1">IFERROR(IF(0=LEN(ReferenceData!$AP$91),"",ReferenceData!$AP$91),"")</f>
        <v/>
      </c>
      <c r="AQ91" t="str">
        <f ca="1">IFERROR(IF(0=LEN(ReferenceData!$AQ$91),"",ReferenceData!$AQ$91),"")</f>
        <v/>
      </c>
      <c r="AR91" t="str">
        <f ca="1">IFERROR(IF(0=LEN(ReferenceData!$AR$91),"",ReferenceData!$AR$91),"")</f>
        <v/>
      </c>
      <c r="AS91" t="str">
        <f ca="1">IFERROR(IF(0=LEN(ReferenceData!$AS$91),"",ReferenceData!$AS$91),"")</f>
        <v/>
      </c>
    </row>
    <row r="92" spans="1:45" x14ac:dyDescent="0.25">
      <c r="A92" t="str">
        <f>IFERROR(IF(0=LEN(ReferenceData!$A$92),"",ReferenceData!$A$92),"")</f>
        <v xml:space="preserve">        GMC</v>
      </c>
      <c r="B92" t="str">
        <f>IFERROR(IF(0=LEN(ReferenceData!$B$92),"",ReferenceData!$B$92),"")</f>
        <v>MTLQQ US Equity</v>
      </c>
      <c r="C92" t="str">
        <f>IFERROR(IF(0=LEN(ReferenceData!$C$92),"",ReferenceData!$C$92),"")</f>
        <v/>
      </c>
      <c r="D92" t="str">
        <f>IFERROR(IF(0=LEN(ReferenceData!$D$92),"",ReferenceData!$D$92),"")</f>
        <v/>
      </c>
      <c r="E92" t="str">
        <f>IFERROR(IF(0=LEN(ReferenceData!$E$92),"",ReferenceData!$E$92),"")</f>
        <v>Expression</v>
      </c>
      <c r="F92" t="str">
        <f ca="1">IFERROR(IF(0=LEN(ReferenceData!$F$92),"",ReferenceData!$F$92),"")</f>
        <v/>
      </c>
      <c r="G92" t="str">
        <f ca="1">IFERROR(IF(0=LEN(ReferenceData!$G$92),"",ReferenceData!$G$92),"")</f>
        <v/>
      </c>
      <c r="H92" t="str">
        <f ca="1">IFERROR(IF(0=LEN(ReferenceData!$H$92),"",ReferenceData!$H$92),"")</f>
        <v/>
      </c>
      <c r="I92" t="str">
        <f ca="1">IFERROR(IF(0=LEN(ReferenceData!$I$92),"",ReferenceData!$I$92),"")</f>
        <v/>
      </c>
      <c r="J92" t="str">
        <f ca="1">IFERROR(IF(0=LEN(ReferenceData!$J$92),"",ReferenceData!$J$92),"")</f>
        <v/>
      </c>
      <c r="K92" t="str">
        <f ca="1">IFERROR(IF(0=LEN(ReferenceData!$K$92),"",ReferenceData!$K$92),"")</f>
        <v/>
      </c>
      <c r="L92" t="str">
        <f ca="1">IFERROR(IF(0=LEN(ReferenceData!$L$92),"",ReferenceData!$L$92),"")</f>
        <v/>
      </c>
      <c r="M92" t="str">
        <f ca="1">IFERROR(IF(0=LEN(ReferenceData!$M$92),"",ReferenceData!$M$92),"")</f>
        <v/>
      </c>
      <c r="N92" t="str">
        <f ca="1">IFERROR(IF(0=LEN(ReferenceData!$N$92),"",ReferenceData!$N$92),"")</f>
        <v/>
      </c>
      <c r="O92" t="str">
        <f ca="1">IFERROR(IF(0=LEN(ReferenceData!$O$92),"",ReferenceData!$O$92),"")</f>
        <v/>
      </c>
      <c r="P92" t="str">
        <f ca="1">IFERROR(IF(0=LEN(ReferenceData!$P$92),"",ReferenceData!$P$92),"")</f>
        <v/>
      </c>
      <c r="Q92" t="str">
        <f ca="1">IFERROR(IF(0=LEN(ReferenceData!$Q$92),"",ReferenceData!$Q$92),"")</f>
        <v/>
      </c>
      <c r="R92" t="str">
        <f ca="1">IFERROR(IF(0=LEN(ReferenceData!$R$92),"",ReferenceData!$R$92),"")</f>
        <v/>
      </c>
      <c r="S92" t="str">
        <f ca="1">IFERROR(IF(0=LEN(ReferenceData!$S$92),"",ReferenceData!$S$92),"")</f>
        <v/>
      </c>
      <c r="T92" t="str">
        <f ca="1">IFERROR(IF(0=LEN(ReferenceData!$T$92),"",ReferenceData!$T$92),"")</f>
        <v/>
      </c>
      <c r="U92" t="str">
        <f ca="1">IFERROR(IF(0=LEN(ReferenceData!$U$92),"",ReferenceData!$U$92),"")</f>
        <v/>
      </c>
      <c r="V92" t="str">
        <f ca="1">IFERROR(IF(0=LEN(ReferenceData!$V$92),"",ReferenceData!$V$92),"")</f>
        <v/>
      </c>
      <c r="W92" t="str">
        <f ca="1">IFERROR(IF(0=LEN(ReferenceData!$W$92),"",ReferenceData!$W$92),"")</f>
        <v/>
      </c>
      <c r="X92" t="str">
        <f ca="1">IFERROR(IF(0=LEN(ReferenceData!$X$92),"",ReferenceData!$X$92),"")</f>
        <v/>
      </c>
      <c r="Y92" t="str">
        <f ca="1">IFERROR(IF(0=LEN(ReferenceData!$Y$92),"",ReferenceData!$Y$92),"")</f>
        <v/>
      </c>
      <c r="Z92" t="str">
        <f ca="1">IFERROR(IF(0=LEN(ReferenceData!$Z$92),"",ReferenceData!$Z$92),"")</f>
        <v/>
      </c>
      <c r="AA92" t="str">
        <f ca="1">IFERROR(IF(0=LEN(ReferenceData!$AA$92),"",ReferenceData!$AA$92),"")</f>
        <v/>
      </c>
      <c r="AB92" t="str">
        <f ca="1">IFERROR(IF(0=LEN(ReferenceData!$AB$92),"",ReferenceData!$AB$92),"")</f>
        <v/>
      </c>
      <c r="AC92" t="str">
        <f ca="1">IFERROR(IF(0=LEN(ReferenceData!$AC$92),"",ReferenceData!$AC$92),"")</f>
        <v/>
      </c>
      <c r="AD92" t="str">
        <f ca="1">IFERROR(IF(0=LEN(ReferenceData!$AD$92),"",ReferenceData!$AD$92),"")</f>
        <v/>
      </c>
      <c r="AE92" t="str">
        <f ca="1">IFERROR(IF(0=LEN(ReferenceData!$AE$92),"",ReferenceData!$AE$92),"")</f>
        <v/>
      </c>
      <c r="AF92" t="str">
        <f ca="1">IFERROR(IF(0=LEN(ReferenceData!$AF$92),"",ReferenceData!$AF$92),"")</f>
        <v/>
      </c>
      <c r="AG92" t="str">
        <f ca="1">IFERROR(IF(0=LEN(ReferenceData!$AG$92),"",ReferenceData!$AG$92),"")</f>
        <v/>
      </c>
      <c r="AH92" t="str">
        <f ca="1">IFERROR(IF(0=LEN(ReferenceData!$AH$92),"",ReferenceData!$AH$92),"")</f>
        <v/>
      </c>
      <c r="AI92" t="str">
        <f ca="1">IFERROR(IF(0=LEN(ReferenceData!$AI$92),"",ReferenceData!$AI$92),"")</f>
        <v/>
      </c>
      <c r="AJ92" t="str">
        <f ca="1">IFERROR(IF(0=LEN(ReferenceData!$AJ$92),"",ReferenceData!$AJ$92),"")</f>
        <v/>
      </c>
      <c r="AK92" t="str">
        <f ca="1">IFERROR(IF(0=LEN(ReferenceData!$AK$92),"",ReferenceData!$AK$92),"")</f>
        <v/>
      </c>
      <c r="AL92" t="str">
        <f ca="1">IFERROR(IF(0=LEN(ReferenceData!$AL$92),"",ReferenceData!$AL$92),"")</f>
        <v/>
      </c>
      <c r="AM92" t="str">
        <f ca="1">IFERROR(IF(0=LEN(ReferenceData!$AM$92),"",ReferenceData!$AM$92),"")</f>
        <v/>
      </c>
      <c r="AN92" t="str">
        <f ca="1">IFERROR(IF(0=LEN(ReferenceData!$AN$92),"",ReferenceData!$AN$92),"")</f>
        <v/>
      </c>
      <c r="AO92" t="str">
        <f ca="1">IFERROR(IF(0=LEN(ReferenceData!$AO$92),"",ReferenceData!$AO$92),"")</f>
        <v/>
      </c>
      <c r="AP92" t="str">
        <f ca="1">IFERROR(IF(0=LEN(ReferenceData!$AP$92),"",ReferenceData!$AP$92),"")</f>
        <v/>
      </c>
      <c r="AQ92" t="str">
        <f ca="1">IFERROR(IF(0=LEN(ReferenceData!$AQ$92),"",ReferenceData!$AQ$92),"")</f>
        <v/>
      </c>
      <c r="AR92" t="str">
        <f ca="1">IFERROR(IF(0=LEN(ReferenceData!$AR$92),"",ReferenceData!$AR$92),"")</f>
        <v/>
      </c>
      <c r="AS92" t="str">
        <f ca="1">IFERROR(IF(0=LEN(ReferenceData!$AS$92),"",ReferenceData!$AS$92),"")</f>
        <v/>
      </c>
    </row>
    <row r="93" spans="1:45" x14ac:dyDescent="0.25">
      <c r="A93" t="str">
        <f>IFERROR(IF(0=LEN(ReferenceData!$A$93),"",ReferenceData!$A$93),"")</f>
        <v xml:space="preserve">        Chevrolet</v>
      </c>
      <c r="B93" t="str">
        <f>IFERROR(IF(0=LEN(ReferenceData!$B$93),"",ReferenceData!$B$93),"")</f>
        <v>MTLQQ US Equity</v>
      </c>
      <c r="C93" t="str">
        <f>IFERROR(IF(0=LEN(ReferenceData!$C$93),"",ReferenceData!$C$93),"")</f>
        <v/>
      </c>
      <c r="D93" t="str">
        <f>IFERROR(IF(0=LEN(ReferenceData!$D$93),"",ReferenceData!$D$93),"")</f>
        <v/>
      </c>
      <c r="E93" t="str">
        <f>IFERROR(IF(0=LEN(ReferenceData!$E$93),"",ReferenceData!$E$93),"")</f>
        <v>Expression</v>
      </c>
      <c r="F93" t="str">
        <f ca="1">IFERROR(IF(0=LEN(ReferenceData!$F$93),"",ReferenceData!$F$93),"")</f>
        <v/>
      </c>
      <c r="G93" t="str">
        <f ca="1">IFERROR(IF(0=LEN(ReferenceData!$G$93),"",ReferenceData!$G$93),"")</f>
        <v/>
      </c>
      <c r="H93" t="str">
        <f ca="1">IFERROR(IF(0=LEN(ReferenceData!$H$93),"",ReferenceData!$H$93),"")</f>
        <v/>
      </c>
      <c r="I93" t="str">
        <f ca="1">IFERROR(IF(0=LEN(ReferenceData!$I$93),"",ReferenceData!$I$93),"")</f>
        <v/>
      </c>
      <c r="J93" t="str">
        <f ca="1">IFERROR(IF(0=LEN(ReferenceData!$J$93),"",ReferenceData!$J$93),"")</f>
        <v/>
      </c>
      <c r="K93" t="str">
        <f ca="1">IFERROR(IF(0=LEN(ReferenceData!$K$93),"",ReferenceData!$K$93),"")</f>
        <v/>
      </c>
      <c r="L93" t="str">
        <f ca="1">IFERROR(IF(0=LEN(ReferenceData!$L$93),"",ReferenceData!$L$93),"")</f>
        <v/>
      </c>
      <c r="M93" t="str">
        <f ca="1">IFERROR(IF(0=LEN(ReferenceData!$M$93),"",ReferenceData!$M$93),"")</f>
        <v/>
      </c>
      <c r="N93" t="str">
        <f ca="1">IFERROR(IF(0=LEN(ReferenceData!$N$93),"",ReferenceData!$N$93),"")</f>
        <v/>
      </c>
      <c r="O93" t="str">
        <f ca="1">IFERROR(IF(0=LEN(ReferenceData!$O$93),"",ReferenceData!$O$93),"")</f>
        <v/>
      </c>
      <c r="P93" t="str">
        <f ca="1">IFERROR(IF(0=LEN(ReferenceData!$P$93),"",ReferenceData!$P$93),"")</f>
        <v/>
      </c>
      <c r="Q93" t="str">
        <f ca="1">IFERROR(IF(0=LEN(ReferenceData!$Q$93),"",ReferenceData!$Q$93),"")</f>
        <v/>
      </c>
      <c r="R93" t="str">
        <f ca="1">IFERROR(IF(0=LEN(ReferenceData!$R$93),"",ReferenceData!$R$93),"")</f>
        <v/>
      </c>
      <c r="S93" t="str">
        <f ca="1">IFERROR(IF(0=LEN(ReferenceData!$S$93),"",ReferenceData!$S$93),"")</f>
        <v/>
      </c>
      <c r="T93" t="str">
        <f ca="1">IFERROR(IF(0=LEN(ReferenceData!$T$93),"",ReferenceData!$T$93),"")</f>
        <v/>
      </c>
      <c r="U93" t="str">
        <f ca="1">IFERROR(IF(0=LEN(ReferenceData!$U$93),"",ReferenceData!$U$93),"")</f>
        <v/>
      </c>
      <c r="V93" t="str">
        <f ca="1">IFERROR(IF(0=LEN(ReferenceData!$V$93),"",ReferenceData!$V$93),"")</f>
        <v/>
      </c>
      <c r="W93" t="str">
        <f ca="1">IFERROR(IF(0=LEN(ReferenceData!$W$93),"",ReferenceData!$W$93),"")</f>
        <v/>
      </c>
      <c r="X93" t="str">
        <f ca="1">IFERROR(IF(0=LEN(ReferenceData!$X$93),"",ReferenceData!$X$93),"")</f>
        <v/>
      </c>
      <c r="Y93" t="str">
        <f ca="1">IFERROR(IF(0=LEN(ReferenceData!$Y$93),"",ReferenceData!$Y$93),"")</f>
        <v/>
      </c>
      <c r="Z93" t="str">
        <f ca="1">IFERROR(IF(0=LEN(ReferenceData!$Z$93),"",ReferenceData!$Z$93),"")</f>
        <v/>
      </c>
      <c r="AA93" t="str">
        <f ca="1">IFERROR(IF(0=LEN(ReferenceData!$AA$93),"",ReferenceData!$AA$93),"")</f>
        <v/>
      </c>
      <c r="AB93" t="str">
        <f ca="1">IFERROR(IF(0=LEN(ReferenceData!$AB$93),"",ReferenceData!$AB$93),"")</f>
        <v/>
      </c>
      <c r="AC93" t="str">
        <f ca="1">IFERROR(IF(0=LEN(ReferenceData!$AC$93),"",ReferenceData!$AC$93),"")</f>
        <v/>
      </c>
      <c r="AD93" t="str">
        <f ca="1">IFERROR(IF(0=LEN(ReferenceData!$AD$93),"",ReferenceData!$AD$93),"")</f>
        <v/>
      </c>
      <c r="AE93" t="str">
        <f ca="1">IFERROR(IF(0=LEN(ReferenceData!$AE$93),"",ReferenceData!$AE$93),"")</f>
        <v/>
      </c>
      <c r="AF93" t="str">
        <f ca="1">IFERROR(IF(0=LEN(ReferenceData!$AF$93),"",ReferenceData!$AF$93),"")</f>
        <v/>
      </c>
      <c r="AG93" t="str">
        <f ca="1">IFERROR(IF(0=LEN(ReferenceData!$AG$93),"",ReferenceData!$AG$93),"")</f>
        <v/>
      </c>
      <c r="AH93" t="str">
        <f ca="1">IFERROR(IF(0=LEN(ReferenceData!$AH$93),"",ReferenceData!$AH$93),"")</f>
        <v/>
      </c>
      <c r="AI93" t="str">
        <f ca="1">IFERROR(IF(0=LEN(ReferenceData!$AI$93),"",ReferenceData!$AI$93),"")</f>
        <v/>
      </c>
      <c r="AJ93" t="str">
        <f ca="1">IFERROR(IF(0=LEN(ReferenceData!$AJ$93),"",ReferenceData!$AJ$93),"")</f>
        <v/>
      </c>
      <c r="AK93" t="str">
        <f ca="1">IFERROR(IF(0=LEN(ReferenceData!$AK$93),"",ReferenceData!$AK$93),"")</f>
        <v/>
      </c>
      <c r="AL93" t="str">
        <f ca="1">IFERROR(IF(0=LEN(ReferenceData!$AL$93),"",ReferenceData!$AL$93),"")</f>
        <v/>
      </c>
      <c r="AM93" t="str">
        <f ca="1">IFERROR(IF(0=LEN(ReferenceData!$AM$93),"",ReferenceData!$AM$93),"")</f>
        <v/>
      </c>
      <c r="AN93" t="str">
        <f ca="1">IFERROR(IF(0=LEN(ReferenceData!$AN$93),"",ReferenceData!$AN$93),"")</f>
        <v/>
      </c>
      <c r="AO93" t="str">
        <f ca="1">IFERROR(IF(0=LEN(ReferenceData!$AO$93),"",ReferenceData!$AO$93),"")</f>
        <v/>
      </c>
      <c r="AP93" t="str">
        <f ca="1">IFERROR(IF(0=LEN(ReferenceData!$AP$93),"",ReferenceData!$AP$93),"")</f>
        <v/>
      </c>
      <c r="AQ93" t="str">
        <f ca="1">IFERROR(IF(0=LEN(ReferenceData!$AQ$93),"",ReferenceData!$AQ$93),"")</f>
        <v/>
      </c>
      <c r="AR93" t="str">
        <f ca="1">IFERROR(IF(0=LEN(ReferenceData!$AR$93),"",ReferenceData!$AR$93),"")</f>
        <v/>
      </c>
      <c r="AS93" t="str">
        <f ca="1">IFERROR(IF(0=LEN(ReferenceData!$AS$93),"",ReferenceData!$AS$93),"")</f>
        <v/>
      </c>
    </row>
    <row r="94" spans="1:45" x14ac:dyDescent="0.25">
      <c r="A94" t="str">
        <f>IFERROR(IF(0=LEN(ReferenceData!$A$94),"",ReferenceData!$A$94),"")</f>
        <v xml:space="preserve">    Scania</v>
      </c>
      <c r="B94" t="str">
        <f>IFERROR(IF(0=LEN(ReferenceData!$B$94),"",ReferenceData!$B$94),"")</f>
        <v/>
      </c>
      <c r="C94" t="str">
        <f>IFERROR(IF(0=LEN(ReferenceData!$C$94),"",ReferenceData!$C$94),"")</f>
        <v/>
      </c>
      <c r="D94" t="str">
        <f>IFERROR(IF(0=LEN(ReferenceData!$D$94),"",ReferenceData!$D$94),"")</f>
        <v/>
      </c>
      <c r="E94" t="str">
        <f>IFERROR(IF(0=LEN(ReferenceData!$E$94),"",ReferenceData!$E$94),"")</f>
        <v>Expression</v>
      </c>
      <c r="F94" t="str">
        <f ca="1">IFERROR(IF(0=LEN(ReferenceData!$F$94),"",ReferenceData!$F$94),"")</f>
        <v/>
      </c>
      <c r="G94" t="str">
        <f ca="1">IFERROR(IF(0=LEN(ReferenceData!$G$94),"",ReferenceData!$G$94),"")</f>
        <v/>
      </c>
      <c r="H94" t="str">
        <f ca="1">IFERROR(IF(0=LEN(ReferenceData!$H$94),"",ReferenceData!$H$94),"")</f>
        <v/>
      </c>
      <c r="I94" t="str">
        <f ca="1">IFERROR(IF(0=LEN(ReferenceData!$I$94),"",ReferenceData!$I$94),"")</f>
        <v/>
      </c>
      <c r="J94" t="str">
        <f ca="1">IFERROR(IF(0=LEN(ReferenceData!$J$94),"",ReferenceData!$J$94),"")</f>
        <v/>
      </c>
      <c r="K94" t="str">
        <f ca="1">IFERROR(IF(0=LEN(ReferenceData!$K$94),"",ReferenceData!$K$94),"")</f>
        <v/>
      </c>
      <c r="L94" t="str">
        <f ca="1">IFERROR(IF(0=LEN(ReferenceData!$L$94),"",ReferenceData!$L$94),"")</f>
        <v/>
      </c>
      <c r="M94" t="str">
        <f ca="1">IFERROR(IF(0=LEN(ReferenceData!$M$94),"",ReferenceData!$M$94),"")</f>
        <v/>
      </c>
      <c r="N94" t="str">
        <f ca="1">IFERROR(IF(0=LEN(ReferenceData!$N$94),"",ReferenceData!$N$94),"")</f>
        <v/>
      </c>
      <c r="O94" t="str">
        <f ca="1">IFERROR(IF(0=LEN(ReferenceData!$O$94),"",ReferenceData!$O$94),"")</f>
        <v/>
      </c>
      <c r="P94" t="str">
        <f ca="1">IFERROR(IF(0=LEN(ReferenceData!$P$94),"",ReferenceData!$P$94),"")</f>
        <v/>
      </c>
      <c r="Q94" t="str">
        <f ca="1">IFERROR(IF(0=LEN(ReferenceData!$Q$94),"",ReferenceData!$Q$94),"")</f>
        <v/>
      </c>
      <c r="R94" t="str">
        <f ca="1">IFERROR(IF(0=LEN(ReferenceData!$R$94),"",ReferenceData!$R$94),"")</f>
        <v/>
      </c>
      <c r="S94" t="str">
        <f ca="1">IFERROR(IF(0=LEN(ReferenceData!$S$94),"",ReferenceData!$S$94),"")</f>
        <v/>
      </c>
      <c r="T94" t="str">
        <f ca="1">IFERROR(IF(0=LEN(ReferenceData!$T$94),"",ReferenceData!$T$94),"")</f>
        <v/>
      </c>
      <c r="U94" t="str">
        <f ca="1">IFERROR(IF(0=LEN(ReferenceData!$U$94),"",ReferenceData!$U$94),"")</f>
        <v/>
      </c>
      <c r="V94" t="str">
        <f ca="1">IFERROR(IF(0=LEN(ReferenceData!$V$94),"",ReferenceData!$V$94),"")</f>
        <v/>
      </c>
      <c r="W94" t="str">
        <f ca="1">IFERROR(IF(0=LEN(ReferenceData!$W$94),"",ReferenceData!$W$94),"")</f>
        <v/>
      </c>
      <c r="X94" t="str">
        <f ca="1">IFERROR(IF(0=LEN(ReferenceData!$X$94),"",ReferenceData!$X$94),"")</f>
        <v/>
      </c>
      <c r="Y94" t="str">
        <f ca="1">IFERROR(IF(0=LEN(ReferenceData!$Y$94),"",ReferenceData!$Y$94),"")</f>
        <v/>
      </c>
      <c r="Z94" t="str">
        <f ca="1">IFERROR(IF(0=LEN(ReferenceData!$Z$94),"",ReferenceData!$Z$94),"")</f>
        <v/>
      </c>
      <c r="AA94" t="str">
        <f ca="1">IFERROR(IF(0=LEN(ReferenceData!$AA$94),"",ReferenceData!$AA$94),"")</f>
        <v/>
      </c>
      <c r="AB94" t="str">
        <f ca="1">IFERROR(IF(0=LEN(ReferenceData!$AB$94),"",ReferenceData!$AB$94),"")</f>
        <v/>
      </c>
      <c r="AC94" t="str">
        <f ca="1">IFERROR(IF(0=LEN(ReferenceData!$AC$94),"",ReferenceData!$AC$94),"")</f>
        <v/>
      </c>
      <c r="AD94" t="str">
        <f ca="1">IFERROR(IF(0=LEN(ReferenceData!$AD$94),"",ReferenceData!$AD$94),"")</f>
        <v/>
      </c>
      <c r="AE94" t="str">
        <f ca="1">IFERROR(IF(0=LEN(ReferenceData!$AE$94),"",ReferenceData!$AE$94),"")</f>
        <v/>
      </c>
      <c r="AF94" t="str">
        <f ca="1">IFERROR(IF(0=LEN(ReferenceData!$AF$94),"",ReferenceData!$AF$94),"")</f>
        <v/>
      </c>
      <c r="AG94" t="str">
        <f ca="1">IFERROR(IF(0=LEN(ReferenceData!$AG$94),"",ReferenceData!$AG$94),"")</f>
        <v/>
      </c>
      <c r="AH94" t="str">
        <f ca="1">IFERROR(IF(0=LEN(ReferenceData!$AH$94),"",ReferenceData!$AH$94),"")</f>
        <v/>
      </c>
      <c r="AI94" t="str">
        <f ca="1">IFERROR(IF(0=LEN(ReferenceData!$AI$94),"",ReferenceData!$AI$94),"")</f>
        <v/>
      </c>
      <c r="AJ94" t="str">
        <f ca="1">IFERROR(IF(0=LEN(ReferenceData!$AJ$94),"",ReferenceData!$AJ$94),"")</f>
        <v/>
      </c>
      <c r="AK94" t="str">
        <f ca="1">IFERROR(IF(0=LEN(ReferenceData!$AK$94),"",ReferenceData!$AK$94),"")</f>
        <v/>
      </c>
      <c r="AL94" t="str">
        <f ca="1">IFERROR(IF(0=LEN(ReferenceData!$AL$94),"",ReferenceData!$AL$94),"")</f>
        <v/>
      </c>
      <c r="AM94" t="str">
        <f ca="1">IFERROR(IF(0=LEN(ReferenceData!$AM$94),"",ReferenceData!$AM$94),"")</f>
        <v/>
      </c>
      <c r="AN94" t="str">
        <f ca="1">IFERROR(IF(0=LEN(ReferenceData!$AN$94),"",ReferenceData!$AN$94),"")</f>
        <v/>
      </c>
      <c r="AO94" t="str">
        <f ca="1">IFERROR(IF(0=LEN(ReferenceData!$AO$94),"",ReferenceData!$AO$94),"")</f>
        <v/>
      </c>
      <c r="AP94" t="str">
        <f ca="1">IFERROR(IF(0=LEN(ReferenceData!$AP$94),"",ReferenceData!$AP$94),"")</f>
        <v/>
      </c>
      <c r="AQ94" t="str">
        <f ca="1">IFERROR(IF(0=LEN(ReferenceData!$AQ$94),"",ReferenceData!$AQ$94),"")</f>
        <v/>
      </c>
      <c r="AR94" t="str">
        <f ca="1">IFERROR(IF(0=LEN(ReferenceData!$AR$94),"",ReferenceData!$AR$94),"")</f>
        <v/>
      </c>
      <c r="AS94" t="str">
        <f ca="1">IFERROR(IF(0=LEN(ReferenceData!$AS$94),"",ReferenceData!$AS$94),"")</f>
        <v/>
      </c>
    </row>
    <row r="95" spans="1:45" x14ac:dyDescent="0.25">
      <c r="A95" t="str">
        <f>IFERROR(IF(0=LEN(ReferenceData!$A$95),"",ReferenceData!$A$95),"")</f>
        <v xml:space="preserve">    MAN</v>
      </c>
      <c r="B95" t="str">
        <f>IFERROR(IF(0=LEN(ReferenceData!$B$95),"",ReferenceData!$B$95),"")</f>
        <v>VOW GR Equity</v>
      </c>
      <c r="C95" t="str">
        <f>IFERROR(IF(0=LEN(ReferenceData!$C$95),"",ReferenceData!$C$95),"")</f>
        <v/>
      </c>
      <c r="D95" t="str">
        <f>IFERROR(IF(0=LEN(ReferenceData!$D$95),"",ReferenceData!$D$95),"")</f>
        <v/>
      </c>
      <c r="E95" t="str">
        <f>IFERROR(IF(0=LEN(ReferenceData!$E$95),"",ReferenceData!$E$95),"")</f>
        <v>Sum</v>
      </c>
      <c r="F95" t="str">
        <f ca="1">IFERROR(IF(0=LEN(ReferenceData!$F$95),"",ReferenceData!$F$95),"")</f>
        <v/>
      </c>
      <c r="G95" t="str">
        <f ca="1">IFERROR(IF(0=LEN(ReferenceData!$G$95),"",ReferenceData!$G$95),"")</f>
        <v/>
      </c>
      <c r="H95" t="str">
        <f ca="1">IFERROR(IF(0=LEN(ReferenceData!$H$95),"",ReferenceData!$H$95),"")</f>
        <v/>
      </c>
      <c r="I95" t="str">
        <f ca="1">IFERROR(IF(0=LEN(ReferenceData!$I$95),"",ReferenceData!$I$95),"")</f>
        <v/>
      </c>
      <c r="J95" t="str">
        <f ca="1">IFERROR(IF(0=LEN(ReferenceData!$J$95),"",ReferenceData!$J$95),"")</f>
        <v/>
      </c>
      <c r="K95" t="str">
        <f ca="1">IFERROR(IF(0=LEN(ReferenceData!$K$95),"",ReferenceData!$K$95),"")</f>
        <v/>
      </c>
      <c r="L95" t="str">
        <f ca="1">IFERROR(IF(0=LEN(ReferenceData!$L$95),"",ReferenceData!$L$95),"")</f>
        <v/>
      </c>
      <c r="M95" t="str">
        <f ca="1">IFERROR(IF(0=LEN(ReferenceData!$M$95),"",ReferenceData!$M$95),"")</f>
        <v/>
      </c>
      <c r="N95" t="str">
        <f ca="1">IFERROR(IF(0=LEN(ReferenceData!$N$95),"",ReferenceData!$N$95),"")</f>
        <v/>
      </c>
      <c r="O95" t="str">
        <f ca="1">IFERROR(IF(0=LEN(ReferenceData!$O$95),"",ReferenceData!$O$95),"")</f>
        <v/>
      </c>
      <c r="P95">
        <f ca="1">IFERROR(IF(0=LEN(ReferenceData!$P$95),"",ReferenceData!$P$95),"")</f>
        <v>0.65018393399999996</v>
      </c>
      <c r="Q95">
        <f ca="1">IFERROR(IF(0=LEN(ReferenceData!$Q$95),"",ReferenceData!$Q$95),"")</f>
        <v>0.57604850900000004</v>
      </c>
      <c r="R95">
        <f ca="1">IFERROR(IF(0=LEN(ReferenceData!$R$95),"",ReferenceData!$R$95),"")</f>
        <v>0.48575432000000002</v>
      </c>
      <c r="S95">
        <f ca="1">IFERROR(IF(0=LEN(ReferenceData!$S$95),"",ReferenceData!$S$95),"")</f>
        <v>0.42201215399999997</v>
      </c>
      <c r="T95">
        <f ca="1">IFERROR(IF(0=LEN(ReferenceData!$T$95),"",ReferenceData!$T$95),"")</f>
        <v>0.32232070899999998</v>
      </c>
      <c r="U95">
        <f ca="1">IFERROR(IF(0=LEN(ReferenceData!$U$95),"",ReferenceData!$U$95),"")</f>
        <v>0.30864197500000001</v>
      </c>
      <c r="V95">
        <f ca="1">IFERROR(IF(0=LEN(ReferenceData!$V$95),"",ReferenceData!$V$95),"")</f>
        <v>0.33407572400000002</v>
      </c>
      <c r="W95">
        <f ca="1">IFERROR(IF(0=LEN(ReferenceData!$W$95),"",ReferenceData!$W$95),"")</f>
        <v>0.42139978</v>
      </c>
      <c r="X95">
        <f ca="1">IFERROR(IF(0=LEN(ReferenceData!$X$95),"",ReferenceData!$X$95),"")</f>
        <v>0.389105058</v>
      </c>
      <c r="Y95">
        <f ca="1">IFERROR(IF(0=LEN(ReferenceData!$Y$95),"",ReferenceData!$Y$95),"")</f>
        <v>0.29727875599999998</v>
      </c>
      <c r="Z95">
        <f ca="1">IFERROR(IF(0=LEN(ReferenceData!$Z$95),"",ReferenceData!$Z$95),"")</f>
        <v>0.26855250200000003</v>
      </c>
      <c r="AA95">
        <f ca="1">IFERROR(IF(0=LEN(ReferenceData!$AA$95),"",ReferenceData!$AA$95),"")</f>
        <v>0.44701818599999998</v>
      </c>
      <c r="AB95">
        <f ca="1">IFERROR(IF(0=LEN(ReferenceData!$AB$95),"",ReferenceData!$AB$95),"")</f>
        <v>0.638041042</v>
      </c>
      <c r="AC95">
        <f ca="1">IFERROR(IF(0=LEN(ReferenceData!$AC$95),"",ReferenceData!$AC$95),"")</f>
        <v>0.55940077799999999</v>
      </c>
      <c r="AD95">
        <f ca="1">IFERROR(IF(0=LEN(ReferenceData!$AD$95),"",ReferenceData!$AD$95),"")</f>
        <v>0.45757071599999999</v>
      </c>
      <c r="AE95">
        <f ca="1">IFERROR(IF(0=LEN(ReferenceData!$AE$95),"",ReferenceData!$AE$95),"")</f>
        <v>0.47242663800000001</v>
      </c>
      <c r="AF95">
        <f ca="1">IFERROR(IF(0=LEN(ReferenceData!$AF$95),"",ReferenceData!$AF$95),"")</f>
        <v>0.46494992899999998</v>
      </c>
      <c r="AG95">
        <f ca="1">IFERROR(IF(0=LEN(ReferenceData!$AG$95),"",ReferenceData!$AG$95),"")</f>
        <v>0.45446600199999998</v>
      </c>
      <c r="AH95">
        <f ca="1">IFERROR(IF(0=LEN(ReferenceData!$AH$95),"",ReferenceData!$AH$95),"")</f>
        <v>0.43917435199999999</v>
      </c>
      <c r="AI95">
        <f ca="1">IFERROR(IF(0=LEN(ReferenceData!$AI$95),"",ReferenceData!$AI$95),"")</f>
        <v>0.48548812699999999</v>
      </c>
      <c r="AJ95">
        <f ca="1">IFERROR(IF(0=LEN(ReferenceData!$AJ$95),"",ReferenceData!$AJ$95),"")</f>
        <v>0.441545409</v>
      </c>
      <c r="AK95">
        <f ca="1">IFERROR(IF(0=LEN(ReferenceData!$AK$95),"",ReferenceData!$AK$95),"")</f>
        <v>0.49973698100000002</v>
      </c>
      <c r="AL95">
        <f ca="1">IFERROR(IF(0=LEN(ReferenceData!$AL$95),"",ReferenceData!$AL$95),"")</f>
        <v>0.59734513300000003</v>
      </c>
      <c r="AM95">
        <f ca="1">IFERROR(IF(0=LEN(ReferenceData!$AM$95),"",ReferenceData!$AM$95),"")</f>
        <v>0.62003698500000004</v>
      </c>
      <c r="AN95">
        <f ca="1">IFERROR(IF(0=LEN(ReferenceData!$AN$95),"",ReferenceData!$AN$95),"")</f>
        <v>0.657368748</v>
      </c>
      <c r="AO95">
        <f ca="1">IFERROR(IF(0=LEN(ReferenceData!$AO$95),"",ReferenceData!$AO$95),"")</f>
        <v>0.90214258899999999</v>
      </c>
      <c r="AP95">
        <f ca="1">IFERROR(IF(0=LEN(ReferenceData!$AP$95),"",ReferenceData!$AP$95),"")</f>
        <v>0.70435762599999996</v>
      </c>
      <c r="AQ95">
        <f ca="1">IFERROR(IF(0=LEN(ReferenceData!$AQ$95),"",ReferenceData!$AQ$95),"")</f>
        <v>0.26249179700000003</v>
      </c>
      <c r="AR95">
        <f ca="1">IFERROR(IF(0=LEN(ReferenceData!$AR$95),"",ReferenceData!$AR$95),"")</f>
        <v>0.26191195699999997</v>
      </c>
      <c r="AS95">
        <f ca="1">IFERROR(IF(0=LEN(ReferenceData!$AS$95),"",ReferenceData!$AS$95),"")</f>
        <v>0.17060249599999999</v>
      </c>
    </row>
    <row r="96" spans="1:45" x14ac:dyDescent="0.25">
      <c r="A96" t="str">
        <f>IFERROR(IF(0=LEN(ReferenceData!$A$96),"",ReferenceData!$A$96),"")</f>
        <v xml:space="preserve">        MAN</v>
      </c>
      <c r="B96" t="str">
        <f>IFERROR(IF(0=LEN(ReferenceData!$B$96),"",ReferenceData!$B$96),"")</f>
        <v>VOW GR Equity</v>
      </c>
      <c r="C96" t="str">
        <f>IFERROR(IF(0=LEN(ReferenceData!$C$96),"",ReferenceData!$C$96),"")</f>
        <v/>
      </c>
      <c r="D96" t="str">
        <f>IFERROR(IF(0=LEN(ReferenceData!$D$96),"",ReferenceData!$D$96),"")</f>
        <v/>
      </c>
      <c r="E96" t="str">
        <f>IFERROR(IF(0=LEN(ReferenceData!$E$96),"",ReferenceData!$E$96),"")</f>
        <v>Expression</v>
      </c>
      <c r="F96" t="str">
        <f ca="1">IFERROR(IF(0=LEN(ReferenceData!$F$96),"",ReferenceData!$F$96),"")</f>
        <v/>
      </c>
      <c r="G96" t="str">
        <f ca="1">IFERROR(IF(0=LEN(ReferenceData!$G$96),"",ReferenceData!$G$96),"")</f>
        <v/>
      </c>
      <c r="H96" t="str">
        <f ca="1">IFERROR(IF(0=LEN(ReferenceData!$H$96),"",ReferenceData!$H$96),"")</f>
        <v/>
      </c>
      <c r="I96" t="str">
        <f ca="1">IFERROR(IF(0=LEN(ReferenceData!$I$96),"",ReferenceData!$I$96),"")</f>
        <v/>
      </c>
      <c r="J96" t="str">
        <f ca="1">IFERROR(IF(0=LEN(ReferenceData!$J$96),"",ReferenceData!$J$96),"")</f>
        <v/>
      </c>
      <c r="K96" t="str">
        <f ca="1">IFERROR(IF(0=LEN(ReferenceData!$K$96),"",ReferenceData!$K$96),"")</f>
        <v/>
      </c>
      <c r="L96" t="str">
        <f ca="1">IFERROR(IF(0=LEN(ReferenceData!$L$96),"",ReferenceData!$L$96),"")</f>
        <v/>
      </c>
      <c r="M96" t="str">
        <f ca="1">IFERROR(IF(0=LEN(ReferenceData!$M$96),"",ReferenceData!$M$96),"")</f>
        <v/>
      </c>
      <c r="N96" t="str">
        <f ca="1">IFERROR(IF(0=LEN(ReferenceData!$N$96),"",ReferenceData!$N$96),"")</f>
        <v/>
      </c>
      <c r="O96" t="str">
        <f ca="1">IFERROR(IF(0=LEN(ReferenceData!$O$96),"",ReferenceData!$O$96),"")</f>
        <v/>
      </c>
      <c r="P96" t="str">
        <f ca="1">IFERROR(IF(0=LEN(ReferenceData!$P$96),"",ReferenceData!$P$96),"")</f>
        <v/>
      </c>
      <c r="Q96" t="str">
        <f ca="1">IFERROR(IF(0=LEN(ReferenceData!$Q$96),"",ReferenceData!$Q$96),"")</f>
        <v/>
      </c>
      <c r="R96" t="str">
        <f ca="1">IFERROR(IF(0=LEN(ReferenceData!$R$96),"",ReferenceData!$R$96),"")</f>
        <v/>
      </c>
      <c r="S96" t="str">
        <f ca="1">IFERROR(IF(0=LEN(ReferenceData!$S$96),"",ReferenceData!$S$96),"")</f>
        <v/>
      </c>
      <c r="T96" t="str">
        <f ca="1">IFERROR(IF(0=LEN(ReferenceData!$T$96),"",ReferenceData!$T$96),"")</f>
        <v/>
      </c>
      <c r="U96" t="str">
        <f ca="1">IFERROR(IF(0=LEN(ReferenceData!$U$96),"",ReferenceData!$U$96),"")</f>
        <v/>
      </c>
      <c r="V96" t="str">
        <f ca="1">IFERROR(IF(0=LEN(ReferenceData!$V$96),"",ReferenceData!$V$96),"")</f>
        <v/>
      </c>
      <c r="W96" t="str">
        <f ca="1">IFERROR(IF(0=LEN(ReferenceData!$W$96),"",ReferenceData!$W$96),"")</f>
        <v/>
      </c>
      <c r="X96" t="str">
        <f ca="1">IFERROR(IF(0=LEN(ReferenceData!$X$96),"",ReferenceData!$X$96),"")</f>
        <v/>
      </c>
      <c r="Y96" t="str">
        <f ca="1">IFERROR(IF(0=LEN(ReferenceData!$Y$96),"",ReferenceData!$Y$96),"")</f>
        <v/>
      </c>
      <c r="Z96" t="str">
        <f ca="1">IFERROR(IF(0=LEN(ReferenceData!$Z$96),"",ReferenceData!$Z$96),"")</f>
        <v/>
      </c>
      <c r="AA96" t="str">
        <f ca="1">IFERROR(IF(0=LEN(ReferenceData!$AA$96),"",ReferenceData!$AA$96),"")</f>
        <v/>
      </c>
      <c r="AB96" t="str">
        <f ca="1">IFERROR(IF(0=LEN(ReferenceData!$AB$96),"",ReferenceData!$AB$96),"")</f>
        <v/>
      </c>
      <c r="AC96" t="str">
        <f ca="1">IFERROR(IF(0=LEN(ReferenceData!$AC$96),"",ReferenceData!$AC$96),"")</f>
        <v/>
      </c>
      <c r="AD96" t="str">
        <f ca="1">IFERROR(IF(0=LEN(ReferenceData!$AD$96),"",ReferenceData!$AD$96),"")</f>
        <v/>
      </c>
      <c r="AE96" t="str">
        <f ca="1">IFERROR(IF(0=LEN(ReferenceData!$AE$96),"",ReferenceData!$AE$96),"")</f>
        <v/>
      </c>
      <c r="AF96" t="str">
        <f ca="1">IFERROR(IF(0=LEN(ReferenceData!$AF$96),"",ReferenceData!$AF$96),"")</f>
        <v/>
      </c>
      <c r="AG96" t="str">
        <f ca="1">IFERROR(IF(0=LEN(ReferenceData!$AG$96),"",ReferenceData!$AG$96),"")</f>
        <v/>
      </c>
      <c r="AH96" t="str">
        <f ca="1">IFERROR(IF(0=LEN(ReferenceData!$AH$96),"",ReferenceData!$AH$96),"")</f>
        <v/>
      </c>
      <c r="AI96" t="str">
        <f ca="1">IFERROR(IF(0=LEN(ReferenceData!$AI$96),"",ReferenceData!$AI$96),"")</f>
        <v/>
      </c>
      <c r="AJ96" t="str">
        <f ca="1">IFERROR(IF(0=LEN(ReferenceData!$AJ$96),"",ReferenceData!$AJ$96),"")</f>
        <v/>
      </c>
      <c r="AK96" t="str">
        <f ca="1">IFERROR(IF(0=LEN(ReferenceData!$AK$96),"",ReferenceData!$AK$96),"")</f>
        <v/>
      </c>
      <c r="AL96" t="str">
        <f ca="1">IFERROR(IF(0=LEN(ReferenceData!$AL$96),"",ReferenceData!$AL$96),"")</f>
        <v/>
      </c>
      <c r="AM96" t="str">
        <f ca="1">IFERROR(IF(0=LEN(ReferenceData!$AM$96),"",ReferenceData!$AM$96),"")</f>
        <v/>
      </c>
      <c r="AN96" t="str">
        <f ca="1">IFERROR(IF(0=LEN(ReferenceData!$AN$96),"",ReferenceData!$AN$96),"")</f>
        <v/>
      </c>
      <c r="AO96" t="str">
        <f ca="1">IFERROR(IF(0=LEN(ReferenceData!$AO$96),"",ReferenceData!$AO$96),"")</f>
        <v/>
      </c>
      <c r="AP96" t="str">
        <f ca="1">IFERROR(IF(0=LEN(ReferenceData!$AP$96),"",ReferenceData!$AP$96),"")</f>
        <v/>
      </c>
      <c r="AQ96" t="str">
        <f ca="1">IFERROR(IF(0=LEN(ReferenceData!$AQ$96),"",ReferenceData!$AQ$96),"")</f>
        <v/>
      </c>
      <c r="AR96" t="str">
        <f ca="1">IFERROR(IF(0=LEN(ReferenceData!$AR$96),"",ReferenceData!$AR$96),"")</f>
        <v/>
      </c>
      <c r="AS96" t="str">
        <f ca="1">IFERROR(IF(0=LEN(ReferenceData!$AS$96),"",ReferenceData!$AS$96),"")</f>
        <v/>
      </c>
    </row>
    <row r="97" spans="1:45" x14ac:dyDescent="0.25">
      <c r="A97" t="str">
        <f>IFERROR(IF(0=LEN(ReferenceData!$A$97),"",ReferenceData!$A$97),"")</f>
        <v xml:space="preserve">        Volkswagen Truck &amp; Bus</v>
      </c>
      <c r="B97" t="str">
        <f>IFERROR(IF(0=LEN(ReferenceData!$B$97),"",ReferenceData!$B$97),"")</f>
        <v>VOW GR Equity</v>
      </c>
      <c r="C97" t="str">
        <f>IFERROR(IF(0=LEN(ReferenceData!$C$97),"",ReferenceData!$C$97),"")</f>
        <v/>
      </c>
      <c r="D97" t="str">
        <f>IFERROR(IF(0=LEN(ReferenceData!$D$97),"",ReferenceData!$D$97),"")</f>
        <v/>
      </c>
      <c r="E97" t="str">
        <f>IFERROR(IF(0=LEN(ReferenceData!$E$97),"",ReferenceData!$E$97),"")</f>
        <v>Expression</v>
      </c>
      <c r="F97" t="str">
        <f ca="1">IFERROR(IF(0=LEN(ReferenceData!$F$97),"",ReferenceData!$F$97),"")</f>
        <v/>
      </c>
      <c r="G97" t="str">
        <f ca="1">IFERROR(IF(0=LEN(ReferenceData!$G$97),"",ReferenceData!$G$97),"")</f>
        <v/>
      </c>
      <c r="H97" t="str">
        <f ca="1">IFERROR(IF(0=LEN(ReferenceData!$H$97),"",ReferenceData!$H$97),"")</f>
        <v/>
      </c>
      <c r="I97" t="str">
        <f ca="1">IFERROR(IF(0=LEN(ReferenceData!$I$97),"",ReferenceData!$I$97),"")</f>
        <v/>
      </c>
      <c r="J97" t="str">
        <f ca="1">IFERROR(IF(0=LEN(ReferenceData!$J$97),"",ReferenceData!$J$97),"")</f>
        <v/>
      </c>
      <c r="K97" t="str">
        <f ca="1">IFERROR(IF(0=LEN(ReferenceData!$K$97),"",ReferenceData!$K$97),"")</f>
        <v/>
      </c>
      <c r="L97" t="str">
        <f ca="1">IFERROR(IF(0=LEN(ReferenceData!$L$97),"",ReferenceData!$L$97),"")</f>
        <v/>
      </c>
      <c r="M97" t="str">
        <f ca="1">IFERROR(IF(0=LEN(ReferenceData!$M$97),"",ReferenceData!$M$97),"")</f>
        <v/>
      </c>
      <c r="N97" t="str">
        <f ca="1">IFERROR(IF(0=LEN(ReferenceData!$N$97),"",ReferenceData!$N$97),"")</f>
        <v/>
      </c>
      <c r="O97" t="str">
        <f ca="1">IFERROR(IF(0=LEN(ReferenceData!$O$97),"",ReferenceData!$O$97),"")</f>
        <v/>
      </c>
      <c r="P97">
        <f ca="1">IFERROR(IF(0=LEN(ReferenceData!$P$97),"",ReferenceData!$P$97),"")</f>
        <v>0.65018393399999996</v>
      </c>
      <c r="Q97">
        <f ca="1">IFERROR(IF(0=LEN(ReferenceData!$Q$97),"",ReferenceData!$Q$97),"")</f>
        <v>0.57604850900000004</v>
      </c>
      <c r="R97">
        <f ca="1">IFERROR(IF(0=LEN(ReferenceData!$R$97),"",ReferenceData!$R$97),"")</f>
        <v>0.48575432000000002</v>
      </c>
      <c r="S97">
        <f ca="1">IFERROR(IF(0=LEN(ReferenceData!$S$97),"",ReferenceData!$S$97),"")</f>
        <v>0.42201215399999997</v>
      </c>
      <c r="T97">
        <f ca="1">IFERROR(IF(0=LEN(ReferenceData!$T$97),"",ReferenceData!$T$97),"")</f>
        <v>0.32232070899999998</v>
      </c>
      <c r="U97">
        <f ca="1">IFERROR(IF(0=LEN(ReferenceData!$U$97),"",ReferenceData!$U$97),"")</f>
        <v>0.30864197500000001</v>
      </c>
      <c r="V97">
        <f ca="1">IFERROR(IF(0=LEN(ReferenceData!$V$97),"",ReferenceData!$V$97),"")</f>
        <v>0.33407572400000002</v>
      </c>
      <c r="W97">
        <f ca="1">IFERROR(IF(0=LEN(ReferenceData!$W$97),"",ReferenceData!$W$97),"")</f>
        <v>0.42139978</v>
      </c>
      <c r="X97">
        <f ca="1">IFERROR(IF(0=LEN(ReferenceData!$X$97),"",ReferenceData!$X$97),"")</f>
        <v>0.389105058</v>
      </c>
      <c r="Y97">
        <f ca="1">IFERROR(IF(0=LEN(ReferenceData!$Y$97),"",ReferenceData!$Y$97),"")</f>
        <v>0.29727875599999998</v>
      </c>
      <c r="Z97">
        <f ca="1">IFERROR(IF(0=LEN(ReferenceData!$Z$97),"",ReferenceData!$Z$97),"")</f>
        <v>0.26855250200000003</v>
      </c>
      <c r="AA97">
        <f ca="1">IFERROR(IF(0=LEN(ReferenceData!$AA$97),"",ReferenceData!$AA$97),"")</f>
        <v>0.44701818599999998</v>
      </c>
      <c r="AB97">
        <f ca="1">IFERROR(IF(0=LEN(ReferenceData!$AB$97),"",ReferenceData!$AB$97),"")</f>
        <v>0.638041042</v>
      </c>
      <c r="AC97">
        <f ca="1">IFERROR(IF(0=LEN(ReferenceData!$AC$97),"",ReferenceData!$AC$97),"")</f>
        <v>0.55940077799999999</v>
      </c>
      <c r="AD97">
        <f ca="1">IFERROR(IF(0=LEN(ReferenceData!$AD$97),"",ReferenceData!$AD$97),"")</f>
        <v>0.45757071599999999</v>
      </c>
      <c r="AE97">
        <f ca="1">IFERROR(IF(0=LEN(ReferenceData!$AE$97),"",ReferenceData!$AE$97),"")</f>
        <v>0.47242663800000001</v>
      </c>
      <c r="AF97">
        <f ca="1">IFERROR(IF(0=LEN(ReferenceData!$AF$97),"",ReferenceData!$AF$97),"")</f>
        <v>0.46494992899999998</v>
      </c>
      <c r="AG97">
        <f ca="1">IFERROR(IF(0=LEN(ReferenceData!$AG$97),"",ReferenceData!$AG$97),"")</f>
        <v>0.45446600199999998</v>
      </c>
      <c r="AH97">
        <f ca="1">IFERROR(IF(0=LEN(ReferenceData!$AH$97),"",ReferenceData!$AH$97),"")</f>
        <v>0.43917435199999999</v>
      </c>
      <c r="AI97">
        <f ca="1">IFERROR(IF(0=LEN(ReferenceData!$AI$97),"",ReferenceData!$AI$97),"")</f>
        <v>0.48548812699999999</v>
      </c>
      <c r="AJ97">
        <f ca="1">IFERROR(IF(0=LEN(ReferenceData!$AJ$97),"",ReferenceData!$AJ$97),"")</f>
        <v>0.441545409</v>
      </c>
      <c r="AK97">
        <f ca="1">IFERROR(IF(0=LEN(ReferenceData!$AK$97),"",ReferenceData!$AK$97),"")</f>
        <v>0.49973698100000002</v>
      </c>
      <c r="AL97">
        <f ca="1">IFERROR(IF(0=LEN(ReferenceData!$AL$97),"",ReferenceData!$AL$97),"")</f>
        <v>0.59734513300000003</v>
      </c>
      <c r="AM97">
        <f ca="1">IFERROR(IF(0=LEN(ReferenceData!$AM$97),"",ReferenceData!$AM$97),"")</f>
        <v>0.62003698500000004</v>
      </c>
      <c r="AN97">
        <f ca="1">IFERROR(IF(0=LEN(ReferenceData!$AN$97),"",ReferenceData!$AN$97),"")</f>
        <v>0.657368748</v>
      </c>
      <c r="AO97">
        <f ca="1">IFERROR(IF(0=LEN(ReferenceData!$AO$97),"",ReferenceData!$AO$97),"")</f>
        <v>0.90214258899999999</v>
      </c>
      <c r="AP97">
        <f ca="1">IFERROR(IF(0=LEN(ReferenceData!$AP$97),"",ReferenceData!$AP$97),"")</f>
        <v>0.70435762599999996</v>
      </c>
      <c r="AQ97">
        <f ca="1">IFERROR(IF(0=LEN(ReferenceData!$AQ$97),"",ReferenceData!$AQ$97),"")</f>
        <v>0.26249179700000003</v>
      </c>
      <c r="AR97">
        <f ca="1">IFERROR(IF(0=LEN(ReferenceData!$AR$97),"",ReferenceData!$AR$97),"")</f>
        <v>0.26191195699999997</v>
      </c>
      <c r="AS97">
        <f ca="1">IFERROR(IF(0=LEN(ReferenceData!$AS$97),"",ReferenceData!$AS$97),"")</f>
        <v>0.17060249599999999</v>
      </c>
    </row>
    <row r="98" spans="1:45" x14ac:dyDescent="0.25">
      <c r="A98" t="str">
        <f>IFERROR(IF(0=LEN(ReferenceData!$A$98),"",ReferenceData!$A$98),"")</f>
        <v xml:space="preserve">    Other</v>
      </c>
      <c r="B98" t="str">
        <f>IFERROR(IF(0=LEN(ReferenceData!$B$98),"",ReferenceData!$B$98),"")</f>
        <v/>
      </c>
      <c r="C98" t="str">
        <f>IFERROR(IF(0=LEN(ReferenceData!$C$98),"",ReferenceData!$C$98),"")</f>
        <v/>
      </c>
      <c r="D98" t="str">
        <f>IFERROR(IF(0=LEN(ReferenceData!$D$98),"",ReferenceData!$D$98),"")</f>
        <v/>
      </c>
      <c r="E98" t="str">
        <f>IFERROR(IF(0=LEN(ReferenceData!$E$98),"",ReferenceData!$E$98),"")</f>
        <v>Expression</v>
      </c>
      <c r="F98">
        <f ca="1">IFERROR(IF(0=LEN(ReferenceData!$F$98),"",ReferenceData!$F$98),"")</f>
        <v>3.9919151089999998</v>
      </c>
      <c r="G98">
        <f ca="1">IFERROR(IF(0=LEN(ReferenceData!$G$98),"",ReferenceData!$G$98),"")</f>
        <v>4.4416696399999998</v>
      </c>
      <c r="H98">
        <f ca="1">IFERROR(IF(0=LEN(ReferenceData!$H$98),"",ReferenceData!$H$98),"")</f>
        <v>3.7742762920000001</v>
      </c>
      <c r="I98">
        <f ca="1">IFERROR(IF(0=LEN(ReferenceData!$I$98),"",ReferenceData!$I$98),"")</f>
        <v>4.2154566740000003</v>
      </c>
      <c r="J98">
        <f ca="1">IFERROR(IF(0=LEN(ReferenceData!$J$98),"",ReferenceData!$J$98),"")</f>
        <v>4.519281103</v>
      </c>
      <c r="K98">
        <f ca="1">IFERROR(IF(0=LEN(ReferenceData!$K$98),"",ReferenceData!$K$98),"")</f>
        <v>3.947729142</v>
      </c>
      <c r="L98">
        <f ca="1">IFERROR(IF(0=LEN(ReferenceData!$L$98),"",ReferenceData!$L$98),"")</f>
        <v>3.904225855</v>
      </c>
      <c r="M98">
        <f ca="1">IFERROR(IF(0=LEN(ReferenceData!$M$98),"",ReferenceData!$M$98),"")</f>
        <v>3.6216137910000001</v>
      </c>
      <c r="N98">
        <f ca="1">IFERROR(IF(0=LEN(ReferenceData!$N$98),"",ReferenceData!$N$98),"")</f>
        <v>3.9721126500000001</v>
      </c>
      <c r="O98">
        <f ca="1">IFERROR(IF(0=LEN(ReferenceData!$O$98),"",ReferenceData!$O$98),"")</f>
        <v>4.4970889380000001</v>
      </c>
      <c r="P98">
        <f ca="1">IFERROR(IF(0=LEN(ReferenceData!$P$98),"",ReferenceData!$P$98),"")</f>
        <v>0</v>
      </c>
      <c r="Q98">
        <f ca="1">IFERROR(IF(0=LEN(ReferenceData!$Q$98),"",ReferenceData!$Q$98),"")</f>
        <v>0</v>
      </c>
      <c r="R98">
        <f ca="1">IFERROR(IF(0=LEN(ReferenceData!$R$98),"",ReferenceData!$R$98),"")</f>
        <v>0</v>
      </c>
      <c r="S98">
        <f ca="1">IFERROR(IF(0=LEN(ReferenceData!$S$98),"",ReferenceData!$S$98),"")</f>
        <v>0</v>
      </c>
      <c r="T98">
        <f ca="1">IFERROR(IF(0=LEN(ReferenceData!$T$98),"",ReferenceData!$T$98),"")</f>
        <v>0</v>
      </c>
      <c r="U98">
        <f ca="1">IFERROR(IF(0=LEN(ReferenceData!$U$98),"",ReferenceData!$U$98),"")</f>
        <v>0</v>
      </c>
      <c r="V98">
        <f ca="1">IFERROR(IF(0=LEN(ReferenceData!$V$98),"",ReferenceData!$V$98),"")</f>
        <v>0</v>
      </c>
      <c r="W98">
        <f ca="1">IFERROR(IF(0=LEN(ReferenceData!$W$98),"",ReferenceData!$W$98),"")</f>
        <v>0</v>
      </c>
      <c r="X98">
        <f ca="1">IFERROR(IF(0=LEN(ReferenceData!$X$98),"",ReferenceData!$X$98),"")</f>
        <v>0</v>
      </c>
      <c r="Y98">
        <f ca="1">IFERROR(IF(0=LEN(ReferenceData!$Y$98),"",ReferenceData!$Y$98),"")</f>
        <v>0</v>
      </c>
      <c r="Z98">
        <f ca="1">IFERROR(IF(0=LEN(ReferenceData!$Z$98),"",ReferenceData!$Z$98),"")</f>
        <v>0</v>
      </c>
      <c r="AA98">
        <f ca="1">IFERROR(IF(0=LEN(ReferenceData!$AA$98),"",ReferenceData!$AA$98),"")</f>
        <v>0</v>
      </c>
      <c r="AB98">
        <f ca="1">IFERROR(IF(0=LEN(ReferenceData!$AB$98),"",ReferenceData!$AB$98),"")</f>
        <v>0</v>
      </c>
      <c r="AC98">
        <f ca="1">IFERROR(IF(0=LEN(ReferenceData!$AC$98),"",ReferenceData!$AC$98),"")</f>
        <v>0</v>
      </c>
      <c r="AD98">
        <f ca="1">IFERROR(IF(0=LEN(ReferenceData!$AD$98),"",ReferenceData!$AD$98),"")</f>
        <v>0</v>
      </c>
      <c r="AE98">
        <f ca="1">IFERROR(IF(0=LEN(ReferenceData!$AE$98),"",ReferenceData!$AE$98),"")</f>
        <v>0</v>
      </c>
      <c r="AF98">
        <f ca="1">IFERROR(IF(0=LEN(ReferenceData!$AF$98),"",ReferenceData!$AF$98),"")</f>
        <v>0</v>
      </c>
      <c r="AG98">
        <f ca="1">IFERROR(IF(0=LEN(ReferenceData!$AG$98),"",ReferenceData!$AG$98),"")</f>
        <v>0</v>
      </c>
      <c r="AH98">
        <f ca="1">IFERROR(IF(0=LEN(ReferenceData!$AH$98),"",ReferenceData!$AH$98),"")</f>
        <v>0</v>
      </c>
      <c r="AI98">
        <f ca="1">IFERROR(IF(0=LEN(ReferenceData!$AI$98),"",ReferenceData!$AI$98),"")</f>
        <v>0</v>
      </c>
      <c r="AJ98">
        <f ca="1">IFERROR(IF(0=LEN(ReferenceData!$AJ$98),"",ReferenceData!$AJ$98),"")</f>
        <v>0</v>
      </c>
      <c r="AK98">
        <f ca="1">IFERROR(IF(0=LEN(ReferenceData!$AK$98),"",ReferenceData!$AK$98),"")</f>
        <v>0</v>
      </c>
      <c r="AL98">
        <f ca="1">IFERROR(IF(0=LEN(ReferenceData!$AL$98),"",ReferenceData!$AL$98),"")</f>
        <v>0</v>
      </c>
      <c r="AM98">
        <f ca="1">IFERROR(IF(0=LEN(ReferenceData!$AM$98),"",ReferenceData!$AM$98),"")</f>
        <v>0</v>
      </c>
      <c r="AN98">
        <f ca="1">IFERROR(IF(0=LEN(ReferenceData!$AN$98),"",ReferenceData!$AN$98),"")</f>
        <v>0</v>
      </c>
      <c r="AO98">
        <f ca="1">IFERROR(IF(0=LEN(ReferenceData!$AO$98),"",ReferenceData!$AO$98),"")</f>
        <v>0</v>
      </c>
      <c r="AP98">
        <f ca="1">IFERROR(IF(0=LEN(ReferenceData!$AP$98),"",ReferenceData!$AP$98),"")</f>
        <v>0</v>
      </c>
      <c r="AQ98">
        <f ca="1">IFERROR(IF(0=LEN(ReferenceData!$AQ$98),"",ReferenceData!$AQ$98),"")</f>
        <v>0</v>
      </c>
      <c r="AR98">
        <f ca="1">IFERROR(IF(0=LEN(ReferenceData!$AR$98),"",ReferenceData!$AR$98),"")</f>
        <v>0</v>
      </c>
      <c r="AS98">
        <f ca="1">IFERROR(IF(0=LEN(ReferenceData!$AS$98),"",ReferenceData!$AS$98),"")</f>
        <v>0</v>
      </c>
    </row>
    <row r="99" spans="1:45" x14ac:dyDescent="0.25">
      <c r="A99" t="str">
        <f>IFERROR(IF(0=LEN(ReferenceData!$A$99),"",ReferenceData!$A$99),"")</f>
        <v>United States (Class 6-7)</v>
      </c>
      <c r="B99" t="str">
        <f>IFERROR(IF(0=LEN(ReferenceData!$B$99),"",ReferenceData!$B$99),"")</f>
        <v>TRCKUS6S Index</v>
      </c>
      <c r="C99" t="str">
        <f>IFERROR(IF(0=LEN(ReferenceData!$C$99),"",ReferenceData!$C$99),"")</f>
        <v/>
      </c>
      <c r="D99" t="str">
        <f>IFERROR(IF(0=LEN(ReferenceData!$D$99),"",ReferenceData!$D$99),"")</f>
        <v/>
      </c>
      <c r="E99" t="str">
        <f>IFERROR(IF(0=LEN(ReferenceData!$E$99),"",ReferenceData!$E$99),"")</f>
        <v>Sum</v>
      </c>
      <c r="F99">
        <f ca="1">IFERROR(IF(0=LEN(ReferenceData!$F$99),"",ReferenceData!$F$99),"")</f>
        <v>100</v>
      </c>
      <c r="G99">
        <f ca="1">IFERROR(IF(0=LEN(ReferenceData!$G$99),"",ReferenceData!$G$99),"")</f>
        <v>100.00000000200001</v>
      </c>
      <c r="H99">
        <f ca="1">IFERROR(IF(0=LEN(ReferenceData!$H$99),"",ReferenceData!$H$99),"")</f>
        <v>99.999999996000014</v>
      </c>
      <c r="I99">
        <f ca="1">IFERROR(IF(0=LEN(ReferenceData!$I$99),"",ReferenceData!$I$99),"")</f>
        <v>99.999999996</v>
      </c>
      <c r="J99">
        <f ca="1">IFERROR(IF(0=LEN(ReferenceData!$J$99),"",ReferenceData!$J$99),"")</f>
        <v>100.000000004</v>
      </c>
      <c r="K99">
        <f ca="1">IFERROR(IF(0=LEN(ReferenceData!$K$99),"",ReferenceData!$K$99),"")</f>
        <v>100.00000000200001</v>
      </c>
      <c r="L99">
        <f ca="1">IFERROR(IF(0=LEN(ReferenceData!$L$99),"",ReferenceData!$L$99),"")</f>
        <v>99.999999994999996</v>
      </c>
      <c r="M99">
        <f ca="1">IFERROR(IF(0=LEN(ReferenceData!$M$99),"",ReferenceData!$M$99),"")</f>
        <v>100.000000003</v>
      </c>
      <c r="N99">
        <f ca="1">IFERROR(IF(0=LEN(ReferenceData!$N$99),"",ReferenceData!$N$99),"")</f>
        <v>100.00000000200001</v>
      </c>
      <c r="O99">
        <f ca="1">IFERROR(IF(0=LEN(ReferenceData!$O$99),"",ReferenceData!$O$99),"")</f>
        <v>100.00000000599999</v>
      </c>
      <c r="P99">
        <f ca="1">IFERROR(IF(0=LEN(ReferenceData!$P$99),"",ReferenceData!$P$99),"")</f>
        <v>100.00000000200001</v>
      </c>
      <c r="Q99">
        <f ca="1">IFERROR(IF(0=LEN(ReferenceData!$Q$99),"",ReferenceData!$Q$99),"")</f>
        <v>100.000000005</v>
      </c>
      <c r="R99">
        <f ca="1">IFERROR(IF(0=LEN(ReferenceData!$R$99),"",ReferenceData!$R$99),"")</f>
        <v>100.00000000099999</v>
      </c>
      <c r="S99">
        <f ca="1">IFERROR(IF(0=LEN(ReferenceData!$S$99),"",ReferenceData!$S$99),"")</f>
        <v>99.999999997000003</v>
      </c>
      <c r="T99">
        <f ca="1">IFERROR(IF(0=LEN(ReferenceData!$T$99),"",ReferenceData!$T$99),"")</f>
        <v>100.00000000399999</v>
      </c>
      <c r="U99">
        <f ca="1">IFERROR(IF(0=LEN(ReferenceData!$U$99),"",ReferenceData!$U$99),"")</f>
        <v>100.00000000399999</v>
      </c>
      <c r="V99">
        <f ca="1">IFERROR(IF(0=LEN(ReferenceData!$V$99),"",ReferenceData!$V$99),"")</f>
        <v>99.999999997999993</v>
      </c>
      <c r="W99">
        <f ca="1">IFERROR(IF(0=LEN(ReferenceData!$W$99),"",ReferenceData!$W$99),"")</f>
        <v>99.999999996000014</v>
      </c>
      <c r="X99">
        <f ca="1">IFERROR(IF(0=LEN(ReferenceData!$X$99),"",ReferenceData!$X$99),"")</f>
        <v>100.00000000999999</v>
      </c>
      <c r="Y99">
        <f ca="1">IFERROR(IF(0=LEN(ReferenceData!$Y$99),"",ReferenceData!$Y$99),"")</f>
        <v>100</v>
      </c>
      <c r="Z99">
        <f ca="1">IFERROR(IF(0=LEN(ReferenceData!$Z$99),"",ReferenceData!$Z$99),"")</f>
        <v>100.00000000700003</v>
      </c>
      <c r="AA99">
        <f ca="1">IFERROR(IF(0=LEN(ReferenceData!$AA$99),"",ReferenceData!$AA$99),"")</f>
        <v>100.000000009</v>
      </c>
      <c r="AB99">
        <f ca="1">IFERROR(IF(0=LEN(ReferenceData!$AB$99),"",ReferenceData!$AB$99),"")</f>
        <v>99.999999993000003</v>
      </c>
      <c r="AC99">
        <f ca="1">IFERROR(IF(0=LEN(ReferenceData!$AC$99),"",ReferenceData!$AC$99),"")</f>
        <v>99.999999998000021</v>
      </c>
      <c r="AD99">
        <f ca="1">IFERROR(IF(0=LEN(ReferenceData!$AD$99),"",ReferenceData!$AD$99),"")</f>
        <v>100</v>
      </c>
      <c r="AE99">
        <f ca="1">IFERROR(IF(0=LEN(ReferenceData!$AE$99),"",ReferenceData!$AE$99),"")</f>
        <v>100.000000001</v>
      </c>
      <c r="AF99">
        <f ca="1">IFERROR(IF(0=LEN(ReferenceData!$AF$99),"",ReferenceData!$AF$99),"")</f>
        <v>100.00000000200001</v>
      </c>
      <c r="AG99">
        <f ca="1">IFERROR(IF(0=LEN(ReferenceData!$AG$99),"",ReferenceData!$AG$99),"")</f>
        <v>100.00000000600001</v>
      </c>
      <c r="AH99">
        <f ca="1">IFERROR(IF(0=LEN(ReferenceData!$AH$99),"",ReferenceData!$AH$99),"")</f>
        <v>99.999999997999993</v>
      </c>
      <c r="AI99">
        <f ca="1">IFERROR(IF(0=LEN(ReferenceData!$AI$99),"",ReferenceData!$AI$99),"")</f>
        <v>100.00000001100001</v>
      </c>
      <c r="AJ99">
        <f ca="1">IFERROR(IF(0=LEN(ReferenceData!$AJ$99),"",ReferenceData!$AJ$99),"")</f>
        <v>99.999999996</v>
      </c>
      <c r="AK99">
        <f ca="1">IFERROR(IF(0=LEN(ReferenceData!$AK$99),"",ReferenceData!$AK$99),"")</f>
        <v>99.999999994999996</v>
      </c>
      <c r="AL99">
        <f ca="1">IFERROR(IF(0=LEN(ReferenceData!$AL$99),"",ReferenceData!$AL$99),"")</f>
        <v>100.000000004</v>
      </c>
      <c r="AM99">
        <f ca="1">IFERROR(IF(0=LEN(ReferenceData!$AM$99),"",ReferenceData!$AM$99),"")</f>
        <v>100.000000005</v>
      </c>
      <c r="AN99">
        <f ca="1">IFERROR(IF(0=LEN(ReferenceData!$AN$99),"",ReferenceData!$AN$99),"")</f>
        <v>99.999999996</v>
      </c>
      <c r="AO99">
        <f ca="1">IFERROR(IF(0=LEN(ReferenceData!$AO$99),"",ReferenceData!$AO$99),"")</f>
        <v>100.00000000600001</v>
      </c>
      <c r="AP99">
        <f ca="1">IFERROR(IF(0=LEN(ReferenceData!$AP$99),"",ReferenceData!$AP$99),"")</f>
        <v>100</v>
      </c>
      <c r="AQ99">
        <f ca="1">IFERROR(IF(0=LEN(ReferenceData!$AQ$99),"",ReferenceData!$AQ$99),"")</f>
        <v>99.999999998999996</v>
      </c>
      <c r="AR99">
        <f ca="1">IFERROR(IF(0=LEN(ReferenceData!$AR$99),"",ReferenceData!$AR$99),"")</f>
        <v>99.99999999000002</v>
      </c>
      <c r="AS99">
        <f ca="1">IFERROR(IF(0=LEN(ReferenceData!$AS$99),"",ReferenceData!$AS$99),"")</f>
        <v>100</v>
      </c>
    </row>
    <row r="100" spans="1:45" x14ac:dyDescent="0.25">
      <c r="A100" t="str">
        <f>IFERROR(IF(0=LEN(ReferenceData!$A$100),"",ReferenceData!$A$100),"")</f>
        <v xml:space="preserve">    Daimler</v>
      </c>
      <c r="B100" t="str">
        <f>IFERROR(IF(0=LEN(ReferenceData!$B$100),"",ReferenceData!$B$100),"")</f>
        <v>DAI GR Equity</v>
      </c>
      <c r="C100" t="str">
        <f>IFERROR(IF(0=LEN(ReferenceData!$C$100),"",ReferenceData!$C$100),"")</f>
        <v/>
      </c>
      <c r="D100" t="str">
        <f>IFERROR(IF(0=LEN(ReferenceData!$D$100),"",ReferenceData!$D$100),"")</f>
        <v/>
      </c>
      <c r="E100" t="str">
        <f>IFERROR(IF(0=LEN(ReferenceData!$E$100),"",ReferenceData!$E$100),"")</f>
        <v>Sum</v>
      </c>
      <c r="F100">
        <f ca="1">IFERROR(IF(0=LEN(ReferenceData!$F$100),"",ReferenceData!$F$100),"")</f>
        <v>38.636795139999997</v>
      </c>
      <c r="G100">
        <f ca="1">IFERROR(IF(0=LEN(ReferenceData!$G$100),"",ReferenceData!$G$100),"")</f>
        <v>40.412371129999997</v>
      </c>
      <c r="H100">
        <f ca="1">IFERROR(IF(0=LEN(ReferenceData!$H$100),"",ReferenceData!$H$100),"")</f>
        <v>37.375521999999997</v>
      </c>
      <c r="I100">
        <f ca="1">IFERROR(IF(0=LEN(ReferenceData!$I$100),"",ReferenceData!$I$100),"")</f>
        <v>36.010493390000001</v>
      </c>
      <c r="J100">
        <f ca="1">IFERROR(IF(0=LEN(ReferenceData!$J$100),"",ReferenceData!$J$100),"")</f>
        <v>36.335313020000001</v>
      </c>
      <c r="K100">
        <f ca="1">IFERROR(IF(0=LEN(ReferenceData!$K$100),"",ReferenceData!$K$100),"")</f>
        <v>44.06883835</v>
      </c>
      <c r="L100">
        <f ca="1">IFERROR(IF(0=LEN(ReferenceData!$L$100),"",ReferenceData!$L$100),"")</f>
        <v>39.849624059999996</v>
      </c>
      <c r="M100">
        <f ca="1">IFERROR(IF(0=LEN(ReferenceData!$M$100),"",ReferenceData!$M$100),"")</f>
        <v>38.182539679999998</v>
      </c>
      <c r="N100">
        <f ca="1">IFERROR(IF(0=LEN(ReferenceData!$N$100),"",ReferenceData!$N$100),"")</f>
        <v>42.46406571</v>
      </c>
      <c r="O100">
        <f ca="1">IFERROR(IF(0=LEN(ReferenceData!$O$100),"",ReferenceData!$O$100),"")</f>
        <v>39.60551384</v>
      </c>
      <c r="P100">
        <f ca="1">IFERROR(IF(0=LEN(ReferenceData!$P$100),"",ReferenceData!$P$100),"")</f>
        <v>30.662321479999999</v>
      </c>
      <c r="Q100">
        <f ca="1">IFERROR(IF(0=LEN(ReferenceData!$Q$100),"",ReferenceData!$Q$100),"")</f>
        <v>39.191201739999997</v>
      </c>
      <c r="R100">
        <f ca="1">IFERROR(IF(0=LEN(ReferenceData!$R$100),"",ReferenceData!$R$100),"")</f>
        <v>40.701535909999997</v>
      </c>
      <c r="S100">
        <f ca="1">IFERROR(IF(0=LEN(ReferenceData!$S$100),"",ReferenceData!$S$100),"")</f>
        <v>36.511492009999998</v>
      </c>
      <c r="T100">
        <f ca="1">IFERROR(IF(0=LEN(ReferenceData!$T$100),"",ReferenceData!$T$100),"")</f>
        <v>40.453720509999997</v>
      </c>
      <c r="U100">
        <f ca="1">IFERROR(IF(0=LEN(ReferenceData!$U$100),"",ReferenceData!$U$100),"")</f>
        <v>39.740578079999999</v>
      </c>
      <c r="V100">
        <f ca="1">IFERROR(IF(0=LEN(ReferenceData!$V$100),"",ReferenceData!$V$100),"")</f>
        <v>40.096571699999998</v>
      </c>
      <c r="W100">
        <f ca="1">IFERROR(IF(0=LEN(ReferenceData!$W$100),"",ReferenceData!$W$100),"")</f>
        <v>39.000509940000001</v>
      </c>
      <c r="X100">
        <f ca="1">IFERROR(IF(0=LEN(ReferenceData!$X$100),"",ReferenceData!$X$100),"")</f>
        <v>36.35556433</v>
      </c>
      <c r="Y100">
        <f ca="1">IFERROR(IF(0=LEN(ReferenceData!$Y$100),"",ReferenceData!$Y$100),"")</f>
        <v>35.592651619999998</v>
      </c>
      <c r="Z100">
        <f ca="1">IFERROR(IF(0=LEN(ReferenceData!$Z$100),"",ReferenceData!$Z$100),"")</f>
        <v>42.167360700000003</v>
      </c>
      <c r="AA100">
        <f ca="1">IFERROR(IF(0=LEN(ReferenceData!$AA$100),"",ReferenceData!$AA$100),"")</f>
        <v>43.00932091</v>
      </c>
      <c r="AB100">
        <f ca="1">IFERROR(IF(0=LEN(ReferenceData!$AB$100),"",ReferenceData!$AB$100),"")</f>
        <v>32.436632029999998</v>
      </c>
      <c r="AC100">
        <f ca="1">IFERROR(IF(0=LEN(ReferenceData!$AC$100),"",ReferenceData!$AC$100),"")</f>
        <v>46.131233600000002</v>
      </c>
      <c r="AD100">
        <f ca="1">IFERROR(IF(0=LEN(ReferenceData!$AD$100),"",ReferenceData!$AD$100),"")</f>
        <v>43.242994099999997</v>
      </c>
      <c r="AE100">
        <f ca="1">IFERROR(IF(0=LEN(ReferenceData!$AE$100),"",ReferenceData!$AE$100),"")</f>
        <v>43.976356799999998</v>
      </c>
      <c r="AF100">
        <f ca="1">IFERROR(IF(0=LEN(ReferenceData!$AF$100),"",ReferenceData!$AF$100),"")</f>
        <v>39.044139430000001</v>
      </c>
      <c r="AG100">
        <f ca="1">IFERROR(IF(0=LEN(ReferenceData!$AG$100),"",ReferenceData!$AG$100),"")</f>
        <v>35.746958640000003</v>
      </c>
      <c r="AH100">
        <f ca="1">IFERROR(IF(0=LEN(ReferenceData!$AH$100),"",ReferenceData!$AH$100),"")</f>
        <v>39.412750019999997</v>
      </c>
      <c r="AI100">
        <f ca="1">IFERROR(IF(0=LEN(ReferenceData!$AI$100),"",ReferenceData!$AI$100),"")</f>
        <v>46.108362499999998</v>
      </c>
      <c r="AJ100">
        <f ca="1">IFERROR(IF(0=LEN(ReferenceData!$AJ$100),"",ReferenceData!$AJ$100),"")</f>
        <v>41.83685243</v>
      </c>
      <c r="AK100">
        <f ca="1">IFERROR(IF(0=LEN(ReferenceData!$AK$100),"",ReferenceData!$AK$100),"")</f>
        <v>37.783841729999999</v>
      </c>
      <c r="AL100">
        <f ca="1">IFERROR(IF(0=LEN(ReferenceData!$AL$100),"",ReferenceData!$AL$100),"")</f>
        <v>40.292855340000003</v>
      </c>
      <c r="AM100">
        <f ca="1">IFERROR(IF(0=LEN(ReferenceData!$AM$100),"",ReferenceData!$AM$100),"")</f>
        <v>41.148268010000002</v>
      </c>
      <c r="AN100">
        <f ca="1">IFERROR(IF(0=LEN(ReferenceData!$AN$100),"",ReferenceData!$AN$100),"")</f>
        <v>34.546360919999998</v>
      </c>
      <c r="AO100">
        <f ca="1">IFERROR(IF(0=LEN(ReferenceData!$AO$100),"",ReferenceData!$AO$100),"")</f>
        <v>39.483554529999999</v>
      </c>
      <c r="AP100">
        <f ca="1">IFERROR(IF(0=LEN(ReferenceData!$AP$100),"",ReferenceData!$AP$100),"")</f>
        <v>42.610732540000001</v>
      </c>
      <c r="AQ100">
        <f ca="1">IFERROR(IF(0=LEN(ReferenceData!$AQ$100),"",ReferenceData!$AQ$100),"")</f>
        <v>40.831428879999997</v>
      </c>
      <c r="AR100">
        <f ca="1">IFERROR(IF(0=LEN(ReferenceData!$AR$100),"",ReferenceData!$AR$100),"")</f>
        <v>41.464782409999998</v>
      </c>
      <c r="AS100">
        <f ca="1">IFERROR(IF(0=LEN(ReferenceData!$AS$100),"",ReferenceData!$AS$100),"")</f>
        <v>39.944713200000002</v>
      </c>
    </row>
    <row r="101" spans="1:45" x14ac:dyDescent="0.25">
      <c r="A101" t="str">
        <f>IFERROR(IF(0=LEN(ReferenceData!$A$101),"",ReferenceData!$A$101),"")</f>
        <v xml:space="preserve">        Freightliner</v>
      </c>
      <c r="B101" t="str">
        <f>IFERROR(IF(0=LEN(ReferenceData!$B$101),"",ReferenceData!$B$101),"")</f>
        <v>DAI GR Equity</v>
      </c>
      <c r="C101" t="str">
        <f>IFERROR(IF(0=LEN(ReferenceData!$C$101),"",ReferenceData!$C$101),"")</f>
        <v/>
      </c>
      <c r="D101" t="str">
        <f>IFERROR(IF(0=LEN(ReferenceData!$D$101),"",ReferenceData!$D$101),"")</f>
        <v/>
      </c>
      <c r="E101" t="str">
        <f>IFERROR(IF(0=LEN(ReferenceData!$E$101),"",ReferenceData!$E$101),"")</f>
        <v>Expression</v>
      </c>
      <c r="F101">
        <f ca="1">IFERROR(IF(0=LEN(ReferenceData!$F$101),"",ReferenceData!$F$101),"")</f>
        <v>38.636795139999997</v>
      </c>
      <c r="G101">
        <f ca="1">IFERROR(IF(0=LEN(ReferenceData!$G$101),"",ReferenceData!$G$101),"")</f>
        <v>40.412371129999997</v>
      </c>
      <c r="H101">
        <f ca="1">IFERROR(IF(0=LEN(ReferenceData!$H$101),"",ReferenceData!$H$101),"")</f>
        <v>37.375521999999997</v>
      </c>
      <c r="I101">
        <f ca="1">IFERROR(IF(0=LEN(ReferenceData!$I$101),"",ReferenceData!$I$101),"")</f>
        <v>36.010493390000001</v>
      </c>
      <c r="J101">
        <f ca="1">IFERROR(IF(0=LEN(ReferenceData!$J$101),"",ReferenceData!$J$101),"")</f>
        <v>36.335313020000001</v>
      </c>
      <c r="K101">
        <f ca="1">IFERROR(IF(0=LEN(ReferenceData!$K$101),"",ReferenceData!$K$101),"")</f>
        <v>44.06883835</v>
      </c>
      <c r="L101">
        <f ca="1">IFERROR(IF(0=LEN(ReferenceData!$L$101),"",ReferenceData!$L$101),"")</f>
        <v>39.849624059999996</v>
      </c>
      <c r="M101">
        <f ca="1">IFERROR(IF(0=LEN(ReferenceData!$M$101),"",ReferenceData!$M$101),"")</f>
        <v>38.182539679999998</v>
      </c>
      <c r="N101">
        <f ca="1">IFERROR(IF(0=LEN(ReferenceData!$N$101),"",ReferenceData!$N$101),"")</f>
        <v>42.46406571</v>
      </c>
      <c r="O101">
        <f ca="1">IFERROR(IF(0=LEN(ReferenceData!$O$101),"",ReferenceData!$O$101),"")</f>
        <v>39.60551384</v>
      </c>
      <c r="P101">
        <f ca="1">IFERROR(IF(0=LEN(ReferenceData!$P$101),"",ReferenceData!$P$101),"")</f>
        <v>30.662321479999999</v>
      </c>
      <c r="Q101">
        <f ca="1">IFERROR(IF(0=LEN(ReferenceData!$Q$101),"",ReferenceData!$Q$101),"")</f>
        <v>39.191201739999997</v>
      </c>
      <c r="R101">
        <f ca="1">IFERROR(IF(0=LEN(ReferenceData!$R$101),"",ReferenceData!$R$101),"")</f>
        <v>40.701535909999997</v>
      </c>
      <c r="S101">
        <f ca="1">IFERROR(IF(0=LEN(ReferenceData!$S$101),"",ReferenceData!$S$101),"")</f>
        <v>36.511492009999998</v>
      </c>
      <c r="T101">
        <f ca="1">IFERROR(IF(0=LEN(ReferenceData!$T$101),"",ReferenceData!$T$101),"")</f>
        <v>40.453720509999997</v>
      </c>
      <c r="U101">
        <f ca="1">IFERROR(IF(0=LEN(ReferenceData!$U$101),"",ReferenceData!$U$101),"")</f>
        <v>39.740578079999999</v>
      </c>
      <c r="V101">
        <f ca="1">IFERROR(IF(0=LEN(ReferenceData!$V$101),"",ReferenceData!$V$101),"")</f>
        <v>40.096571699999998</v>
      </c>
      <c r="W101">
        <f ca="1">IFERROR(IF(0=LEN(ReferenceData!$W$101),"",ReferenceData!$W$101),"")</f>
        <v>39.000509940000001</v>
      </c>
      <c r="X101">
        <f ca="1">IFERROR(IF(0=LEN(ReferenceData!$X$101),"",ReferenceData!$X$101),"")</f>
        <v>36.35556433</v>
      </c>
      <c r="Y101">
        <f ca="1">IFERROR(IF(0=LEN(ReferenceData!$Y$101),"",ReferenceData!$Y$101),"")</f>
        <v>35.592651619999998</v>
      </c>
      <c r="Z101">
        <f ca="1">IFERROR(IF(0=LEN(ReferenceData!$Z$101),"",ReferenceData!$Z$101),"")</f>
        <v>42.167360700000003</v>
      </c>
      <c r="AA101">
        <f ca="1">IFERROR(IF(0=LEN(ReferenceData!$AA$101),"",ReferenceData!$AA$101),"")</f>
        <v>43.00932091</v>
      </c>
      <c r="AB101">
        <f ca="1">IFERROR(IF(0=LEN(ReferenceData!$AB$101),"",ReferenceData!$AB$101),"")</f>
        <v>32.436632029999998</v>
      </c>
      <c r="AC101">
        <f ca="1">IFERROR(IF(0=LEN(ReferenceData!$AC$101),"",ReferenceData!$AC$101),"")</f>
        <v>46.131233600000002</v>
      </c>
      <c r="AD101">
        <f ca="1">IFERROR(IF(0=LEN(ReferenceData!$AD$101),"",ReferenceData!$AD$101),"")</f>
        <v>43.242994099999997</v>
      </c>
      <c r="AE101">
        <f ca="1">IFERROR(IF(0=LEN(ReferenceData!$AE$101),"",ReferenceData!$AE$101),"")</f>
        <v>43.976356799999998</v>
      </c>
      <c r="AF101">
        <f ca="1">IFERROR(IF(0=LEN(ReferenceData!$AF$101),"",ReferenceData!$AF$101),"")</f>
        <v>39.044139430000001</v>
      </c>
      <c r="AG101">
        <f ca="1">IFERROR(IF(0=LEN(ReferenceData!$AG$101),"",ReferenceData!$AG$101),"")</f>
        <v>35.746958640000003</v>
      </c>
      <c r="AH101">
        <f ca="1">IFERROR(IF(0=LEN(ReferenceData!$AH$101),"",ReferenceData!$AH$101),"")</f>
        <v>39.412750019999997</v>
      </c>
      <c r="AI101">
        <f ca="1">IFERROR(IF(0=LEN(ReferenceData!$AI$101),"",ReferenceData!$AI$101),"")</f>
        <v>46.108362499999998</v>
      </c>
      <c r="AJ101">
        <f ca="1">IFERROR(IF(0=LEN(ReferenceData!$AJ$101),"",ReferenceData!$AJ$101),"")</f>
        <v>41.83685243</v>
      </c>
      <c r="AK101">
        <f ca="1">IFERROR(IF(0=LEN(ReferenceData!$AK$101),"",ReferenceData!$AK$101),"")</f>
        <v>37.783841729999999</v>
      </c>
      <c r="AL101">
        <f ca="1">IFERROR(IF(0=LEN(ReferenceData!$AL$101),"",ReferenceData!$AL$101),"")</f>
        <v>40.292855340000003</v>
      </c>
      <c r="AM101">
        <f ca="1">IFERROR(IF(0=LEN(ReferenceData!$AM$101),"",ReferenceData!$AM$101),"")</f>
        <v>41.148268010000002</v>
      </c>
      <c r="AN101">
        <f ca="1">IFERROR(IF(0=LEN(ReferenceData!$AN$101),"",ReferenceData!$AN$101),"")</f>
        <v>34.546360919999998</v>
      </c>
      <c r="AO101">
        <f ca="1">IFERROR(IF(0=LEN(ReferenceData!$AO$101),"",ReferenceData!$AO$101),"")</f>
        <v>39.483554529999999</v>
      </c>
      <c r="AP101">
        <f ca="1">IFERROR(IF(0=LEN(ReferenceData!$AP$101),"",ReferenceData!$AP$101),"")</f>
        <v>42.610732540000001</v>
      </c>
      <c r="AQ101">
        <f ca="1">IFERROR(IF(0=LEN(ReferenceData!$AQ$101),"",ReferenceData!$AQ$101),"")</f>
        <v>40.831428879999997</v>
      </c>
      <c r="AR101">
        <f ca="1">IFERROR(IF(0=LEN(ReferenceData!$AR$101),"",ReferenceData!$AR$101),"")</f>
        <v>41.464782409999998</v>
      </c>
      <c r="AS101">
        <f ca="1">IFERROR(IF(0=LEN(ReferenceData!$AS$101),"",ReferenceData!$AS$101),"")</f>
        <v>39.944713200000002</v>
      </c>
    </row>
    <row r="102" spans="1:45" x14ac:dyDescent="0.25">
      <c r="A102" t="str">
        <f>IFERROR(IF(0=LEN(ReferenceData!$A$102),"",ReferenceData!$A$102),"")</f>
        <v xml:space="preserve">        Mitsubishi Fuso</v>
      </c>
      <c r="B102" t="str">
        <f>IFERROR(IF(0=LEN(ReferenceData!$B$102),"",ReferenceData!$B$102),"")</f>
        <v>DAI GR Equity</v>
      </c>
      <c r="C102" t="str">
        <f>IFERROR(IF(0=LEN(ReferenceData!$C$102),"",ReferenceData!$C$102),"")</f>
        <v/>
      </c>
      <c r="D102" t="str">
        <f>IFERROR(IF(0=LEN(ReferenceData!$D$102),"",ReferenceData!$D$102),"")</f>
        <v/>
      </c>
      <c r="E102" t="str">
        <f>IFERROR(IF(0=LEN(ReferenceData!$E$102),"",ReferenceData!$E$102),"")</f>
        <v>Expression</v>
      </c>
      <c r="F102">
        <f ca="1">IFERROR(IF(0=LEN(ReferenceData!$F$102),"",ReferenceData!$F$102),"")</f>
        <v>0</v>
      </c>
      <c r="G102">
        <f ca="1">IFERROR(IF(0=LEN(ReferenceData!$G$102),"",ReferenceData!$G$102),"")</f>
        <v>0</v>
      </c>
      <c r="H102">
        <f ca="1">IFERROR(IF(0=LEN(ReferenceData!$H$102),"",ReferenceData!$H$102),"")</f>
        <v>0</v>
      </c>
      <c r="I102">
        <f ca="1">IFERROR(IF(0=LEN(ReferenceData!$I$102),"",ReferenceData!$I$102),"")</f>
        <v>0</v>
      </c>
      <c r="J102">
        <f ca="1">IFERROR(IF(0=LEN(ReferenceData!$J$102),"",ReferenceData!$J$102),"")</f>
        <v>0</v>
      </c>
      <c r="K102">
        <f ca="1">IFERROR(IF(0=LEN(ReferenceData!$K$102),"",ReferenceData!$K$102),"")</f>
        <v>0</v>
      </c>
      <c r="L102">
        <f ca="1">IFERROR(IF(0=LEN(ReferenceData!$L$102),"",ReferenceData!$L$102),"")</f>
        <v>0</v>
      </c>
      <c r="M102">
        <f ca="1">IFERROR(IF(0=LEN(ReferenceData!$M$102),"",ReferenceData!$M$102),"")</f>
        <v>0</v>
      </c>
      <c r="N102">
        <f ca="1">IFERROR(IF(0=LEN(ReferenceData!$N$102),"",ReferenceData!$N$102),"")</f>
        <v>0</v>
      </c>
      <c r="O102">
        <f ca="1">IFERROR(IF(0=LEN(ReferenceData!$O$102),"",ReferenceData!$O$102),"")</f>
        <v>0</v>
      </c>
      <c r="P102">
        <f ca="1">IFERROR(IF(0=LEN(ReferenceData!$P$102),"",ReferenceData!$P$102),"")</f>
        <v>0</v>
      </c>
      <c r="Q102">
        <f ca="1">IFERROR(IF(0=LEN(ReferenceData!$Q$102),"",ReferenceData!$Q$102),"")</f>
        <v>0</v>
      </c>
      <c r="R102">
        <f ca="1">IFERROR(IF(0=LEN(ReferenceData!$R$102),"",ReferenceData!$R$102),"")</f>
        <v>0</v>
      </c>
      <c r="S102">
        <f ca="1">IFERROR(IF(0=LEN(ReferenceData!$S$102),"",ReferenceData!$S$102),"")</f>
        <v>0</v>
      </c>
      <c r="T102">
        <f ca="1">IFERROR(IF(0=LEN(ReferenceData!$T$102),"",ReferenceData!$T$102),"")</f>
        <v>0</v>
      </c>
      <c r="U102">
        <f ca="1">IFERROR(IF(0=LEN(ReferenceData!$U$102),"",ReferenceData!$U$102),"")</f>
        <v>0</v>
      </c>
      <c r="V102">
        <f ca="1">IFERROR(IF(0=LEN(ReferenceData!$V$102),"",ReferenceData!$V$102),"")</f>
        <v>0</v>
      </c>
      <c r="W102">
        <f ca="1">IFERROR(IF(0=LEN(ReferenceData!$W$102),"",ReferenceData!$W$102),"")</f>
        <v>0</v>
      </c>
      <c r="X102">
        <f ca="1">IFERROR(IF(0=LEN(ReferenceData!$X$102),"",ReferenceData!$X$102),"")</f>
        <v>0</v>
      </c>
      <c r="Y102">
        <f ca="1">IFERROR(IF(0=LEN(ReferenceData!$Y$102),"",ReferenceData!$Y$102),"")</f>
        <v>0</v>
      </c>
      <c r="Z102">
        <f ca="1">IFERROR(IF(0=LEN(ReferenceData!$Z$102),"",ReferenceData!$Z$102),"")</f>
        <v>0</v>
      </c>
      <c r="AA102">
        <f ca="1">IFERROR(IF(0=LEN(ReferenceData!$AA$102),"",ReferenceData!$AA$102),"")</f>
        <v>0</v>
      </c>
      <c r="AB102">
        <f ca="1">IFERROR(IF(0=LEN(ReferenceData!$AB$102),"",ReferenceData!$AB$102),"")</f>
        <v>0</v>
      </c>
      <c r="AC102">
        <f ca="1">IFERROR(IF(0=LEN(ReferenceData!$AC$102),"",ReferenceData!$AC$102),"")</f>
        <v>0</v>
      </c>
      <c r="AD102">
        <f ca="1">IFERROR(IF(0=LEN(ReferenceData!$AD$102),"",ReferenceData!$AD$102),"")</f>
        <v>0</v>
      </c>
      <c r="AE102">
        <f ca="1">IFERROR(IF(0=LEN(ReferenceData!$AE$102),"",ReferenceData!$AE$102),"")</f>
        <v>0</v>
      </c>
      <c r="AF102">
        <f ca="1">IFERROR(IF(0=LEN(ReferenceData!$AF$102),"",ReferenceData!$AF$102),"")</f>
        <v>0</v>
      </c>
      <c r="AG102">
        <f ca="1">IFERROR(IF(0=LEN(ReferenceData!$AG$102),"",ReferenceData!$AG$102),"")</f>
        <v>0</v>
      </c>
      <c r="AH102">
        <f ca="1">IFERROR(IF(0=LEN(ReferenceData!$AH$102),"",ReferenceData!$AH$102),"")</f>
        <v>0</v>
      </c>
      <c r="AI102">
        <f ca="1">IFERROR(IF(0=LEN(ReferenceData!$AI$102),"",ReferenceData!$AI$102),"")</f>
        <v>0</v>
      </c>
      <c r="AJ102">
        <f ca="1">IFERROR(IF(0=LEN(ReferenceData!$AJ$102),"",ReferenceData!$AJ$102),"")</f>
        <v>0</v>
      </c>
      <c r="AK102">
        <f ca="1">IFERROR(IF(0=LEN(ReferenceData!$AK$102),"",ReferenceData!$AK$102),"")</f>
        <v>0</v>
      </c>
      <c r="AL102">
        <f ca="1">IFERROR(IF(0=LEN(ReferenceData!$AL$102),"",ReferenceData!$AL$102),"")</f>
        <v>0</v>
      </c>
      <c r="AM102">
        <f ca="1">IFERROR(IF(0=LEN(ReferenceData!$AM$102),"",ReferenceData!$AM$102),"")</f>
        <v>0</v>
      </c>
      <c r="AN102">
        <f ca="1">IFERROR(IF(0=LEN(ReferenceData!$AN$102),"",ReferenceData!$AN$102),"")</f>
        <v>0</v>
      </c>
      <c r="AO102">
        <f ca="1">IFERROR(IF(0=LEN(ReferenceData!$AO$102),"",ReferenceData!$AO$102),"")</f>
        <v>0</v>
      </c>
      <c r="AP102">
        <f ca="1">IFERROR(IF(0=LEN(ReferenceData!$AP$102),"",ReferenceData!$AP$102),"")</f>
        <v>0</v>
      </c>
      <c r="AQ102">
        <f ca="1">IFERROR(IF(0=LEN(ReferenceData!$AQ$102),"",ReferenceData!$AQ$102),"")</f>
        <v>0</v>
      </c>
      <c r="AR102">
        <f ca="1">IFERROR(IF(0=LEN(ReferenceData!$AR$102),"",ReferenceData!$AR$102),"")</f>
        <v>0</v>
      </c>
      <c r="AS102">
        <f ca="1">IFERROR(IF(0=LEN(ReferenceData!$AS$102),"",ReferenceData!$AS$102),"")</f>
        <v>0</v>
      </c>
    </row>
    <row r="103" spans="1:45" x14ac:dyDescent="0.25">
      <c r="A103" t="str">
        <f>IFERROR(IF(0=LEN(ReferenceData!$A$103),"",ReferenceData!$A$103),"")</f>
        <v xml:space="preserve">        Western Star</v>
      </c>
      <c r="B103" t="str">
        <f>IFERROR(IF(0=LEN(ReferenceData!$B$103),"",ReferenceData!$B$103),"")</f>
        <v>DAI GR Equity</v>
      </c>
      <c r="C103" t="str">
        <f>IFERROR(IF(0=LEN(ReferenceData!$C$103),"",ReferenceData!$C$103),"")</f>
        <v/>
      </c>
      <c r="D103" t="str">
        <f>IFERROR(IF(0=LEN(ReferenceData!$D$103),"",ReferenceData!$D$103),"")</f>
        <v/>
      </c>
      <c r="E103" t="str">
        <f>IFERROR(IF(0=LEN(ReferenceData!$E$103),"",ReferenceData!$E$103),"")</f>
        <v>Expression</v>
      </c>
      <c r="F103" t="str">
        <f ca="1">IFERROR(IF(0=LEN(ReferenceData!$F$103),"",ReferenceData!$F$103),"")</f>
        <v/>
      </c>
      <c r="G103" t="str">
        <f ca="1">IFERROR(IF(0=LEN(ReferenceData!$G$103),"",ReferenceData!$G$103),"")</f>
        <v/>
      </c>
      <c r="H103" t="str">
        <f ca="1">IFERROR(IF(0=LEN(ReferenceData!$H$103),"",ReferenceData!$H$103),"")</f>
        <v/>
      </c>
      <c r="I103" t="str">
        <f ca="1">IFERROR(IF(0=LEN(ReferenceData!$I$103),"",ReferenceData!$I$103),"")</f>
        <v/>
      </c>
      <c r="J103" t="str">
        <f ca="1">IFERROR(IF(0=LEN(ReferenceData!$J$103),"",ReferenceData!$J$103),"")</f>
        <v/>
      </c>
      <c r="K103" t="str">
        <f ca="1">IFERROR(IF(0=LEN(ReferenceData!$K$103),"",ReferenceData!$K$103),"")</f>
        <v/>
      </c>
      <c r="L103" t="str">
        <f ca="1">IFERROR(IF(0=LEN(ReferenceData!$L$103),"",ReferenceData!$L$103),"")</f>
        <v/>
      </c>
      <c r="M103" t="str">
        <f ca="1">IFERROR(IF(0=LEN(ReferenceData!$M$103),"",ReferenceData!$M$103),"")</f>
        <v/>
      </c>
      <c r="N103" t="str">
        <f ca="1">IFERROR(IF(0=LEN(ReferenceData!$N$103),"",ReferenceData!$N$103),"")</f>
        <v/>
      </c>
      <c r="O103" t="str">
        <f ca="1">IFERROR(IF(0=LEN(ReferenceData!$O$103),"",ReferenceData!$O$103),"")</f>
        <v/>
      </c>
      <c r="P103" t="str">
        <f ca="1">IFERROR(IF(0=LEN(ReferenceData!$P$103),"",ReferenceData!$P$103),"")</f>
        <v/>
      </c>
      <c r="Q103" t="str">
        <f ca="1">IFERROR(IF(0=LEN(ReferenceData!$Q$103),"",ReferenceData!$Q$103),"")</f>
        <v/>
      </c>
      <c r="R103" t="str">
        <f ca="1">IFERROR(IF(0=LEN(ReferenceData!$R$103),"",ReferenceData!$R$103),"")</f>
        <v/>
      </c>
      <c r="S103" t="str">
        <f ca="1">IFERROR(IF(0=LEN(ReferenceData!$S$103),"",ReferenceData!$S$103),"")</f>
        <v/>
      </c>
      <c r="T103" t="str">
        <f ca="1">IFERROR(IF(0=LEN(ReferenceData!$T$103),"",ReferenceData!$T$103),"")</f>
        <v/>
      </c>
      <c r="U103" t="str">
        <f ca="1">IFERROR(IF(0=LEN(ReferenceData!$U$103),"",ReferenceData!$U$103),"")</f>
        <v/>
      </c>
      <c r="V103" t="str">
        <f ca="1">IFERROR(IF(0=LEN(ReferenceData!$V$103),"",ReferenceData!$V$103),"")</f>
        <v/>
      </c>
      <c r="W103" t="str">
        <f ca="1">IFERROR(IF(0=LEN(ReferenceData!$W$103),"",ReferenceData!$W$103),"")</f>
        <v/>
      </c>
      <c r="X103" t="str">
        <f ca="1">IFERROR(IF(0=LEN(ReferenceData!$X$103),"",ReferenceData!$X$103),"")</f>
        <v/>
      </c>
      <c r="Y103" t="str">
        <f ca="1">IFERROR(IF(0=LEN(ReferenceData!$Y$103),"",ReferenceData!$Y$103),"")</f>
        <v/>
      </c>
      <c r="Z103" t="str">
        <f ca="1">IFERROR(IF(0=LEN(ReferenceData!$Z$103),"",ReferenceData!$Z$103),"")</f>
        <v/>
      </c>
      <c r="AA103" t="str">
        <f ca="1">IFERROR(IF(0=LEN(ReferenceData!$AA$103),"",ReferenceData!$AA$103),"")</f>
        <v/>
      </c>
      <c r="AB103" t="str">
        <f ca="1">IFERROR(IF(0=LEN(ReferenceData!$AB$103),"",ReferenceData!$AB$103),"")</f>
        <v/>
      </c>
      <c r="AC103" t="str">
        <f ca="1">IFERROR(IF(0=LEN(ReferenceData!$AC$103),"",ReferenceData!$AC$103),"")</f>
        <v/>
      </c>
      <c r="AD103" t="str">
        <f ca="1">IFERROR(IF(0=LEN(ReferenceData!$AD$103),"",ReferenceData!$AD$103),"")</f>
        <v/>
      </c>
      <c r="AE103" t="str">
        <f ca="1">IFERROR(IF(0=LEN(ReferenceData!$AE$103),"",ReferenceData!$AE$103),"")</f>
        <v/>
      </c>
      <c r="AF103" t="str">
        <f ca="1">IFERROR(IF(0=LEN(ReferenceData!$AF$103),"",ReferenceData!$AF$103),"")</f>
        <v/>
      </c>
      <c r="AG103" t="str">
        <f ca="1">IFERROR(IF(0=LEN(ReferenceData!$AG$103),"",ReferenceData!$AG$103),"")</f>
        <v/>
      </c>
      <c r="AH103" t="str">
        <f ca="1">IFERROR(IF(0=LEN(ReferenceData!$AH$103),"",ReferenceData!$AH$103),"")</f>
        <v/>
      </c>
      <c r="AI103" t="str">
        <f ca="1">IFERROR(IF(0=LEN(ReferenceData!$AI$103),"",ReferenceData!$AI$103),"")</f>
        <v/>
      </c>
      <c r="AJ103" t="str">
        <f ca="1">IFERROR(IF(0=LEN(ReferenceData!$AJ$103),"",ReferenceData!$AJ$103),"")</f>
        <v/>
      </c>
      <c r="AK103" t="str">
        <f ca="1">IFERROR(IF(0=LEN(ReferenceData!$AK$103),"",ReferenceData!$AK$103),"")</f>
        <v/>
      </c>
      <c r="AL103" t="str">
        <f ca="1">IFERROR(IF(0=LEN(ReferenceData!$AL$103),"",ReferenceData!$AL$103),"")</f>
        <v/>
      </c>
      <c r="AM103" t="str">
        <f ca="1">IFERROR(IF(0=LEN(ReferenceData!$AM$103),"",ReferenceData!$AM$103),"")</f>
        <v/>
      </c>
      <c r="AN103" t="str">
        <f ca="1">IFERROR(IF(0=LEN(ReferenceData!$AN$103),"",ReferenceData!$AN$103),"")</f>
        <v/>
      </c>
      <c r="AO103" t="str">
        <f ca="1">IFERROR(IF(0=LEN(ReferenceData!$AO$103),"",ReferenceData!$AO$103),"")</f>
        <v/>
      </c>
      <c r="AP103" t="str">
        <f ca="1">IFERROR(IF(0=LEN(ReferenceData!$AP$103),"",ReferenceData!$AP$103),"")</f>
        <v/>
      </c>
      <c r="AQ103" t="str">
        <f ca="1">IFERROR(IF(0=LEN(ReferenceData!$AQ$103),"",ReferenceData!$AQ$103),"")</f>
        <v/>
      </c>
      <c r="AR103" t="str">
        <f ca="1">IFERROR(IF(0=LEN(ReferenceData!$AR$103),"",ReferenceData!$AR$103),"")</f>
        <v/>
      </c>
      <c r="AS103" t="str">
        <f ca="1">IFERROR(IF(0=LEN(ReferenceData!$AS$103),"",ReferenceData!$AS$103),"")</f>
        <v/>
      </c>
    </row>
    <row r="104" spans="1:45" x14ac:dyDescent="0.25">
      <c r="A104" t="str">
        <f>IFERROR(IF(0=LEN(ReferenceData!$A$104),"",ReferenceData!$A$104),"")</f>
        <v xml:space="preserve">        Sterling</v>
      </c>
      <c r="B104" t="str">
        <f>IFERROR(IF(0=LEN(ReferenceData!$B$104),"",ReferenceData!$B$104),"")</f>
        <v>DAI GR Equity</v>
      </c>
      <c r="C104" t="str">
        <f>IFERROR(IF(0=LEN(ReferenceData!$C$104),"",ReferenceData!$C$104),"")</f>
        <v/>
      </c>
      <c r="D104" t="str">
        <f>IFERROR(IF(0=LEN(ReferenceData!$D$104),"",ReferenceData!$D$104),"")</f>
        <v/>
      </c>
      <c r="E104" t="str">
        <f>IFERROR(IF(0=LEN(ReferenceData!$E$104),"",ReferenceData!$E$104),"")</f>
        <v>Expression</v>
      </c>
      <c r="F104" t="str">
        <f ca="1">IFERROR(IF(0=LEN(ReferenceData!$F$104),"",ReferenceData!$F$104),"")</f>
        <v/>
      </c>
      <c r="G104" t="str">
        <f ca="1">IFERROR(IF(0=LEN(ReferenceData!$G$104),"",ReferenceData!$G$104),"")</f>
        <v/>
      </c>
      <c r="H104" t="str">
        <f ca="1">IFERROR(IF(0=LEN(ReferenceData!$H$104),"",ReferenceData!$H$104),"")</f>
        <v/>
      </c>
      <c r="I104" t="str">
        <f ca="1">IFERROR(IF(0=LEN(ReferenceData!$I$104),"",ReferenceData!$I$104),"")</f>
        <v/>
      </c>
      <c r="J104" t="str">
        <f ca="1">IFERROR(IF(0=LEN(ReferenceData!$J$104),"",ReferenceData!$J$104),"")</f>
        <v/>
      </c>
      <c r="K104" t="str">
        <f ca="1">IFERROR(IF(0=LEN(ReferenceData!$K$104),"",ReferenceData!$K$104),"")</f>
        <v/>
      </c>
      <c r="L104" t="str">
        <f ca="1">IFERROR(IF(0=LEN(ReferenceData!$L$104),"",ReferenceData!$L$104),"")</f>
        <v/>
      </c>
      <c r="M104" t="str">
        <f ca="1">IFERROR(IF(0=LEN(ReferenceData!$M$104),"",ReferenceData!$M$104),"")</f>
        <v/>
      </c>
      <c r="N104" t="str">
        <f ca="1">IFERROR(IF(0=LEN(ReferenceData!$N$104),"",ReferenceData!$N$104),"")</f>
        <v/>
      </c>
      <c r="O104" t="str">
        <f ca="1">IFERROR(IF(0=LEN(ReferenceData!$O$104),"",ReferenceData!$O$104),"")</f>
        <v/>
      </c>
      <c r="P104" t="str">
        <f ca="1">IFERROR(IF(0=LEN(ReferenceData!$P$104),"",ReferenceData!$P$104),"")</f>
        <v/>
      </c>
      <c r="Q104" t="str">
        <f ca="1">IFERROR(IF(0=LEN(ReferenceData!$Q$104),"",ReferenceData!$Q$104),"")</f>
        <v/>
      </c>
      <c r="R104" t="str">
        <f ca="1">IFERROR(IF(0=LEN(ReferenceData!$R$104),"",ReferenceData!$R$104),"")</f>
        <v/>
      </c>
      <c r="S104" t="str">
        <f ca="1">IFERROR(IF(0=LEN(ReferenceData!$S$104),"",ReferenceData!$S$104),"")</f>
        <v/>
      </c>
      <c r="T104" t="str">
        <f ca="1">IFERROR(IF(0=LEN(ReferenceData!$T$104),"",ReferenceData!$T$104),"")</f>
        <v/>
      </c>
      <c r="U104" t="str">
        <f ca="1">IFERROR(IF(0=LEN(ReferenceData!$U$104),"",ReferenceData!$U$104),"")</f>
        <v/>
      </c>
      <c r="V104" t="str">
        <f ca="1">IFERROR(IF(0=LEN(ReferenceData!$V$104),"",ReferenceData!$V$104),"")</f>
        <v/>
      </c>
      <c r="W104" t="str">
        <f ca="1">IFERROR(IF(0=LEN(ReferenceData!$W$104),"",ReferenceData!$W$104),"")</f>
        <v/>
      </c>
      <c r="X104" t="str">
        <f ca="1">IFERROR(IF(0=LEN(ReferenceData!$X$104),"",ReferenceData!$X$104),"")</f>
        <v/>
      </c>
      <c r="Y104" t="str">
        <f ca="1">IFERROR(IF(0=LEN(ReferenceData!$Y$104),"",ReferenceData!$Y$104),"")</f>
        <v/>
      </c>
      <c r="Z104" t="str">
        <f ca="1">IFERROR(IF(0=LEN(ReferenceData!$Z$104),"",ReferenceData!$Z$104),"")</f>
        <v/>
      </c>
      <c r="AA104" t="str">
        <f ca="1">IFERROR(IF(0=LEN(ReferenceData!$AA$104),"",ReferenceData!$AA$104),"")</f>
        <v/>
      </c>
      <c r="AB104" t="str">
        <f ca="1">IFERROR(IF(0=LEN(ReferenceData!$AB$104),"",ReferenceData!$AB$104),"")</f>
        <v/>
      </c>
      <c r="AC104" t="str">
        <f ca="1">IFERROR(IF(0=LEN(ReferenceData!$AC$104),"",ReferenceData!$AC$104),"")</f>
        <v/>
      </c>
      <c r="AD104" t="str">
        <f ca="1">IFERROR(IF(0=LEN(ReferenceData!$AD$104),"",ReferenceData!$AD$104),"")</f>
        <v/>
      </c>
      <c r="AE104" t="str">
        <f ca="1">IFERROR(IF(0=LEN(ReferenceData!$AE$104),"",ReferenceData!$AE$104),"")</f>
        <v/>
      </c>
      <c r="AF104" t="str">
        <f ca="1">IFERROR(IF(0=LEN(ReferenceData!$AF$104),"",ReferenceData!$AF$104),"")</f>
        <v/>
      </c>
      <c r="AG104" t="str">
        <f ca="1">IFERROR(IF(0=LEN(ReferenceData!$AG$104),"",ReferenceData!$AG$104),"")</f>
        <v/>
      </c>
      <c r="AH104" t="str">
        <f ca="1">IFERROR(IF(0=LEN(ReferenceData!$AH$104),"",ReferenceData!$AH$104),"")</f>
        <v/>
      </c>
      <c r="AI104" t="str">
        <f ca="1">IFERROR(IF(0=LEN(ReferenceData!$AI$104),"",ReferenceData!$AI$104),"")</f>
        <v/>
      </c>
      <c r="AJ104" t="str">
        <f ca="1">IFERROR(IF(0=LEN(ReferenceData!$AJ$104),"",ReferenceData!$AJ$104),"")</f>
        <v/>
      </c>
      <c r="AK104" t="str">
        <f ca="1">IFERROR(IF(0=LEN(ReferenceData!$AK$104),"",ReferenceData!$AK$104),"")</f>
        <v/>
      </c>
      <c r="AL104" t="str">
        <f ca="1">IFERROR(IF(0=LEN(ReferenceData!$AL$104),"",ReferenceData!$AL$104),"")</f>
        <v/>
      </c>
      <c r="AM104" t="str">
        <f ca="1">IFERROR(IF(0=LEN(ReferenceData!$AM$104),"",ReferenceData!$AM$104),"")</f>
        <v/>
      </c>
      <c r="AN104" t="str">
        <f ca="1">IFERROR(IF(0=LEN(ReferenceData!$AN$104),"",ReferenceData!$AN$104),"")</f>
        <v/>
      </c>
      <c r="AO104" t="str">
        <f ca="1">IFERROR(IF(0=LEN(ReferenceData!$AO$104),"",ReferenceData!$AO$104),"")</f>
        <v/>
      </c>
      <c r="AP104" t="str">
        <f ca="1">IFERROR(IF(0=LEN(ReferenceData!$AP$104),"",ReferenceData!$AP$104),"")</f>
        <v/>
      </c>
      <c r="AQ104" t="str">
        <f ca="1">IFERROR(IF(0=LEN(ReferenceData!$AQ$104),"",ReferenceData!$AQ$104),"")</f>
        <v/>
      </c>
      <c r="AR104" t="str">
        <f ca="1">IFERROR(IF(0=LEN(ReferenceData!$AR$104),"",ReferenceData!$AR$104),"")</f>
        <v/>
      </c>
      <c r="AS104" t="str">
        <f ca="1">IFERROR(IF(0=LEN(ReferenceData!$AS$104),"",ReferenceData!$AS$104),"")</f>
        <v/>
      </c>
    </row>
    <row r="105" spans="1:45" x14ac:dyDescent="0.25">
      <c r="A105" t="str">
        <f>IFERROR(IF(0=LEN(ReferenceData!$A$105),"",ReferenceData!$A$105),"")</f>
        <v xml:space="preserve">    Navistar</v>
      </c>
      <c r="B105" t="str">
        <f>IFERROR(IF(0=LEN(ReferenceData!$B$105),"",ReferenceData!$B$105),"")</f>
        <v>NAV US Equity</v>
      </c>
      <c r="C105" t="str">
        <f>IFERROR(IF(0=LEN(ReferenceData!$C$105),"",ReferenceData!$C$105),"")</f>
        <v/>
      </c>
      <c r="D105" t="str">
        <f>IFERROR(IF(0=LEN(ReferenceData!$D$105),"",ReferenceData!$D$105),"")</f>
        <v/>
      </c>
      <c r="E105" t="str">
        <f>IFERROR(IF(0=LEN(ReferenceData!$E$105),"",ReferenceData!$E$105),"")</f>
        <v>Sum</v>
      </c>
      <c r="F105">
        <f ca="1">IFERROR(IF(0=LEN(ReferenceData!$F$105),"",ReferenceData!$F$105),"")</f>
        <v>26.969812040000001</v>
      </c>
      <c r="G105">
        <f ca="1">IFERROR(IF(0=LEN(ReferenceData!$G$105),"",ReferenceData!$G$105),"")</f>
        <v>25.896907219999999</v>
      </c>
      <c r="H105">
        <f ca="1">IFERROR(IF(0=LEN(ReferenceData!$H$105),"",ReferenceData!$H$105),"")</f>
        <v>32.637327339999999</v>
      </c>
      <c r="I105">
        <f ca="1">IFERROR(IF(0=LEN(ReferenceData!$I$105),"",ReferenceData!$I$105),"")</f>
        <v>30.894965190000001</v>
      </c>
      <c r="J105">
        <f ca="1">IFERROR(IF(0=LEN(ReferenceData!$J$105),"",ReferenceData!$J$105),"")</f>
        <v>26.35575893</v>
      </c>
      <c r="K105">
        <f ca="1">IFERROR(IF(0=LEN(ReferenceData!$K$105),"",ReferenceData!$K$105),"")</f>
        <v>24.28805573</v>
      </c>
      <c r="L105">
        <f ca="1">IFERROR(IF(0=LEN(ReferenceData!$L$105),"",ReferenceData!$L$105),"")</f>
        <v>23.17794486</v>
      </c>
      <c r="M105">
        <f ca="1">IFERROR(IF(0=LEN(ReferenceData!$M$105),"",ReferenceData!$M$105),"")</f>
        <v>26.349206349999999</v>
      </c>
      <c r="N105">
        <f ca="1">IFERROR(IF(0=LEN(ReferenceData!$N$105),"",ReferenceData!$N$105),"")</f>
        <v>24.579055440000001</v>
      </c>
      <c r="O105">
        <f ca="1">IFERROR(IF(0=LEN(ReferenceData!$O$105),"",ReferenceData!$O$105),"")</f>
        <v>20.31827861</v>
      </c>
      <c r="P105">
        <f ca="1">IFERROR(IF(0=LEN(ReferenceData!$P$105),"",ReferenceData!$P$105),"")</f>
        <v>18.182689539999998</v>
      </c>
      <c r="Q105">
        <f ca="1">IFERROR(IF(0=LEN(ReferenceData!$Q$105),"",ReferenceData!$Q$105),"")</f>
        <v>16.049948449999999</v>
      </c>
      <c r="R105">
        <f ca="1">IFERROR(IF(0=LEN(ReferenceData!$R$105),"",ReferenceData!$R$105),"")</f>
        <v>21.06683271</v>
      </c>
      <c r="S105">
        <f ca="1">IFERROR(IF(0=LEN(ReferenceData!$S$105),"",ReferenceData!$S$105),"")</f>
        <v>30.015582389999999</v>
      </c>
      <c r="T105">
        <f ca="1">IFERROR(IF(0=LEN(ReferenceData!$T$105),"",ReferenceData!$T$105),"")</f>
        <v>28.77495463</v>
      </c>
      <c r="U105">
        <f ca="1">IFERROR(IF(0=LEN(ReferenceData!$U$105),"",ReferenceData!$U$105),"")</f>
        <v>26.074966809999999</v>
      </c>
      <c r="V105">
        <f ca="1">IFERROR(IF(0=LEN(ReferenceData!$V$105),"",ReferenceData!$V$105),"")</f>
        <v>23.833896670000001</v>
      </c>
      <c r="W105">
        <f ca="1">IFERROR(IF(0=LEN(ReferenceData!$W$105),"",ReferenceData!$W$105),"")</f>
        <v>23.457419680000001</v>
      </c>
      <c r="X105">
        <f ca="1">IFERROR(IF(0=LEN(ReferenceData!$X$105),"",ReferenceData!$X$105),"")</f>
        <v>22.49408051</v>
      </c>
      <c r="Y105">
        <f ca="1">IFERROR(IF(0=LEN(ReferenceData!$Y$105),"",ReferenceData!$Y$105),"")</f>
        <v>20.283533259999999</v>
      </c>
      <c r="Z105">
        <f ca="1">IFERROR(IF(0=LEN(ReferenceData!$Z$105),"",ReferenceData!$Z$105),"")</f>
        <v>24.499305970000002</v>
      </c>
      <c r="AA105">
        <f ca="1">IFERROR(IF(0=LEN(ReferenceData!$AA$105),"",ReferenceData!$AA$105),"")</f>
        <v>21.515756769999999</v>
      </c>
      <c r="AB105">
        <f ca="1">IFERROR(IF(0=LEN(ReferenceData!$AB$105),"",ReferenceData!$AB$105),"")</f>
        <v>18.75303486</v>
      </c>
      <c r="AC105">
        <f ca="1">IFERROR(IF(0=LEN(ReferenceData!$AC$105),"",ReferenceData!$AC$105),"")</f>
        <v>17.0183727</v>
      </c>
      <c r="AD105">
        <f ca="1">IFERROR(IF(0=LEN(ReferenceData!$AD$105),"",ReferenceData!$AD$105),"")</f>
        <v>22.391224189999999</v>
      </c>
      <c r="AE105">
        <f ca="1">IFERROR(IF(0=LEN(ReferenceData!$AE$105),"",ReferenceData!$AE$105),"")</f>
        <v>22.428801719999999</v>
      </c>
      <c r="AF105">
        <f ca="1">IFERROR(IF(0=LEN(ReferenceData!$AF$105),"",ReferenceData!$AF$105),"")</f>
        <v>30.21625358</v>
      </c>
      <c r="AG105">
        <f ca="1">IFERROR(IF(0=LEN(ReferenceData!$AG$105),"",ReferenceData!$AG$105),"")</f>
        <v>31.046228710000001</v>
      </c>
      <c r="AH105">
        <f ca="1">IFERROR(IF(0=LEN(ReferenceData!$AH$105),"",ReferenceData!$AH$105),"")</f>
        <v>28.741747960000001</v>
      </c>
      <c r="AI105">
        <f ca="1">IFERROR(IF(0=LEN(ReferenceData!$AI$105),"",ReferenceData!$AI$105),"")</f>
        <v>20.212380840000002</v>
      </c>
      <c r="AJ105">
        <f ca="1">IFERROR(IF(0=LEN(ReferenceData!$AJ$105),"",ReferenceData!$AJ$105),"")</f>
        <v>23.249105799999999</v>
      </c>
      <c r="AK105">
        <f ca="1">IFERROR(IF(0=LEN(ReferenceData!$AK$105),"",ReferenceData!$AK$105),"")</f>
        <v>25.182730729999999</v>
      </c>
      <c r="AL105">
        <f ca="1">IFERROR(IF(0=LEN(ReferenceData!$AL$105),"",ReferenceData!$AL$105),"")</f>
        <v>25.612219140000001</v>
      </c>
      <c r="AM105">
        <f ca="1">IFERROR(IF(0=LEN(ReferenceData!$AM$105),"",ReferenceData!$AM$105),"")</f>
        <v>25.050940910000001</v>
      </c>
      <c r="AN105">
        <f ca="1">IFERROR(IF(0=LEN(ReferenceData!$AN$105),"",ReferenceData!$AN$105),"")</f>
        <v>19.720837490000001</v>
      </c>
      <c r="AO105">
        <f ca="1">IFERROR(IF(0=LEN(ReferenceData!$AO$105),"",ReferenceData!$AO$105),"")</f>
        <v>17.642815930000001</v>
      </c>
      <c r="AP105">
        <f ca="1">IFERROR(IF(0=LEN(ReferenceData!$AP$105),"",ReferenceData!$AP$105),"")</f>
        <v>23.498722319999999</v>
      </c>
      <c r="AQ105">
        <f ca="1">IFERROR(IF(0=LEN(ReferenceData!$AQ$105),"",ReferenceData!$AQ$105),"")</f>
        <v>25.998476440000001</v>
      </c>
      <c r="AR105">
        <f ca="1">IFERROR(IF(0=LEN(ReferenceData!$AR$105),"",ReferenceData!$AR$105),"")</f>
        <v>27.288021530000002</v>
      </c>
      <c r="AS105">
        <f ca="1">IFERROR(IF(0=LEN(ReferenceData!$AS$105),"",ReferenceData!$AS$105),"")</f>
        <v>31.602329940000001</v>
      </c>
    </row>
    <row r="106" spans="1:45" x14ac:dyDescent="0.25">
      <c r="A106" t="str">
        <f>IFERROR(IF(0=LEN(ReferenceData!$A$106),"",ReferenceData!$A$106),"")</f>
        <v xml:space="preserve">        International</v>
      </c>
      <c r="B106" t="str">
        <f>IFERROR(IF(0=LEN(ReferenceData!$B$106),"",ReferenceData!$B$106),"")</f>
        <v>NAV US Equity</v>
      </c>
      <c r="C106" t="str">
        <f>IFERROR(IF(0=LEN(ReferenceData!$C$106),"",ReferenceData!$C$106),"")</f>
        <v/>
      </c>
      <c r="D106" t="str">
        <f>IFERROR(IF(0=LEN(ReferenceData!$D$106),"",ReferenceData!$D$106),"")</f>
        <v/>
      </c>
      <c r="E106" t="str">
        <f>IFERROR(IF(0=LEN(ReferenceData!$E$106),"",ReferenceData!$E$106),"")</f>
        <v>Expression</v>
      </c>
      <c r="F106">
        <f ca="1">IFERROR(IF(0=LEN(ReferenceData!$F$106),"",ReferenceData!$F$106),"")</f>
        <v>26.969812040000001</v>
      </c>
      <c r="G106">
        <f ca="1">IFERROR(IF(0=LEN(ReferenceData!$G$106),"",ReferenceData!$G$106),"")</f>
        <v>25.896907219999999</v>
      </c>
      <c r="H106">
        <f ca="1">IFERROR(IF(0=LEN(ReferenceData!$H$106),"",ReferenceData!$H$106),"")</f>
        <v>32.637327339999999</v>
      </c>
      <c r="I106">
        <f ca="1">IFERROR(IF(0=LEN(ReferenceData!$I$106),"",ReferenceData!$I$106),"")</f>
        <v>30.894965190000001</v>
      </c>
      <c r="J106">
        <f ca="1">IFERROR(IF(0=LEN(ReferenceData!$J$106),"",ReferenceData!$J$106),"")</f>
        <v>26.35575893</v>
      </c>
      <c r="K106">
        <f ca="1">IFERROR(IF(0=LEN(ReferenceData!$K$106),"",ReferenceData!$K$106),"")</f>
        <v>24.28805573</v>
      </c>
      <c r="L106">
        <f ca="1">IFERROR(IF(0=LEN(ReferenceData!$L$106),"",ReferenceData!$L$106),"")</f>
        <v>23.17794486</v>
      </c>
      <c r="M106">
        <f ca="1">IFERROR(IF(0=LEN(ReferenceData!$M$106),"",ReferenceData!$M$106),"")</f>
        <v>26.349206349999999</v>
      </c>
      <c r="N106">
        <f ca="1">IFERROR(IF(0=LEN(ReferenceData!$N$106),"",ReferenceData!$N$106),"")</f>
        <v>24.579055440000001</v>
      </c>
      <c r="O106">
        <f ca="1">IFERROR(IF(0=LEN(ReferenceData!$O$106),"",ReferenceData!$O$106),"")</f>
        <v>20.31827861</v>
      </c>
      <c r="P106">
        <f ca="1">IFERROR(IF(0=LEN(ReferenceData!$P$106),"",ReferenceData!$P$106),"")</f>
        <v>18.182689539999998</v>
      </c>
      <c r="Q106">
        <f ca="1">IFERROR(IF(0=LEN(ReferenceData!$Q$106),"",ReferenceData!$Q$106),"")</f>
        <v>16.049948449999999</v>
      </c>
      <c r="R106">
        <f ca="1">IFERROR(IF(0=LEN(ReferenceData!$R$106),"",ReferenceData!$R$106),"")</f>
        <v>21.06683271</v>
      </c>
      <c r="S106">
        <f ca="1">IFERROR(IF(0=LEN(ReferenceData!$S$106),"",ReferenceData!$S$106),"")</f>
        <v>30.015582389999999</v>
      </c>
      <c r="T106">
        <f ca="1">IFERROR(IF(0=LEN(ReferenceData!$T$106),"",ReferenceData!$T$106),"")</f>
        <v>28.77495463</v>
      </c>
      <c r="U106">
        <f ca="1">IFERROR(IF(0=LEN(ReferenceData!$U$106),"",ReferenceData!$U$106),"")</f>
        <v>26.074966809999999</v>
      </c>
      <c r="V106">
        <f ca="1">IFERROR(IF(0=LEN(ReferenceData!$V$106),"",ReferenceData!$V$106),"")</f>
        <v>23.833896670000001</v>
      </c>
      <c r="W106">
        <f ca="1">IFERROR(IF(0=LEN(ReferenceData!$W$106),"",ReferenceData!$W$106),"")</f>
        <v>23.457419680000001</v>
      </c>
      <c r="X106">
        <f ca="1">IFERROR(IF(0=LEN(ReferenceData!$X$106),"",ReferenceData!$X$106),"")</f>
        <v>22.49408051</v>
      </c>
      <c r="Y106">
        <f ca="1">IFERROR(IF(0=LEN(ReferenceData!$Y$106),"",ReferenceData!$Y$106),"")</f>
        <v>20.283533259999999</v>
      </c>
      <c r="Z106">
        <f ca="1">IFERROR(IF(0=LEN(ReferenceData!$Z$106),"",ReferenceData!$Z$106),"")</f>
        <v>24.499305970000002</v>
      </c>
      <c r="AA106">
        <f ca="1">IFERROR(IF(0=LEN(ReferenceData!$AA$106),"",ReferenceData!$AA$106),"")</f>
        <v>21.515756769999999</v>
      </c>
      <c r="AB106">
        <f ca="1">IFERROR(IF(0=LEN(ReferenceData!$AB$106),"",ReferenceData!$AB$106),"")</f>
        <v>18.75303486</v>
      </c>
      <c r="AC106">
        <f ca="1">IFERROR(IF(0=LEN(ReferenceData!$AC$106),"",ReferenceData!$AC$106),"")</f>
        <v>17.0183727</v>
      </c>
      <c r="AD106">
        <f ca="1">IFERROR(IF(0=LEN(ReferenceData!$AD$106),"",ReferenceData!$AD$106),"")</f>
        <v>22.391224189999999</v>
      </c>
      <c r="AE106">
        <f ca="1">IFERROR(IF(0=LEN(ReferenceData!$AE$106),"",ReferenceData!$AE$106),"")</f>
        <v>22.428801719999999</v>
      </c>
      <c r="AF106">
        <f ca="1">IFERROR(IF(0=LEN(ReferenceData!$AF$106),"",ReferenceData!$AF$106),"")</f>
        <v>30.21625358</v>
      </c>
      <c r="AG106">
        <f ca="1">IFERROR(IF(0=LEN(ReferenceData!$AG$106),"",ReferenceData!$AG$106),"")</f>
        <v>31.046228710000001</v>
      </c>
      <c r="AH106">
        <f ca="1">IFERROR(IF(0=LEN(ReferenceData!$AH$106),"",ReferenceData!$AH$106),"")</f>
        <v>28.741747960000001</v>
      </c>
      <c r="AI106">
        <f ca="1">IFERROR(IF(0=LEN(ReferenceData!$AI$106),"",ReferenceData!$AI$106),"")</f>
        <v>20.212380840000002</v>
      </c>
      <c r="AJ106">
        <f ca="1">IFERROR(IF(0=LEN(ReferenceData!$AJ$106),"",ReferenceData!$AJ$106),"")</f>
        <v>23.249105799999999</v>
      </c>
      <c r="AK106">
        <f ca="1">IFERROR(IF(0=LEN(ReferenceData!$AK$106),"",ReferenceData!$AK$106),"")</f>
        <v>25.182730729999999</v>
      </c>
      <c r="AL106">
        <f ca="1">IFERROR(IF(0=LEN(ReferenceData!$AL$106),"",ReferenceData!$AL$106),"")</f>
        <v>25.612219140000001</v>
      </c>
      <c r="AM106">
        <f ca="1">IFERROR(IF(0=LEN(ReferenceData!$AM$106),"",ReferenceData!$AM$106),"")</f>
        <v>25.050940910000001</v>
      </c>
      <c r="AN106">
        <f ca="1">IFERROR(IF(0=LEN(ReferenceData!$AN$106),"",ReferenceData!$AN$106),"")</f>
        <v>19.720837490000001</v>
      </c>
      <c r="AO106">
        <f ca="1">IFERROR(IF(0=LEN(ReferenceData!$AO$106),"",ReferenceData!$AO$106),"")</f>
        <v>17.642815930000001</v>
      </c>
      <c r="AP106">
        <f ca="1">IFERROR(IF(0=LEN(ReferenceData!$AP$106),"",ReferenceData!$AP$106),"")</f>
        <v>23.498722319999999</v>
      </c>
      <c r="AQ106">
        <f ca="1">IFERROR(IF(0=LEN(ReferenceData!$AQ$106),"",ReferenceData!$AQ$106),"")</f>
        <v>25.998476440000001</v>
      </c>
      <c r="AR106">
        <f ca="1">IFERROR(IF(0=LEN(ReferenceData!$AR$106),"",ReferenceData!$AR$106),"")</f>
        <v>27.288021530000002</v>
      </c>
      <c r="AS106">
        <f ca="1">IFERROR(IF(0=LEN(ReferenceData!$AS$106),"",ReferenceData!$AS$106),"")</f>
        <v>31.602329940000001</v>
      </c>
    </row>
    <row r="107" spans="1:45" x14ac:dyDescent="0.25">
      <c r="A107" t="str">
        <f>IFERROR(IF(0=LEN(ReferenceData!$A$107),"",ReferenceData!$A$107),"")</f>
        <v xml:space="preserve">    PACCAR</v>
      </c>
      <c r="B107" t="str">
        <f>IFERROR(IF(0=LEN(ReferenceData!$B$107),"",ReferenceData!$B$107),"")</f>
        <v>PCAR US Equity</v>
      </c>
      <c r="C107" t="str">
        <f>IFERROR(IF(0=LEN(ReferenceData!$C$107),"",ReferenceData!$C$107),"")</f>
        <v/>
      </c>
      <c r="D107" t="str">
        <f>IFERROR(IF(0=LEN(ReferenceData!$D$107),"",ReferenceData!$D$107),"")</f>
        <v/>
      </c>
      <c r="E107" t="str">
        <f>IFERROR(IF(0=LEN(ReferenceData!$E$107),"",ReferenceData!$E$107),"")</f>
        <v>Sum</v>
      </c>
      <c r="F107">
        <f ca="1">IFERROR(IF(0=LEN(ReferenceData!$F$107),"",ReferenceData!$F$107),"")</f>
        <v>12.132143535000001</v>
      </c>
      <c r="G107">
        <f ca="1">IFERROR(IF(0=LEN(ReferenceData!$G$107),"",ReferenceData!$G$107),"")</f>
        <v>11.701030928</v>
      </c>
      <c r="H107">
        <f ca="1">IFERROR(IF(0=LEN(ReferenceData!$H$107),"",ReferenceData!$H$107),"")</f>
        <v>9.1953099900000002</v>
      </c>
      <c r="I107">
        <f ca="1">IFERROR(IF(0=LEN(ReferenceData!$I$107),"",ReferenceData!$I$107),"")</f>
        <v>11.754616083</v>
      </c>
      <c r="J107">
        <f ca="1">IFERROR(IF(0=LEN(ReferenceData!$J$107),"",ReferenceData!$J$107),"")</f>
        <v>10.748709959999999</v>
      </c>
      <c r="K107">
        <f ca="1">IFERROR(IF(0=LEN(ReferenceData!$K$107),"",ReferenceData!$K$107),"")</f>
        <v>11.647203442</v>
      </c>
      <c r="L107">
        <f ca="1">IFERROR(IF(0=LEN(ReferenceData!$L$107),"",ReferenceData!$L$107),"")</f>
        <v>10.335839599</v>
      </c>
      <c r="M107">
        <f ca="1">IFERROR(IF(0=LEN(ReferenceData!$M$107),"",ReferenceData!$M$107),"")</f>
        <v>9.0793650799999988</v>
      </c>
      <c r="N107">
        <f ca="1">IFERROR(IF(0=LEN(ReferenceData!$N$107),"",ReferenceData!$N$107),"")</f>
        <v>7.8131416829999996</v>
      </c>
      <c r="O107">
        <f ca="1">IFERROR(IF(0=LEN(ReferenceData!$O$107),"",ReferenceData!$O$107),"")</f>
        <v>8.6854197020000008</v>
      </c>
      <c r="P107">
        <f ca="1">IFERROR(IF(0=LEN(ReferenceData!$P$107),"",ReferenceData!$P$107),"")</f>
        <v>14.856704687000001</v>
      </c>
      <c r="Q107">
        <f ca="1">IFERROR(IF(0=LEN(ReferenceData!$Q$107),"",ReferenceData!$Q$107),"")</f>
        <v>11.398785656999999</v>
      </c>
      <c r="R107">
        <f ca="1">IFERROR(IF(0=LEN(ReferenceData!$R$107),"",ReferenceData!$R$107),"")</f>
        <v>12.785388126999999</v>
      </c>
      <c r="S107">
        <f ca="1">IFERROR(IF(0=LEN(ReferenceData!$S$107),"",ReferenceData!$S$107),"")</f>
        <v>10.761589404</v>
      </c>
      <c r="T107">
        <f ca="1">IFERROR(IF(0=LEN(ReferenceData!$T$107),"",ReferenceData!$T$107),"")</f>
        <v>10.090744100999999</v>
      </c>
      <c r="U107">
        <f ca="1">IFERROR(IF(0=LEN(ReferenceData!$U$107),"",ReferenceData!$U$107),"")</f>
        <v>10.3564498</v>
      </c>
      <c r="V107">
        <f ca="1">IFERROR(IF(0=LEN(ReferenceData!$V$107),"",ReferenceData!$V$107),"")</f>
        <v>11.549975858</v>
      </c>
      <c r="W107">
        <f ca="1">IFERROR(IF(0=LEN(ReferenceData!$W$107),"",ReferenceData!$W$107),"")</f>
        <v>10.882202958000001</v>
      </c>
      <c r="X107">
        <f ca="1">IFERROR(IF(0=LEN(ReferenceData!$X$107),"",ReferenceData!$X$107),"")</f>
        <v>10.68468824</v>
      </c>
      <c r="Y107">
        <f ca="1">IFERROR(IF(0=LEN(ReferenceData!$Y$107),"",ReferenceData!$Y$107),"")</f>
        <v>9.5545675699999997</v>
      </c>
      <c r="Z107">
        <f ca="1">IFERROR(IF(0=LEN(ReferenceData!$Z$107),"",ReferenceData!$Z$107),"")</f>
        <v>8.6456474320000005</v>
      </c>
      <c r="AA107">
        <f ca="1">IFERROR(IF(0=LEN(ReferenceData!$AA$107),"",ReferenceData!$AA$107),"")</f>
        <v>9.3652907240000012</v>
      </c>
      <c r="AB107">
        <f ca="1">IFERROR(IF(0=LEN(ReferenceData!$AB$107),"",ReferenceData!$AB$107),"")</f>
        <v>14.266291153000001</v>
      </c>
      <c r="AC107">
        <f ca="1">IFERROR(IF(0=LEN(ReferenceData!$AC$107),"",ReferenceData!$AC$107),"")</f>
        <v>11.926509187000001</v>
      </c>
      <c r="AD107">
        <f ca="1">IFERROR(IF(0=LEN(ReferenceData!$AD$107),"",ReferenceData!$AD$107),"")</f>
        <v>10.564159291999999</v>
      </c>
      <c r="AE107">
        <f ca="1">IFERROR(IF(0=LEN(ReferenceData!$AE$107),"",ReferenceData!$AE$107),"")</f>
        <v>14.755507792</v>
      </c>
      <c r="AF107">
        <f ca="1">IFERROR(IF(0=LEN(ReferenceData!$AF$107),"",ReferenceData!$AF$107),"")</f>
        <v>13.459069813999999</v>
      </c>
      <c r="AG107">
        <f ca="1">IFERROR(IF(0=LEN(ReferenceData!$AG$107),"",ReferenceData!$AG$107),"")</f>
        <v>13.304136252999999</v>
      </c>
      <c r="AH107">
        <f ca="1">IFERROR(IF(0=LEN(ReferenceData!$AH$107),"",ReferenceData!$AH$107),"")</f>
        <v>10.069957631000001</v>
      </c>
      <c r="AI107">
        <f ca="1">IFERROR(IF(0=LEN(ReferenceData!$AI$107),"",ReferenceData!$AI$107),"")</f>
        <v>11.572342222</v>
      </c>
      <c r="AJ107">
        <f ca="1">IFERROR(IF(0=LEN(ReferenceData!$AJ$107),"",ReferenceData!$AJ$107),"")</f>
        <v>11.27264336</v>
      </c>
      <c r="AK107">
        <f ca="1">IFERROR(IF(0=LEN(ReferenceData!$AK$107),"",ReferenceData!$AK$107),"")</f>
        <v>8.7613293050000003</v>
      </c>
      <c r="AL107">
        <f ca="1">IFERROR(IF(0=LEN(ReferenceData!$AL$107),"",ReferenceData!$AL$107),"")</f>
        <v>8.634183286999999</v>
      </c>
      <c r="AM107">
        <f ca="1">IFERROR(IF(0=LEN(ReferenceData!$AM$107),"",ReferenceData!$AM$107),"")</f>
        <v>10.284070478</v>
      </c>
      <c r="AN107">
        <f ca="1">IFERROR(IF(0=LEN(ReferenceData!$AN$107),"",ReferenceData!$AN$107),"")</f>
        <v>12.711864406</v>
      </c>
      <c r="AO107">
        <f ca="1">IFERROR(IF(0=LEN(ReferenceData!$AO$107),"",ReferenceData!$AO$107),"")</f>
        <v>13.920946336</v>
      </c>
      <c r="AP107">
        <f ca="1">IFERROR(IF(0=LEN(ReferenceData!$AP$107),"",ReferenceData!$AP$107),"")</f>
        <v>10.008517887</v>
      </c>
      <c r="AQ107">
        <f ca="1">IFERROR(IF(0=LEN(ReferenceData!$AQ$107),"",ReferenceData!$AQ$107),"")</f>
        <v>10.414626183999999</v>
      </c>
      <c r="AR107">
        <f ca="1">IFERROR(IF(0=LEN(ReferenceData!$AR$107),"",ReferenceData!$AR$107),"")</f>
        <v>9.5109914760000009</v>
      </c>
      <c r="AS107">
        <f ca="1">IFERROR(IF(0=LEN(ReferenceData!$AS$107),"",ReferenceData!$AS$107),"")</f>
        <v>10.672326982</v>
      </c>
    </row>
    <row r="108" spans="1:45" x14ac:dyDescent="0.25">
      <c r="A108" t="str">
        <f>IFERROR(IF(0=LEN(ReferenceData!$A$108),"",ReferenceData!$A$108),"")</f>
        <v xml:space="preserve">        Kenworth</v>
      </c>
      <c r="B108" t="str">
        <f>IFERROR(IF(0=LEN(ReferenceData!$B$108),"",ReferenceData!$B$108),"")</f>
        <v>PCAR US Equity</v>
      </c>
      <c r="C108" t="str">
        <f>IFERROR(IF(0=LEN(ReferenceData!$C$108),"",ReferenceData!$C$108),"")</f>
        <v/>
      </c>
      <c r="D108" t="str">
        <f>IFERROR(IF(0=LEN(ReferenceData!$D$108),"",ReferenceData!$D$108),"")</f>
        <v/>
      </c>
      <c r="E108" t="str">
        <f>IFERROR(IF(0=LEN(ReferenceData!$E$108),"",ReferenceData!$E$108),"")</f>
        <v>Expression</v>
      </c>
      <c r="F108">
        <f ca="1">IFERROR(IF(0=LEN(ReferenceData!$F$108),"",ReferenceData!$F$108),"")</f>
        <v>5.8192519459999996</v>
      </c>
      <c r="G108">
        <f ca="1">IFERROR(IF(0=LEN(ReferenceData!$G$108),"",ReferenceData!$G$108),"")</f>
        <v>6.3298969070000002</v>
      </c>
      <c r="H108">
        <f ca="1">IFERROR(IF(0=LEN(ReferenceData!$H$108),"",ReferenceData!$H$108),"")</f>
        <v>5.0915515579999999</v>
      </c>
      <c r="I108">
        <f ca="1">IFERROR(IF(0=LEN(ReferenceData!$I$108),"",ReferenceData!$I$108),"")</f>
        <v>6.5482796890000001</v>
      </c>
      <c r="J108">
        <f ca="1">IFERROR(IF(0=LEN(ReferenceData!$J$108),"",ReferenceData!$J$108),"")</f>
        <v>6.0850939540000004</v>
      </c>
      <c r="K108">
        <f ca="1">IFERROR(IF(0=LEN(ReferenceData!$K$108),"",ReferenceData!$K$108),"")</f>
        <v>6.2487195250000003</v>
      </c>
      <c r="L108">
        <f ca="1">IFERROR(IF(0=LEN(ReferenceData!$L$108),"",ReferenceData!$L$108),"")</f>
        <v>6.1052631579999996</v>
      </c>
      <c r="M108">
        <f ca="1">IFERROR(IF(0=LEN(ReferenceData!$M$108),"",ReferenceData!$M$108),"")</f>
        <v>4.5238095239999998</v>
      </c>
      <c r="N108">
        <f ca="1">IFERROR(IF(0=LEN(ReferenceData!$N$108),"",ReferenceData!$N$108),"")</f>
        <v>3.6242299789999999</v>
      </c>
      <c r="O108">
        <f ca="1">IFERROR(IF(0=LEN(ReferenceData!$O$108),"",ReferenceData!$O$108),"")</f>
        <v>4.6733161489999997</v>
      </c>
      <c r="P108">
        <f ca="1">IFERROR(IF(0=LEN(ReferenceData!$P$108),"",ReferenceData!$P$108),"")</f>
        <v>7.8117511740000003</v>
      </c>
      <c r="Q108">
        <f ca="1">IFERROR(IF(0=LEN(ReferenceData!$Q$108),"",ReferenceData!$Q$108),"")</f>
        <v>6.3122923589999997</v>
      </c>
      <c r="R108">
        <f ca="1">IFERROR(IF(0=LEN(ReferenceData!$R$108),"",ReferenceData!$R$108),"")</f>
        <v>7.0464923199999996</v>
      </c>
      <c r="S108">
        <f ca="1">IFERROR(IF(0=LEN(ReferenceData!$S$108),"",ReferenceData!$S$108),"")</f>
        <v>5.5025321390000004</v>
      </c>
      <c r="T108">
        <f ca="1">IFERROR(IF(0=LEN(ReferenceData!$T$108),"",ReferenceData!$T$108),"")</f>
        <v>5.7894736839999998</v>
      </c>
      <c r="U108">
        <f ca="1">IFERROR(IF(0=LEN(ReferenceData!$U$108),"",ReferenceData!$U$108),"")</f>
        <v>5.1169441320000004</v>
      </c>
      <c r="V108">
        <f ca="1">IFERROR(IF(0=LEN(ReferenceData!$V$108),"",ReferenceData!$V$108),"")</f>
        <v>6.2481892810000002</v>
      </c>
      <c r="W108">
        <f ca="1">IFERROR(IF(0=LEN(ReferenceData!$W$108),"",ReferenceData!$W$108),"")</f>
        <v>6.3539010710000001</v>
      </c>
      <c r="X108">
        <f ca="1">IFERROR(IF(0=LEN(ReferenceData!$X$108),"",ReferenceData!$X$108),"")</f>
        <v>5.712312549</v>
      </c>
      <c r="Y108">
        <f ca="1">IFERROR(IF(0=LEN(ReferenceData!$Y$108),"",ReferenceData!$Y$108),"")</f>
        <v>5.0750775939999997</v>
      </c>
      <c r="Z108">
        <f ca="1">IFERROR(IF(0=LEN(ReferenceData!$Z$108),"",ReferenceData!$Z$108),"")</f>
        <v>4.0650406500000003</v>
      </c>
      <c r="AA108">
        <f ca="1">IFERROR(IF(0=LEN(ReferenceData!$AA$108),"",ReferenceData!$AA$108),"")</f>
        <v>4.3164669330000001</v>
      </c>
      <c r="AB108">
        <f ca="1">IFERROR(IF(0=LEN(ReferenceData!$AB$108),"",ReferenceData!$AB$108),"")</f>
        <v>7.7692531809999998</v>
      </c>
      <c r="AC108">
        <f ca="1">IFERROR(IF(0=LEN(ReferenceData!$AC$108),"",ReferenceData!$AC$108),"")</f>
        <v>6.8556430449999999</v>
      </c>
      <c r="AD108">
        <f ca="1">IFERROR(IF(0=LEN(ReferenceData!$AD$108),"",ReferenceData!$AD$108),"")</f>
        <v>5.8075221240000001</v>
      </c>
      <c r="AE108">
        <f ca="1">IFERROR(IF(0=LEN(ReferenceData!$AE$108),"",ReferenceData!$AE$108),"")</f>
        <v>7.3293927999999999</v>
      </c>
      <c r="AF108">
        <f ca="1">IFERROR(IF(0=LEN(ReferenceData!$AF$108),"",ReferenceData!$AF$108),"")</f>
        <v>8.0181692509999998</v>
      </c>
      <c r="AG108">
        <f ca="1">IFERROR(IF(0=LEN(ReferenceData!$AG$108),"",ReferenceData!$AG$108),"")</f>
        <v>7.6301703160000001</v>
      </c>
      <c r="AH108">
        <f ca="1">IFERROR(IF(0=LEN(ReferenceData!$AH$108),"",ReferenceData!$AH$108),"")</f>
        <v>4.54231944</v>
      </c>
      <c r="AI108">
        <f ca="1">IFERROR(IF(0=LEN(ReferenceData!$AI$108),"",ReferenceData!$AI$108),"")</f>
        <v>6.2628212860000003</v>
      </c>
      <c r="AJ108">
        <f ca="1">IFERROR(IF(0=LEN(ReferenceData!$AJ$108),"",ReferenceData!$AJ$108),"")</f>
        <v>5.5382485289999996</v>
      </c>
      <c r="AK108">
        <f ca="1">IFERROR(IF(0=LEN(ReferenceData!$AK$108),"",ReferenceData!$AK$108),"")</f>
        <v>4.1418965009999997</v>
      </c>
      <c r="AL108">
        <f ca="1">IFERROR(IF(0=LEN(ReferenceData!$AL$108),"",ReferenceData!$AL$108),"")</f>
        <v>4.4306993180000003</v>
      </c>
      <c r="AM108">
        <f ca="1">IFERROR(IF(0=LEN(ReferenceData!$AM$108),"",ReferenceData!$AM$108),"")</f>
        <v>5.7053817569999996</v>
      </c>
      <c r="AN108">
        <f ca="1">IFERROR(IF(0=LEN(ReferenceData!$AN$108),"",ReferenceData!$AN$108),"")</f>
        <v>7.3579262209999996</v>
      </c>
      <c r="AO108">
        <f ca="1">IFERROR(IF(0=LEN(ReferenceData!$AO$108),"",ReferenceData!$AO$108),"")</f>
        <v>7.1407963069999996</v>
      </c>
      <c r="AP108">
        <f ca="1">IFERROR(IF(0=LEN(ReferenceData!$AP$108),"",ReferenceData!$AP$108),"")</f>
        <v>5.1320272569999998</v>
      </c>
      <c r="AQ108">
        <f ca="1">IFERROR(IF(0=LEN(ReferenceData!$AQ$108),"",ReferenceData!$AQ$108),"")</f>
        <v>5.8983567309999998</v>
      </c>
      <c r="AR108">
        <f ca="1">IFERROR(IF(0=LEN(ReferenceData!$AR$108),"",ReferenceData!$AR$108),"")</f>
        <v>4.9125168239999999</v>
      </c>
      <c r="AS108">
        <f ca="1">IFERROR(IF(0=LEN(ReferenceData!$AS$108),"",ReferenceData!$AS$108),"")</f>
        <v>6.4369631749999998</v>
      </c>
    </row>
    <row r="109" spans="1:45" x14ac:dyDescent="0.25">
      <c r="A109" t="str">
        <f>IFERROR(IF(0=LEN(ReferenceData!$A$109),"",ReferenceData!$A$109),"")</f>
        <v xml:space="preserve">        Peterbilt</v>
      </c>
      <c r="B109" t="str">
        <f>IFERROR(IF(0=LEN(ReferenceData!$B$109),"",ReferenceData!$B$109),"")</f>
        <v>PCAR US Equity</v>
      </c>
      <c r="C109" t="str">
        <f>IFERROR(IF(0=LEN(ReferenceData!$C$109),"",ReferenceData!$C$109),"")</f>
        <v/>
      </c>
      <c r="D109" t="str">
        <f>IFERROR(IF(0=LEN(ReferenceData!$D$109),"",ReferenceData!$D$109),"")</f>
        <v/>
      </c>
      <c r="E109" t="str">
        <f>IFERROR(IF(0=LEN(ReferenceData!$E$109),"",ReferenceData!$E$109),"")</f>
        <v>Expression</v>
      </c>
      <c r="F109">
        <f ca="1">IFERROR(IF(0=LEN(ReferenceData!$F$109),"",ReferenceData!$F$109),"")</f>
        <v>6.3128915890000004</v>
      </c>
      <c r="G109">
        <f ca="1">IFERROR(IF(0=LEN(ReferenceData!$G$109),"",ReferenceData!$G$109),"")</f>
        <v>5.3711340209999996</v>
      </c>
      <c r="H109">
        <f ca="1">IFERROR(IF(0=LEN(ReferenceData!$H$109),"",ReferenceData!$H$109),"")</f>
        <v>4.1037584320000002</v>
      </c>
      <c r="I109">
        <f ca="1">IFERROR(IF(0=LEN(ReferenceData!$I$109),"",ReferenceData!$I$109),"")</f>
        <v>5.206336394</v>
      </c>
      <c r="J109">
        <f ca="1">IFERROR(IF(0=LEN(ReferenceData!$J$109),"",ReferenceData!$J$109),"")</f>
        <v>4.6636160059999998</v>
      </c>
      <c r="K109">
        <f ca="1">IFERROR(IF(0=LEN(ReferenceData!$K$109),"",ReferenceData!$K$109),"")</f>
        <v>5.3984839170000001</v>
      </c>
      <c r="L109">
        <f ca="1">IFERROR(IF(0=LEN(ReferenceData!$L$109),"",ReferenceData!$L$109),"")</f>
        <v>4.2305764410000002</v>
      </c>
      <c r="M109">
        <f ca="1">IFERROR(IF(0=LEN(ReferenceData!$M$109),"",ReferenceData!$M$109),"")</f>
        <v>4.5555555559999998</v>
      </c>
      <c r="N109">
        <f ca="1">IFERROR(IF(0=LEN(ReferenceData!$N$109),"",ReferenceData!$N$109),"")</f>
        <v>4.1889117039999997</v>
      </c>
      <c r="O109">
        <f ca="1">IFERROR(IF(0=LEN(ReferenceData!$O$109),"",ReferenceData!$O$109),"")</f>
        <v>4.0121035530000002</v>
      </c>
      <c r="P109">
        <f ca="1">IFERROR(IF(0=LEN(ReferenceData!$P$109),"",ReferenceData!$P$109),"")</f>
        <v>7.0449535130000003</v>
      </c>
      <c r="Q109">
        <f ca="1">IFERROR(IF(0=LEN(ReferenceData!$Q$109),"",ReferenceData!$Q$109),"")</f>
        <v>5.0864932979999997</v>
      </c>
      <c r="R109">
        <f ca="1">IFERROR(IF(0=LEN(ReferenceData!$R$109),"",ReferenceData!$R$109),"")</f>
        <v>5.7388958069999996</v>
      </c>
      <c r="S109">
        <f ca="1">IFERROR(IF(0=LEN(ReferenceData!$S$109),"",ReferenceData!$S$109),"")</f>
        <v>5.259057265</v>
      </c>
      <c r="T109">
        <f ca="1">IFERROR(IF(0=LEN(ReferenceData!$T$109),"",ReferenceData!$T$109),"")</f>
        <v>4.3012704169999996</v>
      </c>
      <c r="U109">
        <f ca="1">IFERROR(IF(0=LEN(ReferenceData!$U$109),"",ReferenceData!$U$109),"")</f>
        <v>5.2395056679999996</v>
      </c>
      <c r="V109">
        <f ca="1">IFERROR(IF(0=LEN(ReferenceData!$V$109),"",ReferenceData!$V$109),"")</f>
        <v>5.3017865769999997</v>
      </c>
      <c r="W109">
        <f ca="1">IFERROR(IF(0=LEN(ReferenceData!$W$109),"",ReferenceData!$W$109),"")</f>
        <v>4.5283018869999996</v>
      </c>
      <c r="X109">
        <f ca="1">IFERROR(IF(0=LEN(ReferenceData!$X$109),"",ReferenceData!$X$109),"")</f>
        <v>4.9723756909999999</v>
      </c>
      <c r="Y109">
        <f ca="1">IFERROR(IF(0=LEN(ReferenceData!$Y$109),"",ReferenceData!$Y$109),"")</f>
        <v>4.479489976</v>
      </c>
      <c r="Z109">
        <f ca="1">IFERROR(IF(0=LEN(ReferenceData!$Z$109),"",ReferenceData!$Z$109),"")</f>
        <v>4.5806067820000003</v>
      </c>
      <c r="AA109">
        <f ca="1">IFERROR(IF(0=LEN(ReferenceData!$AA$109),"",ReferenceData!$AA$109),"")</f>
        <v>5.0488237910000002</v>
      </c>
      <c r="AB109">
        <f ca="1">IFERROR(IF(0=LEN(ReferenceData!$AB$109),"",ReferenceData!$AB$109),"")</f>
        <v>6.4970379720000002</v>
      </c>
      <c r="AC109">
        <f ca="1">IFERROR(IF(0=LEN(ReferenceData!$AC$109),"",ReferenceData!$AC$109),"")</f>
        <v>5.0708661419999999</v>
      </c>
      <c r="AD109">
        <f ca="1">IFERROR(IF(0=LEN(ReferenceData!$AD$109),"",ReferenceData!$AD$109),"")</f>
        <v>4.7566371680000001</v>
      </c>
      <c r="AE109">
        <f ca="1">IFERROR(IF(0=LEN(ReferenceData!$AE$109),"",ReferenceData!$AE$109),"")</f>
        <v>7.4261149919999996</v>
      </c>
      <c r="AF109">
        <f ca="1">IFERROR(IF(0=LEN(ReferenceData!$AF$109),"",ReferenceData!$AF$109),"")</f>
        <v>5.4409005629999996</v>
      </c>
      <c r="AG109">
        <f ca="1">IFERROR(IF(0=LEN(ReferenceData!$AG$109),"",ReferenceData!$AG$109),"")</f>
        <v>5.6739659370000002</v>
      </c>
      <c r="AH109">
        <f ca="1">IFERROR(IF(0=LEN(ReferenceData!$AH$109),"",ReferenceData!$AH$109),"")</f>
        <v>5.5276381910000003</v>
      </c>
      <c r="AI109">
        <f ca="1">IFERROR(IF(0=LEN(ReferenceData!$AI$109),"",ReferenceData!$AI$109),"")</f>
        <v>5.3095209360000002</v>
      </c>
      <c r="AJ109">
        <f ca="1">IFERROR(IF(0=LEN(ReferenceData!$AJ$109),"",ReferenceData!$AJ$109),"")</f>
        <v>5.7343948310000004</v>
      </c>
      <c r="AK109">
        <f ca="1">IFERROR(IF(0=LEN(ReferenceData!$AK$109),"",ReferenceData!$AK$109),"")</f>
        <v>4.6194328039999997</v>
      </c>
      <c r="AL109">
        <f ca="1">IFERROR(IF(0=LEN(ReferenceData!$AL$109),"",ReferenceData!$AL$109),"")</f>
        <v>4.2034839689999997</v>
      </c>
      <c r="AM109">
        <f ca="1">IFERROR(IF(0=LEN(ReferenceData!$AM$109),"",ReferenceData!$AM$109),"")</f>
        <v>4.5786887209999998</v>
      </c>
      <c r="AN109">
        <f ca="1">IFERROR(IF(0=LEN(ReferenceData!$AN$109),"",ReferenceData!$AN$109),"")</f>
        <v>5.3539381849999996</v>
      </c>
      <c r="AO109">
        <f ca="1">IFERROR(IF(0=LEN(ReferenceData!$AO$109),"",ReferenceData!$AO$109),"")</f>
        <v>6.7801500289999996</v>
      </c>
      <c r="AP109">
        <f ca="1">IFERROR(IF(0=LEN(ReferenceData!$AP$109),"",ReferenceData!$AP$109),"")</f>
        <v>4.8764906300000002</v>
      </c>
      <c r="AQ109">
        <f ca="1">IFERROR(IF(0=LEN(ReferenceData!$AQ$109),"",ReferenceData!$AQ$109),"")</f>
        <v>4.5162694529999996</v>
      </c>
      <c r="AR109">
        <f ca="1">IFERROR(IF(0=LEN(ReferenceData!$AR$109),"",ReferenceData!$AR$109),"")</f>
        <v>4.5984746520000002</v>
      </c>
      <c r="AS109">
        <f ca="1">IFERROR(IF(0=LEN(ReferenceData!$AS$109),"",ReferenceData!$AS$109),"")</f>
        <v>4.2353638069999997</v>
      </c>
    </row>
    <row r="110" spans="1:45" x14ac:dyDescent="0.25">
      <c r="A110" t="str">
        <f>IFERROR(IF(0=LEN(ReferenceData!$A$110),"",ReferenceData!$A$110),"")</f>
        <v xml:space="preserve">    Ford</v>
      </c>
      <c r="B110" t="str">
        <f>IFERROR(IF(0=LEN(ReferenceData!$B$110),"",ReferenceData!$B$110),"")</f>
        <v>F US Equity</v>
      </c>
      <c r="C110" t="str">
        <f>IFERROR(IF(0=LEN(ReferenceData!$C$110),"",ReferenceData!$C$110),"")</f>
        <v/>
      </c>
      <c r="D110" t="str">
        <f>IFERROR(IF(0=LEN(ReferenceData!$D$110),"",ReferenceData!$D$110),"")</f>
        <v/>
      </c>
      <c r="E110" t="str">
        <f>IFERROR(IF(0=LEN(ReferenceData!$E$110),"",ReferenceData!$E$110),"")</f>
        <v>Expression</v>
      </c>
      <c r="F110">
        <f ca="1">IFERROR(IF(0=LEN(ReferenceData!$F$110),"",ReferenceData!$F$110),"")</f>
        <v>14.923106130000001</v>
      </c>
      <c r="G110">
        <f ca="1">IFERROR(IF(0=LEN(ReferenceData!$G$110),"",ReferenceData!$G$110),"")</f>
        <v>14.268041240000001</v>
      </c>
      <c r="H110">
        <f ca="1">IFERROR(IF(0=LEN(ReferenceData!$H$110),"",ReferenceData!$H$110),"")</f>
        <v>14.51975586</v>
      </c>
      <c r="I110">
        <f ca="1">IFERROR(IF(0=LEN(ReferenceData!$I$110),"",ReferenceData!$I$110),"")</f>
        <v>14.83200484</v>
      </c>
      <c r="J110">
        <f ca="1">IFERROR(IF(0=LEN(ReferenceData!$J$110),"",ReferenceData!$J$110),"")</f>
        <v>18.381851820000001</v>
      </c>
      <c r="K110">
        <f ca="1">IFERROR(IF(0=LEN(ReferenceData!$K$110),"",ReferenceData!$K$110),"")</f>
        <v>12.989141569999999</v>
      </c>
      <c r="L110">
        <f ca="1">IFERROR(IF(0=LEN(ReferenceData!$L$110),"",ReferenceData!$L$110),"")</f>
        <v>20.802005009999998</v>
      </c>
      <c r="M110">
        <f ca="1">IFERROR(IF(0=LEN(ReferenceData!$M$110),"",ReferenceData!$M$110),"")</f>
        <v>19.015873020000001</v>
      </c>
      <c r="N110">
        <f ca="1">IFERROR(IF(0=LEN(ReferenceData!$N$110),"",ReferenceData!$N$110),"")</f>
        <v>18.583162219999998</v>
      </c>
      <c r="O110">
        <f ca="1">IFERROR(IF(0=LEN(ReferenceData!$O$110),"",ReferenceData!$O$110),"")</f>
        <v>24.823489859999999</v>
      </c>
      <c r="P110">
        <f ca="1">IFERROR(IF(0=LEN(ReferenceData!$P$110),"",ReferenceData!$P$110),"")</f>
        <v>29.224575869999999</v>
      </c>
      <c r="Q110">
        <f ca="1">IFERROR(IF(0=LEN(ReferenceData!$Q$110),"",ReferenceData!$Q$110),"")</f>
        <v>24.90548746</v>
      </c>
      <c r="R110">
        <f ca="1">IFERROR(IF(0=LEN(ReferenceData!$R$110),"",ReferenceData!$R$110),"")</f>
        <v>19.001660439999998</v>
      </c>
      <c r="S110">
        <f ca="1">IFERROR(IF(0=LEN(ReferenceData!$S$110),"",ReferenceData!$S$110),"")</f>
        <v>16.371250490000001</v>
      </c>
      <c r="T110">
        <f ca="1">IFERROR(IF(0=LEN(ReferenceData!$T$110),"",ReferenceData!$T$110),"")</f>
        <v>14.963702359999999</v>
      </c>
      <c r="U110">
        <f ca="1">IFERROR(IF(0=LEN(ReferenceData!$U$110),"",ReferenceData!$U$110),"")</f>
        <v>17.934838119999998</v>
      </c>
      <c r="V110">
        <f ca="1">IFERROR(IF(0=LEN(ReferenceData!$V$110),"",ReferenceData!$V$110),"")</f>
        <v>17.199420570000001</v>
      </c>
      <c r="W110">
        <f ca="1">IFERROR(IF(0=LEN(ReferenceData!$W$110),"",ReferenceData!$W$110),"")</f>
        <v>19.530851609999999</v>
      </c>
      <c r="X110">
        <f ca="1">IFERROR(IF(0=LEN(ReferenceData!$X$110),"",ReferenceData!$X$110),"")</f>
        <v>25.473559590000001</v>
      </c>
      <c r="Y110">
        <f ca="1">IFERROR(IF(0=LEN(ReferenceData!$Y$110),"",ReferenceData!$Y$110),"")</f>
        <v>23.412465399999999</v>
      </c>
      <c r="Z110">
        <f ca="1">IFERROR(IF(0=LEN(ReferenceData!$Z$110),"",ReferenceData!$Z$110),"")</f>
        <v>17.65814</v>
      </c>
      <c r="AA110">
        <f ca="1">IFERROR(IF(0=LEN(ReferenceData!$AA$110),"",ReferenceData!$AA$110),"")</f>
        <v>19.984465159999999</v>
      </c>
      <c r="AB110">
        <f ca="1">IFERROR(IF(0=LEN(ReferenceData!$AB$110),"",ReferenceData!$AB$110),"")</f>
        <v>24.104107989999999</v>
      </c>
      <c r="AC110">
        <f ca="1">IFERROR(IF(0=LEN(ReferenceData!$AC$110),"",ReferenceData!$AC$110),"")</f>
        <v>17.196850390000002</v>
      </c>
      <c r="AD110">
        <f ca="1">IFERROR(IF(0=LEN(ReferenceData!$AD$110),"",ReferenceData!$AD$110),"")</f>
        <v>16.12278761</v>
      </c>
      <c r="AE110">
        <f ca="1">IFERROR(IF(0=LEN(ReferenceData!$AE$110),"",ReferenceData!$AE$110),"")</f>
        <v>10.29554003</v>
      </c>
      <c r="AF110">
        <f ca="1">IFERROR(IF(0=LEN(ReferenceData!$AF$110),"",ReferenceData!$AF$110),"")</f>
        <v>9.5882294859999995</v>
      </c>
      <c r="AG110">
        <f ca="1">IFERROR(IF(0=LEN(ReferenceData!$AG$110),"",ReferenceData!$AG$110),"")</f>
        <v>12.642335770000001</v>
      </c>
      <c r="AH110">
        <f ca="1">IFERROR(IF(0=LEN(ReferenceData!$AH$110),"",ReferenceData!$AH$110),"")</f>
        <v>14.415213319999999</v>
      </c>
      <c r="AI110">
        <f ca="1">IFERROR(IF(0=LEN(ReferenceData!$AI$110),"",ReferenceData!$AI$110),"")</f>
        <v>15.120067580000001</v>
      </c>
      <c r="AJ110">
        <f ca="1">IFERROR(IF(0=LEN(ReferenceData!$AJ$110),"",ReferenceData!$AJ$110),"")</f>
        <v>15.96861659</v>
      </c>
      <c r="AK110">
        <f ca="1">IFERROR(IF(0=LEN(ReferenceData!$AK$110),"",ReferenceData!$AK$110),"")</f>
        <v>16.012084590000001</v>
      </c>
      <c r="AL110">
        <f ca="1">IFERROR(IF(0=LEN(ReferenceData!$AL$110),"",ReferenceData!$AL$110),"")</f>
        <v>17.079020450000002</v>
      </c>
      <c r="AM110">
        <f ca="1">IFERROR(IF(0=LEN(ReferenceData!$AM$110),"",ReferenceData!$AM$110),"")</f>
        <v>17.59558912</v>
      </c>
      <c r="AN110">
        <f ca="1">IFERROR(IF(0=LEN(ReferenceData!$AN$110),"",ReferenceData!$AN$110),"")</f>
        <v>20.977068790000001</v>
      </c>
      <c r="AO110">
        <f ca="1">IFERROR(IF(0=LEN(ReferenceData!$AO$110),"",ReferenceData!$AO$110),"")</f>
        <v>18.840161569999999</v>
      </c>
      <c r="AP110">
        <f ca="1">IFERROR(IF(0=LEN(ReferenceData!$AP$110),"",ReferenceData!$AP$110),"")</f>
        <v>17.301959109999999</v>
      </c>
      <c r="AQ110">
        <f ca="1">IFERROR(IF(0=LEN(ReferenceData!$AQ$110),"",ReferenceData!$AQ$110),"")</f>
        <v>15.823266950000001</v>
      </c>
      <c r="AR110">
        <f ca="1">IFERROR(IF(0=LEN(ReferenceData!$AR$110),"",ReferenceData!$AR$110),"")</f>
        <v>14.50201884</v>
      </c>
      <c r="AS110">
        <f ca="1">IFERROR(IF(0=LEN(ReferenceData!$AS$110),"",ReferenceData!$AS$110),"")</f>
        <v>11.87678942</v>
      </c>
    </row>
    <row r="111" spans="1:45" x14ac:dyDescent="0.25">
      <c r="A111" t="str">
        <f>IFERROR(IF(0=LEN(ReferenceData!$A$111),"",ReferenceData!$A$111),"")</f>
        <v xml:space="preserve">    Hino</v>
      </c>
      <c r="B111" t="str">
        <f>IFERROR(IF(0=LEN(ReferenceData!$B$111),"",ReferenceData!$B$111),"")</f>
        <v>7205 JP Equity</v>
      </c>
      <c r="C111" t="str">
        <f>IFERROR(IF(0=LEN(ReferenceData!$C$111),"",ReferenceData!$C$111),"")</f>
        <v/>
      </c>
      <c r="D111" t="str">
        <f>IFERROR(IF(0=LEN(ReferenceData!$D$111),"",ReferenceData!$D$111),"")</f>
        <v/>
      </c>
      <c r="E111" t="str">
        <f>IFERROR(IF(0=LEN(ReferenceData!$E$111),"",ReferenceData!$E$111),"")</f>
        <v>Expression</v>
      </c>
      <c r="F111">
        <f ca="1">IFERROR(IF(0=LEN(ReferenceData!$F$111),"",ReferenceData!$F$111),"")</f>
        <v>6.7970381619999998</v>
      </c>
      <c r="G111">
        <f ca="1">IFERROR(IF(0=LEN(ReferenceData!$G$111),"",ReferenceData!$G$111),"")</f>
        <v>7.3298969070000002</v>
      </c>
      <c r="H111">
        <f ca="1">IFERROR(IF(0=LEN(ReferenceData!$H$111),"",ReferenceData!$H$111),"")</f>
        <v>6.0713138449999997</v>
      </c>
      <c r="I111">
        <f ca="1">IFERROR(IF(0=LEN(ReferenceData!$I$111),"",ReferenceData!$I$111),"")</f>
        <v>6.4675612960000004</v>
      </c>
      <c r="J111">
        <f ca="1">IFERROR(IF(0=LEN(ReferenceData!$J$111),"",ReferenceData!$J$111),"")</f>
        <v>8.178366274</v>
      </c>
      <c r="K111">
        <f ca="1">IFERROR(IF(0=LEN(ReferenceData!$K$111),"",ReferenceData!$K$111),"")</f>
        <v>7.0067609099999997</v>
      </c>
      <c r="L111">
        <f ca="1">IFERROR(IF(0=LEN(ReferenceData!$L$111),"",ReferenceData!$L$111),"")</f>
        <v>5.8345864660000002</v>
      </c>
      <c r="M111">
        <f ca="1">IFERROR(IF(0=LEN(ReferenceData!$M$111),"",ReferenceData!$M$111),"")</f>
        <v>7.3730158729999999</v>
      </c>
      <c r="N111">
        <f ca="1">IFERROR(IF(0=LEN(ReferenceData!$N$111),"",ReferenceData!$N$111),"")</f>
        <v>6.5605749490000003</v>
      </c>
      <c r="O111">
        <f ca="1">IFERROR(IF(0=LEN(ReferenceData!$O$111),"",ReferenceData!$O$111),"")</f>
        <v>6.5672979939999996</v>
      </c>
      <c r="P111">
        <f ca="1">IFERROR(IF(0=LEN(ReferenceData!$P$111),"",ReferenceData!$P$111),"")</f>
        <v>7.0737084250000004</v>
      </c>
      <c r="Q111">
        <f ca="1">IFERROR(IF(0=LEN(ReferenceData!$Q$111),"",ReferenceData!$Q$111),"")</f>
        <v>8.4545766980000003</v>
      </c>
      <c r="R111">
        <f ca="1">IFERROR(IF(0=LEN(ReferenceData!$R$111),"",ReferenceData!$R$111),"")</f>
        <v>6.4445828140000003</v>
      </c>
      <c r="S111">
        <f ca="1">IFERROR(IF(0=LEN(ReferenceData!$S$111),"",ReferenceData!$S$111),"")</f>
        <v>6.3400857029999997</v>
      </c>
      <c r="T111">
        <f ca="1">IFERROR(IF(0=LEN(ReferenceData!$T$111),"",ReferenceData!$T$111),"")</f>
        <v>5.7168784029999999</v>
      </c>
      <c r="U111">
        <f ca="1">IFERROR(IF(0=LEN(ReferenceData!$U$111),"",ReferenceData!$U$111),"")</f>
        <v>5.8931671940000001</v>
      </c>
      <c r="V111">
        <f ca="1">IFERROR(IF(0=LEN(ReferenceData!$V$111),"",ReferenceData!$V$111),"")</f>
        <v>7.3201352000000002</v>
      </c>
      <c r="W111">
        <f ca="1">IFERROR(IF(0=LEN(ReferenceData!$W$111),"",ReferenceData!$W$111),"")</f>
        <v>7.1290158080000001</v>
      </c>
      <c r="X111">
        <f ca="1">IFERROR(IF(0=LEN(ReferenceData!$X$111),"",ReferenceData!$X$111),"")</f>
        <v>4.9921073399999996</v>
      </c>
      <c r="Y111">
        <f ca="1">IFERROR(IF(0=LEN(ReferenceData!$Y$111),"",ReferenceData!$Y$111),"")</f>
        <v>11.15678215</v>
      </c>
      <c r="Z111">
        <f ca="1">IFERROR(IF(0=LEN(ReferenceData!$Z$111),"",ReferenceData!$Z$111),"")</f>
        <v>7.029545905</v>
      </c>
      <c r="AA111">
        <f ca="1">IFERROR(IF(0=LEN(ReferenceData!$AA$111),"",ReferenceData!$AA$111),"")</f>
        <v>6.1251664449999996</v>
      </c>
      <c r="AB111">
        <f ca="1">IFERROR(IF(0=LEN(ReferenceData!$AB$111),"",ReferenceData!$AB$111),"")</f>
        <v>10.439933959999999</v>
      </c>
      <c r="AC111">
        <f ca="1">IFERROR(IF(0=LEN(ReferenceData!$AC$111),"",ReferenceData!$AC$111),"")</f>
        <v>7.727034121</v>
      </c>
      <c r="AD111">
        <f ca="1">IFERROR(IF(0=LEN(ReferenceData!$AD$111),"",ReferenceData!$AD$111),"")</f>
        <v>7.6788348080000004</v>
      </c>
      <c r="AE111">
        <f ca="1">IFERROR(IF(0=LEN(ReferenceData!$AE$111),"",ReferenceData!$AE$111),"")</f>
        <v>8.5437936590000003</v>
      </c>
      <c r="AF111">
        <f ca="1">IFERROR(IF(0=LEN(ReferenceData!$AF$111),"",ReferenceData!$AF$111),"")</f>
        <v>7.692307692</v>
      </c>
      <c r="AG111">
        <f ca="1">IFERROR(IF(0=LEN(ReferenceData!$AG$111),"",ReferenceData!$AG$111),"")</f>
        <v>7.2603406330000002</v>
      </c>
      <c r="AH111">
        <f ca="1">IFERROR(IF(0=LEN(ReferenceData!$AH$111),"",ReferenceData!$AH$111),"")</f>
        <v>7.3603310669999997</v>
      </c>
      <c r="AI111">
        <f ca="1">IFERROR(IF(0=LEN(ReferenceData!$AI$111),"",ReferenceData!$AI$111),"")</f>
        <v>6.9868468689999998</v>
      </c>
      <c r="AJ111">
        <f ca="1">IFERROR(IF(0=LEN(ReferenceData!$AJ$111),"",ReferenceData!$AJ$111),"")</f>
        <v>7.6727818159999996</v>
      </c>
      <c r="AK111">
        <f ca="1">IFERROR(IF(0=LEN(ReferenceData!$AK$111),"",ReferenceData!$AK$111),"")</f>
        <v>12.26001364</v>
      </c>
      <c r="AL111">
        <f ca="1">IFERROR(IF(0=LEN(ReferenceData!$AL$111),"",ReferenceData!$AL$111),"")</f>
        <v>8.381721787</v>
      </c>
      <c r="AM111">
        <f ca="1">IFERROR(IF(0=LEN(ReferenceData!$AM$111),"",ReferenceData!$AM$111),"")</f>
        <v>5.9211314870000002</v>
      </c>
      <c r="AN111">
        <f ca="1">IFERROR(IF(0=LEN(ReferenceData!$AN$111),"",ReferenceData!$AN$111),"")</f>
        <v>12.04386839</v>
      </c>
      <c r="AO111">
        <f ca="1">IFERROR(IF(0=LEN(ReferenceData!$AO$111),"",ReferenceData!$AO$111),"")</f>
        <v>10.112521640000001</v>
      </c>
      <c r="AP111">
        <f ca="1">IFERROR(IF(0=LEN(ReferenceData!$AP$111),"",ReferenceData!$AP$111),"")</f>
        <v>6.5800681430000001</v>
      </c>
      <c r="AQ111">
        <f ca="1">IFERROR(IF(0=LEN(ReferenceData!$AQ$111),"",ReferenceData!$AQ$111),"")</f>
        <v>6.9322015449999999</v>
      </c>
      <c r="AR111">
        <f ca="1">IFERROR(IF(0=LEN(ReferenceData!$AR$111),"",ReferenceData!$AR$111),"")</f>
        <v>7.2341857340000004</v>
      </c>
      <c r="AS111">
        <f ca="1">IFERROR(IF(0=LEN(ReferenceData!$AS$111),"",ReferenceData!$AS$111),"")</f>
        <v>5.9038404580000003</v>
      </c>
    </row>
    <row r="112" spans="1:45" x14ac:dyDescent="0.25">
      <c r="A112" t="str">
        <f>IFERROR(IF(0=LEN(ReferenceData!$A$112),"",ReferenceData!$A$112),"")</f>
        <v xml:space="preserve">    Volvo</v>
      </c>
      <c r="B112" t="str">
        <f>IFERROR(IF(0=LEN(ReferenceData!$B$112),"",ReferenceData!$B$112),"")</f>
        <v>VOLVB SS Equity</v>
      </c>
      <c r="C112" t="str">
        <f>IFERROR(IF(0=LEN(ReferenceData!$C$112),"",ReferenceData!$C$112),"")</f>
        <v/>
      </c>
      <c r="D112" t="str">
        <f>IFERROR(IF(0=LEN(ReferenceData!$D$112),"",ReferenceData!$D$112),"")</f>
        <v/>
      </c>
      <c r="E112" t="str">
        <f>IFERROR(IF(0=LEN(ReferenceData!$E$112),"",ReferenceData!$E$112),"")</f>
        <v>Sum</v>
      </c>
      <c r="F112" t="str">
        <f ca="1">IFERROR(IF(0=LEN(ReferenceData!$F$112),"",ReferenceData!$F$112),"")</f>
        <v/>
      </c>
      <c r="G112" t="str">
        <f ca="1">IFERROR(IF(0=LEN(ReferenceData!$G$112),"",ReferenceData!$G$112),"")</f>
        <v/>
      </c>
      <c r="H112" t="str">
        <f ca="1">IFERROR(IF(0=LEN(ReferenceData!$H$112),"",ReferenceData!$H$112),"")</f>
        <v/>
      </c>
      <c r="I112" t="str">
        <f ca="1">IFERROR(IF(0=LEN(ReferenceData!$I$112),"",ReferenceData!$I$112),"")</f>
        <v/>
      </c>
      <c r="J112" t="str">
        <f ca="1">IFERROR(IF(0=LEN(ReferenceData!$J$112),"",ReferenceData!$J$112),"")</f>
        <v/>
      </c>
      <c r="K112" t="str">
        <f ca="1">IFERROR(IF(0=LEN(ReferenceData!$K$112),"",ReferenceData!$K$112),"")</f>
        <v/>
      </c>
      <c r="L112" t="str">
        <f ca="1">IFERROR(IF(0=LEN(ReferenceData!$L$112),"",ReferenceData!$L$112),"")</f>
        <v/>
      </c>
      <c r="M112" t="str">
        <f ca="1">IFERROR(IF(0=LEN(ReferenceData!$M$112),"",ReferenceData!$M$112),"")</f>
        <v/>
      </c>
      <c r="N112" t="str">
        <f ca="1">IFERROR(IF(0=LEN(ReferenceData!$N$112),"",ReferenceData!$N$112),"")</f>
        <v/>
      </c>
      <c r="O112" t="str">
        <f ca="1">IFERROR(IF(0=LEN(ReferenceData!$O$112),"",ReferenceData!$O$112),"")</f>
        <v/>
      </c>
      <c r="P112" t="str">
        <f ca="1">IFERROR(IF(0=LEN(ReferenceData!$P$112),"",ReferenceData!$P$112),"")</f>
        <v/>
      </c>
      <c r="Q112" t="str">
        <f ca="1">IFERROR(IF(0=LEN(ReferenceData!$Q$112),"",ReferenceData!$Q$112),"")</f>
        <v/>
      </c>
      <c r="R112" t="str">
        <f ca="1">IFERROR(IF(0=LEN(ReferenceData!$R$112),"",ReferenceData!$R$112),"")</f>
        <v/>
      </c>
      <c r="S112" t="str">
        <f ca="1">IFERROR(IF(0=LEN(ReferenceData!$S$112),"",ReferenceData!$S$112),"")</f>
        <v/>
      </c>
      <c r="T112" t="str">
        <f ca="1">IFERROR(IF(0=LEN(ReferenceData!$T$112),"",ReferenceData!$T$112),"")</f>
        <v/>
      </c>
      <c r="U112" t="str">
        <f ca="1">IFERROR(IF(0=LEN(ReferenceData!$U$112),"",ReferenceData!$U$112),"")</f>
        <v/>
      </c>
      <c r="V112" t="str">
        <f ca="1">IFERROR(IF(0=LEN(ReferenceData!$V$112),"",ReferenceData!$V$112),"")</f>
        <v/>
      </c>
      <c r="W112" t="str">
        <f ca="1">IFERROR(IF(0=LEN(ReferenceData!$W$112),"",ReferenceData!$W$112),"")</f>
        <v/>
      </c>
      <c r="X112" t="str">
        <f ca="1">IFERROR(IF(0=LEN(ReferenceData!$X$112),"",ReferenceData!$X$112),"")</f>
        <v/>
      </c>
      <c r="Y112" t="str">
        <f ca="1">IFERROR(IF(0=LEN(ReferenceData!$Y$112),"",ReferenceData!$Y$112),"")</f>
        <v/>
      </c>
      <c r="Z112" t="str">
        <f ca="1">IFERROR(IF(0=LEN(ReferenceData!$Z$112),"",ReferenceData!$Z$112),"")</f>
        <v/>
      </c>
      <c r="AA112" t="str">
        <f ca="1">IFERROR(IF(0=LEN(ReferenceData!$AA$112),"",ReferenceData!$AA$112),"")</f>
        <v/>
      </c>
      <c r="AB112" t="str">
        <f ca="1">IFERROR(IF(0=LEN(ReferenceData!$AB$112),"",ReferenceData!$AB$112),"")</f>
        <v/>
      </c>
      <c r="AC112" t="str">
        <f ca="1">IFERROR(IF(0=LEN(ReferenceData!$AC$112),"",ReferenceData!$AC$112),"")</f>
        <v/>
      </c>
      <c r="AD112" t="str">
        <f ca="1">IFERROR(IF(0=LEN(ReferenceData!$AD$112),"",ReferenceData!$AD$112),"")</f>
        <v/>
      </c>
      <c r="AE112" t="str">
        <f ca="1">IFERROR(IF(0=LEN(ReferenceData!$AE$112),"",ReferenceData!$AE$112),"")</f>
        <v/>
      </c>
      <c r="AF112" t="str">
        <f ca="1">IFERROR(IF(0=LEN(ReferenceData!$AF$112),"",ReferenceData!$AF$112),"")</f>
        <v/>
      </c>
      <c r="AG112" t="str">
        <f ca="1">IFERROR(IF(0=LEN(ReferenceData!$AG$112),"",ReferenceData!$AG$112),"")</f>
        <v/>
      </c>
      <c r="AH112" t="str">
        <f ca="1">IFERROR(IF(0=LEN(ReferenceData!$AH$112),"",ReferenceData!$AH$112),"")</f>
        <v/>
      </c>
      <c r="AI112" t="str">
        <f ca="1">IFERROR(IF(0=LEN(ReferenceData!$AI$112),"",ReferenceData!$AI$112),"")</f>
        <v/>
      </c>
      <c r="AJ112" t="str">
        <f ca="1">IFERROR(IF(0=LEN(ReferenceData!$AJ$112),"",ReferenceData!$AJ$112),"")</f>
        <v/>
      </c>
      <c r="AK112" t="str">
        <f ca="1">IFERROR(IF(0=LEN(ReferenceData!$AK$112),"",ReferenceData!$AK$112),"")</f>
        <v/>
      </c>
      <c r="AL112" t="str">
        <f ca="1">IFERROR(IF(0=LEN(ReferenceData!$AL$112),"",ReferenceData!$AL$112),"")</f>
        <v/>
      </c>
      <c r="AM112" t="str">
        <f ca="1">IFERROR(IF(0=LEN(ReferenceData!$AM$112),"",ReferenceData!$AM$112),"")</f>
        <v/>
      </c>
      <c r="AN112" t="str">
        <f ca="1">IFERROR(IF(0=LEN(ReferenceData!$AN$112),"",ReferenceData!$AN$112),"")</f>
        <v/>
      </c>
      <c r="AO112" t="str">
        <f ca="1">IFERROR(IF(0=LEN(ReferenceData!$AO$112),"",ReferenceData!$AO$112),"")</f>
        <v/>
      </c>
      <c r="AP112" t="str">
        <f ca="1">IFERROR(IF(0=LEN(ReferenceData!$AP$112),"",ReferenceData!$AP$112),"")</f>
        <v/>
      </c>
      <c r="AQ112" t="str">
        <f ca="1">IFERROR(IF(0=LEN(ReferenceData!$AQ$112),"",ReferenceData!$AQ$112),"")</f>
        <v/>
      </c>
      <c r="AR112" t="str">
        <f ca="1">IFERROR(IF(0=LEN(ReferenceData!$AR$112),"",ReferenceData!$AR$112),"")</f>
        <v/>
      </c>
      <c r="AS112" t="str">
        <f ca="1">IFERROR(IF(0=LEN(ReferenceData!$AS$112),"",ReferenceData!$AS$112),"")</f>
        <v/>
      </c>
    </row>
    <row r="113" spans="1:45" x14ac:dyDescent="0.25">
      <c r="A113" t="str">
        <f>IFERROR(IF(0=LEN(ReferenceData!$A$113),"",ReferenceData!$A$113),"")</f>
        <v xml:space="preserve">        Mack</v>
      </c>
      <c r="B113" t="str">
        <f>IFERROR(IF(0=LEN(ReferenceData!$B$113),"",ReferenceData!$B$113),"")</f>
        <v>VOLVB SS Equity</v>
      </c>
      <c r="C113" t="str">
        <f>IFERROR(IF(0=LEN(ReferenceData!$C$113),"",ReferenceData!$C$113),"")</f>
        <v/>
      </c>
      <c r="D113" t="str">
        <f>IFERROR(IF(0=LEN(ReferenceData!$D$113),"",ReferenceData!$D$113),"")</f>
        <v/>
      </c>
      <c r="E113" t="str">
        <f>IFERROR(IF(0=LEN(ReferenceData!$E$113),"",ReferenceData!$E$113),"")</f>
        <v>Expression</v>
      </c>
      <c r="F113" t="str">
        <f ca="1">IFERROR(IF(0=LEN(ReferenceData!$F$113),"",ReferenceData!$F$113),"")</f>
        <v/>
      </c>
      <c r="G113" t="str">
        <f ca="1">IFERROR(IF(0=LEN(ReferenceData!$G$113),"",ReferenceData!$G$113),"")</f>
        <v/>
      </c>
      <c r="H113" t="str">
        <f ca="1">IFERROR(IF(0=LEN(ReferenceData!$H$113),"",ReferenceData!$H$113),"")</f>
        <v/>
      </c>
      <c r="I113" t="str">
        <f ca="1">IFERROR(IF(0=LEN(ReferenceData!$I$113),"",ReferenceData!$I$113),"")</f>
        <v/>
      </c>
      <c r="J113" t="str">
        <f ca="1">IFERROR(IF(0=LEN(ReferenceData!$J$113),"",ReferenceData!$J$113),"")</f>
        <v/>
      </c>
      <c r="K113" t="str">
        <f ca="1">IFERROR(IF(0=LEN(ReferenceData!$K$113),"",ReferenceData!$K$113),"")</f>
        <v/>
      </c>
      <c r="L113" t="str">
        <f ca="1">IFERROR(IF(0=LEN(ReferenceData!$L$113),"",ReferenceData!$L$113),"")</f>
        <v/>
      </c>
      <c r="M113" t="str">
        <f ca="1">IFERROR(IF(0=LEN(ReferenceData!$M$113),"",ReferenceData!$M$113),"")</f>
        <v/>
      </c>
      <c r="N113" t="str">
        <f ca="1">IFERROR(IF(0=LEN(ReferenceData!$N$113),"",ReferenceData!$N$113),"")</f>
        <v/>
      </c>
      <c r="O113" t="str">
        <f ca="1">IFERROR(IF(0=LEN(ReferenceData!$O$113),"",ReferenceData!$O$113),"")</f>
        <v/>
      </c>
      <c r="P113" t="str">
        <f ca="1">IFERROR(IF(0=LEN(ReferenceData!$P$113),"",ReferenceData!$P$113),"")</f>
        <v/>
      </c>
      <c r="Q113" t="str">
        <f ca="1">IFERROR(IF(0=LEN(ReferenceData!$Q$113),"",ReferenceData!$Q$113),"")</f>
        <v/>
      </c>
      <c r="R113" t="str">
        <f ca="1">IFERROR(IF(0=LEN(ReferenceData!$R$113),"",ReferenceData!$R$113),"")</f>
        <v/>
      </c>
      <c r="S113" t="str">
        <f ca="1">IFERROR(IF(0=LEN(ReferenceData!$S$113),"",ReferenceData!$S$113),"")</f>
        <v/>
      </c>
      <c r="T113" t="str">
        <f ca="1">IFERROR(IF(0=LEN(ReferenceData!$T$113),"",ReferenceData!$T$113),"")</f>
        <v/>
      </c>
      <c r="U113" t="str">
        <f ca="1">IFERROR(IF(0=LEN(ReferenceData!$U$113),"",ReferenceData!$U$113),"")</f>
        <v/>
      </c>
      <c r="V113" t="str">
        <f ca="1">IFERROR(IF(0=LEN(ReferenceData!$V$113),"",ReferenceData!$V$113),"")</f>
        <v/>
      </c>
      <c r="W113" t="str">
        <f ca="1">IFERROR(IF(0=LEN(ReferenceData!$W$113),"",ReferenceData!$W$113),"")</f>
        <v/>
      </c>
      <c r="X113" t="str">
        <f ca="1">IFERROR(IF(0=LEN(ReferenceData!$X$113),"",ReferenceData!$X$113),"")</f>
        <v/>
      </c>
      <c r="Y113" t="str">
        <f ca="1">IFERROR(IF(0=LEN(ReferenceData!$Y$113),"",ReferenceData!$Y$113),"")</f>
        <v/>
      </c>
      <c r="Z113" t="str">
        <f ca="1">IFERROR(IF(0=LEN(ReferenceData!$Z$113),"",ReferenceData!$Z$113),"")</f>
        <v/>
      </c>
      <c r="AA113" t="str">
        <f ca="1">IFERROR(IF(0=LEN(ReferenceData!$AA$113),"",ReferenceData!$AA$113),"")</f>
        <v/>
      </c>
      <c r="AB113" t="str">
        <f ca="1">IFERROR(IF(0=LEN(ReferenceData!$AB$113),"",ReferenceData!$AB$113),"")</f>
        <v/>
      </c>
      <c r="AC113" t="str">
        <f ca="1">IFERROR(IF(0=LEN(ReferenceData!$AC$113),"",ReferenceData!$AC$113),"")</f>
        <v/>
      </c>
      <c r="AD113" t="str">
        <f ca="1">IFERROR(IF(0=LEN(ReferenceData!$AD$113),"",ReferenceData!$AD$113),"")</f>
        <v/>
      </c>
      <c r="AE113" t="str">
        <f ca="1">IFERROR(IF(0=LEN(ReferenceData!$AE$113),"",ReferenceData!$AE$113),"")</f>
        <v/>
      </c>
      <c r="AF113" t="str">
        <f ca="1">IFERROR(IF(0=LEN(ReferenceData!$AF$113),"",ReferenceData!$AF$113),"")</f>
        <v/>
      </c>
      <c r="AG113" t="str">
        <f ca="1">IFERROR(IF(0=LEN(ReferenceData!$AG$113),"",ReferenceData!$AG$113),"")</f>
        <v/>
      </c>
      <c r="AH113" t="str">
        <f ca="1">IFERROR(IF(0=LEN(ReferenceData!$AH$113),"",ReferenceData!$AH$113),"")</f>
        <v/>
      </c>
      <c r="AI113" t="str">
        <f ca="1">IFERROR(IF(0=LEN(ReferenceData!$AI$113),"",ReferenceData!$AI$113),"")</f>
        <v/>
      </c>
      <c r="AJ113" t="str">
        <f ca="1">IFERROR(IF(0=LEN(ReferenceData!$AJ$113),"",ReferenceData!$AJ$113),"")</f>
        <v/>
      </c>
      <c r="AK113" t="str">
        <f ca="1">IFERROR(IF(0=LEN(ReferenceData!$AK$113),"",ReferenceData!$AK$113),"")</f>
        <v/>
      </c>
      <c r="AL113" t="str">
        <f ca="1">IFERROR(IF(0=LEN(ReferenceData!$AL$113),"",ReferenceData!$AL$113),"")</f>
        <v/>
      </c>
      <c r="AM113" t="str">
        <f ca="1">IFERROR(IF(0=LEN(ReferenceData!$AM$113),"",ReferenceData!$AM$113),"")</f>
        <v/>
      </c>
      <c r="AN113" t="str">
        <f ca="1">IFERROR(IF(0=LEN(ReferenceData!$AN$113),"",ReferenceData!$AN$113),"")</f>
        <v/>
      </c>
      <c r="AO113" t="str">
        <f ca="1">IFERROR(IF(0=LEN(ReferenceData!$AO$113),"",ReferenceData!$AO$113),"")</f>
        <v/>
      </c>
      <c r="AP113" t="str">
        <f ca="1">IFERROR(IF(0=LEN(ReferenceData!$AP$113),"",ReferenceData!$AP$113),"")</f>
        <v/>
      </c>
      <c r="AQ113" t="str">
        <f ca="1">IFERROR(IF(0=LEN(ReferenceData!$AQ$113),"",ReferenceData!$AQ$113),"")</f>
        <v/>
      </c>
      <c r="AR113" t="str">
        <f ca="1">IFERROR(IF(0=LEN(ReferenceData!$AR$113),"",ReferenceData!$AR$113),"")</f>
        <v/>
      </c>
      <c r="AS113" t="str">
        <f ca="1">IFERROR(IF(0=LEN(ReferenceData!$AS$113),"",ReferenceData!$AS$113),"")</f>
        <v/>
      </c>
    </row>
    <row r="114" spans="1:45" x14ac:dyDescent="0.25">
      <c r="A114" t="str">
        <f>IFERROR(IF(0=LEN(ReferenceData!$A$114),"",ReferenceData!$A$114),"")</f>
        <v xml:space="preserve">        UD Truck</v>
      </c>
      <c r="B114" t="str">
        <f>IFERROR(IF(0=LEN(ReferenceData!$B$114),"",ReferenceData!$B$114),"")</f>
        <v>VOLVB SS Equity</v>
      </c>
      <c r="C114" t="str">
        <f>IFERROR(IF(0=LEN(ReferenceData!$C$114),"",ReferenceData!$C$114),"")</f>
        <v/>
      </c>
      <c r="D114" t="str">
        <f>IFERROR(IF(0=LEN(ReferenceData!$D$114),"",ReferenceData!$D$114),"")</f>
        <v/>
      </c>
      <c r="E114" t="str">
        <f>IFERROR(IF(0=LEN(ReferenceData!$E$114),"",ReferenceData!$E$114),"")</f>
        <v>Expression</v>
      </c>
      <c r="F114" t="str">
        <f ca="1">IFERROR(IF(0=LEN(ReferenceData!$F$114),"",ReferenceData!$F$114),"")</f>
        <v/>
      </c>
      <c r="G114" t="str">
        <f ca="1">IFERROR(IF(0=LEN(ReferenceData!$G$114),"",ReferenceData!$G$114),"")</f>
        <v/>
      </c>
      <c r="H114" t="str">
        <f ca="1">IFERROR(IF(0=LEN(ReferenceData!$H$114),"",ReferenceData!$H$114),"")</f>
        <v/>
      </c>
      <c r="I114" t="str">
        <f ca="1">IFERROR(IF(0=LEN(ReferenceData!$I$114),"",ReferenceData!$I$114),"")</f>
        <v/>
      </c>
      <c r="J114" t="str">
        <f ca="1">IFERROR(IF(0=LEN(ReferenceData!$J$114),"",ReferenceData!$J$114),"")</f>
        <v/>
      </c>
      <c r="K114" t="str">
        <f ca="1">IFERROR(IF(0=LEN(ReferenceData!$K$114),"",ReferenceData!$K$114),"")</f>
        <v/>
      </c>
      <c r="L114" t="str">
        <f ca="1">IFERROR(IF(0=LEN(ReferenceData!$L$114),"",ReferenceData!$L$114),"")</f>
        <v/>
      </c>
      <c r="M114" t="str">
        <f ca="1">IFERROR(IF(0=LEN(ReferenceData!$M$114),"",ReferenceData!$M$114),"")</f>
        <v/>
      </c>
      <c r="N114" t="str">
        <f ca="1">IFERROR(IF(0=LEN(ReferenceData!$N$114),"",ReferenceData!$N$114),"")</f>
        <v/>
      </c>
      <c r="O114" t="str">
        <f ca="1">IFERROR(IF(0=LEN(ReferenceData!$O$114),"",ReferenceData!$O$114),"")</f>
        <v/>
      </c>
      <c r="P114" t="str">
        <f ca="1">IFERROR(IF(0=LEN(ReferenceData!$P$114),"",ReferenceData!$P$114),"")</f>
        <v/>
      </c>
      <c r="Q114" t="str">
        <f ca="1">IFERROR(IF(0=LEN(ReferenceData!$Q$114),"",ReferenceData!$Q$114),"")</f>
        <v/>
      </c>
      <c r="R114" t="str">
        <f ca="1">IFERROR(IF(0=LEN(ReferenceData!$R$114),"",ReferenceData!$R$114),"")</f>
        <v/>
      </c>
      <c r="S114" t="str">
        <f ca="1">IFERROR(IF(0=LEN(ReferenceData!$S$114),"",ReferenceData!$S$114),"")</f>
        <v/>
      </c>
      <c r="T114" t="str">
        <f ca="1">IFERROR(IF(0=LEN(ReferenceData!$T$114),"",ReferenceData!$T$114),"")</f>
        <v/>
      </c>
      <c r="U114" t="str">
        <f ca="1">IFERROR(IF(0=LEN(ReferenceData!$U$114),"",ReferenceData!$U$114),"")</f>
        <v/>
      </c>
      <c r="V114" t="str">
        <f ca="1">IFERROR(IF(0=LEN(ReferenceData!$V$114),"",ReferenceData!$V$114),"")</f>
        <v/>
      </c>
      <c r="W114" t="str">
        <f ca="1">IFERROR(IF(0=LEN(ReferenceData!$W$114),"",ReferenceData!$W$114),"")</f>
        <v/>
      </c>
      <c r="X114" t="str">
        <f ca="1">IFERROR(IF(0=LEN(ReferenceData!$X$114),"",ReferenceData!$X$114),"")</f>
        <v/>
      </c>
      <c r="Y114" t="str">
        <f ca="1">IFERROR(IF(0=LEN(ReferenceData!$Y$114),"",ReferenceData!$Y$114),"")</f>
        <v/>
      </c>
      <c r="Z114" t="str">
        <f ca="1">IFERROR(IF(0=LEN(ReferenceData!$Z$114),"",ReferenceData!$Z$114),"")</f>
        <v/>
      </c>
      <c r="AA114" t="str">
        <f ca="1">IFERROR(IF(0=LEN(ReferenceData!$AA$114),"",ReferenceData!$AA$114),"")</f>
        <v/>
      </c>
      <c r="AB114" t="str">
        <f ca="1">IFERROR(IF(0=LEN(ReferenceData!$AB$114),"",ReferenceData!$AB$114),"")</f>
        <v/>
      </c>
      <c r="AC114" t="str">
        <f ca="1">IFERROR(IF(0=LEN(ReferenceData!$AC$114),"",ReferenceData!$AC$114),"")</f>
        <v/>
      </c>
      <c r="AD114" t="str">
        <f ca="1">IFERROR(IF(0=LEN(ReferenceData!$AD$114),"",ReferenceData!$AD$114),"")</f>
        <v/>
      </c>
      <c r="AE114" t="str">
        <f ca="1">IFERROR(IF(0=LEN(ReferenceData!$AE$114),"",ReferenceData!$AE$114),"")</f>
        <v/>
      </c>
      <c r="AF114" t="str">
        <f ca="1">IFERROR(IF(0=LEN(ReferenceData!$AF$114),"",ReferenceData!$AF$114),"")</f>
        <v/>
      </c>
      <c r="AG114" t="str">
        <f ca="1">IFERROR(IF(0=LEN(ReferenceData!$AG$114),"",ReferenceData!$AG$114),"")</f>
        <v/>
      </c>
      <c r="AH114" t="str">
        <f ca="1">IFERROR(IF(0=LEN(ReferenceData!$AH$114),"",ReferenceData!$AH$114),"")</f>
        <v/>
      </c>
      <c r="AI114" t="str">
        <f ca="1">IFERROR(IF(0=LEN(ReferenceData!$AI$114),"",ReferenceData!$AI$114),"")</f>
        <v/>
      </c>
      <c r="AJ114" t="str">
        <f ca="1">IFERROR(IF(0=LEN(ReferenceData!$AJ$114),"",ReferenceData!$AJ$114),"")</f>
        <v/>
      </c>
      <c r="AK114" t="str">
        <f ca="1">IFERROR(IF(0=LEN(ReferenceData!$AK$114),"",ReferenceData!$AK$114),"")</f>
        <v/>
      </c>
      <c r="AL114" t="str">
        <f ca="1">IFERROR(IF(0=LEN(ReferenceData!$AL$114),"",ReferenceData!$AL$114),"")</f>
        <v/>
      </c>
      <c r="AM114" t="str">
        <f ca="1">IFERROR(IF(0=LEN(ReferenceData!$AM$114),"",ReferenceData!$AM$114),"")</f>
        <v/>
      </c>
      <c r="AN114" t="str">
        <f ca="1">IFERROR(IF(0=LEN(ReferenceData!$AN$114),"",ReferenceData!$AN$114),"")</f>
        <v/>
      </c>
      <c r="AO114" t="str">
        <f ca="1">IFERROR(IF(0=LEN(ReferenceData!$AO$114),"",ReferenceData!$AO$114),"")</f>
        <v/>
      </c>
      <c r="AP114" t="str">
        <f ca="1">IFERROR(IF(0=LEN(ReferenceData!$AP$114),"",ReferenceData!$AP$114),"")</f>
        <v/>
      </c>
      <c r="AQ114" t="str">
        <f ca="1">IFERROR(IF(0=LEN(ReferenceData!$AQ$114),"",ReferenceData!$AQ$114),"")</f>
        <v/>
      </c>
      <c r="AR114" t="str">
        <f ca="1">IFERROR(IF(0=LEN(ReferenceData!$AR$114),"",ReferenceData!$AR$114),"")</f>
        <v/>
      </c>
      <c r="AS114" t="str">
        <f ca="1">IFERROR(IF(0=LEN(ReferenceData!$AS$114),"",ReferenceData!$AS$114),"")</f>
        <v/>
      </c>
    </row>
    <row r="115" spans="1:45" x14ac:dyDescent="0.25">
      <c r="A115" t="str">
        <f>IFERROR(IF(0=LEN(ReferenceData!$A$115),"",ReferenceData!$A$115),"")</f>
        <v xml:space="preserve">    General Motors</v>
      </c>
      <c r="B115" t="str">
        <f>IFERROR(IF(0=LEN(ReferenceData!$B$115),"",ReferenceData!$B$115),"")</f>
        <v>MTLQQ US Equity</v>
      </c>
      <c r="C115" t="str">
        <f>IFERROR(IF(0=LEN(ReferenceData!$C$115),"",ReferenceData!$C$115),"")</f>
        <v/>
      </c>
      <c r="D115" t="str">
        <f>IFERROR(IF(0=LEN(ReferenceData!$D$115),"",ReferenceData!$D$115),"")</f>
        <v/>
      </c>
      <c r="E115" t="str">
        <f>IFERROR(IF(0=LEN(ReferenceData!$E$115),"",ReferenceData!$E$115),"")</f>
        <v>Sum</v>
      </c>
      <c r="F115" t="str">
        <f ca="1">IFERROR(IF(0=LEN(ReferenceData!$F$115),"",ReferenceData!$F$115),"")</f>
        <v/>
      </c>
      <c r="G115" t="str">
        <f ca="1">IFERROR(IF(0=LEN(ReferenceData!$G$115),"",ReferenceData!$G$115),"")</f>
        <v/>
      </c>
      <c r="H115" t="str">
        <f ca="1">IFERROR(IF(0=LEN(ReferenceData!$H$115),"",ReferenceData!$H$115),"")</f>
        <v/>
      </c>
      <c r="I115" t="str">
        <f ca="1">IFERROR(IF(0=LEN(ReferenceData!$I$115),"",ReferenceData!$I$115),"")</f>
        <v/>
      </c>
      <c r="J115" t="str">
        <f ca="1">IFERROR(IF(0=LEN(ReferenceData!$J$115),"",ReferenceData!$J$115),"")</f>
        <v/>
      </c>
      <c r="K115" t="str">
        <f ca="1">IFERROR(IF(0=LEN(ReferenceData!$K$115),"",ReferenceData!$K$115),"")</f>
        <v/>
      </c>
      <c r="L115" t="str">
        <f ca="1">IFERROR(IF(0=LEN(ReferenceData!$L$115),"",ReferenceData!$L$115),"")</f>
        <v/>
      </c>
      <c r="M115" t="str">
        <f ca="1">IFERROR(IF(0=LEN(ReferenceData!$M$115),"",ReferenceData!$M$115),"")</f>
        <v/>
      </c>
      <c r="N115" t="str">
        <f ca="1">IFERROR(IF(0=LEN(ReferenceData!$N$115),"",ReferenceData!$N$115),"")</f>
        <v/>
      </c>
      <c r="O115" t="str">
        <f ca="1">IFERROR(IF(0=LEN(ReferenceData!$O$115),"",ReferenceData!$O$115),"")</f>
        <v/>
      </c>
      <c r="P115" t="str">
        <f ca="1">IFERROR(IF(0=LEN(ReferenceData!$P$115),"",ReferenceData!$P$115),"")</f>
        <v/>
      </c>
      <c r="Q115" t="str">
        <f ca="1">IFERROR(IF(0=LEN(ReferenceData!$Q$115),"",ReferenceData!$Q$115),"")</f>
        <v/>
      </c>
      <c r="R115" t="str">
        <f ca="1">IFERROR(IF(0=LEN(ReferenceData!$R$115),"",ReferenceData!$R$115),"")</f>
        <v/>
      </c>
      <c r="S115" t="str">
        <f ca="1">IFERROR(IF(0=LEN(ReferenceData!$S$115),"",ReferenceData!$S$115),"")</f>
        <v/>
      </c>
      <c r="T115" t="str">
        <f ca="1">IFERROR(IF(0=LEN(ReferenceData!$T$115),"",ReferenceData!$T$115),"")</f>
        <v/>
      </c>
      <c r="U115" t="str">
        <f ca="1">IFERROR(IF(0=LEN(ReferenceData!$U$115),"",ReferenceData!$U$115),"")</f>
        <v/>
      </c>
      <c r="V115" t="str">
        <f ca="1">IFERROR(IF(0=LEN(ReferenceData!$V$115),"",ReferenceData!$V$115),"")</f>
        <v/>
      </c>
      <c r="W115" t="str">
        <f ca="1">IFERROR(IF(0=LEN(ReferenceData!$W$115),"",ReferenceData!$W$115),"")</f>
        <v/>
      </c>
      <c r="X115" t="str">
        <f ca="1">IFERROR(IF(0=LEN(ReferenceData!$X$115),"",ReferenceData!$X$115),"")</f>
        <v/>
      </c>
      <c r="Y115" t="str">
        <f ca="1">IFERROR(IF(0=LEN(ReferenceData!$Y$115),"",ReferenceData!$Y$115),"")</f>
        <v/>
      </c>
      <c r="Z115" t="str">
        <f ca="1">IFERROR(IF(0=LEN(ReferenceData!$Z$115),"",ReferenceData!$Z$115),"")</f>
        <v/>
      </c>
      <c r="AA115" t="str">
        <f ca="1">IFERROR(IF(0=LEN(ReferenceData!$AA$115),"",ReferenceData!$AA$115),"")</f>
        <v/>
      </c>
      <c r="AB115" t="str">
        <f ca="1">IFERROR(IF(0=LEN(ReferenceData!$AB$115),"",ReferenceData!$AB$115),"")</f>
        <v/>
      </c>
      <c r="AC115" t="str">
        <f ca="1">IFERROR(IF(0=LEN(ReferenceData!$AC$115),"",ReferenceData!$AC$115),"")</f>
        <v/>
      </c>
      <c r="AD115" t="str">
        <f ca="1">IFERROR(IF(0=LEN(ReferenceData!$AD$115),"",ReferenceData!$AD$115),"")</f>
        <v/>
      </c>
      <c r="AE115" t="str">
        <f ca="1">IFERROR(IF(0=LEN(ReferenceData!$AE$115),"",ReferenceData!$AE$115),"")</f>
        <v/>
      </c>
      <c r="AF115" t="str">
        <f ca="1">IFERROR(IF(0=LEN(ReferenceData!$AF$115),"",ReferenceData!$AF$115),"")</f>
        <v/>
      </c>
      <c r="AG115" t="str">
        <f ca="1">IFERROR(IF(0=LEN(ReferenceData!$AG$115),"",ReferenceData!$AG$115),"")</f>
        <v/>
      </c>
      <c r="AH115" t="str">
        <f ca="1">IFERROR(IF(0=LEN(ReferenceData!$AH$115),"",ReferenceData!$AH$115),"")</f>
        <v/>
      </c>
      <c r="AI115" t="str">
        <f ca="1">IFERROR(IF(0=LEN(ReferenceData!$AI$115),"",ReferenceData!$AI$115),"")</f>
        <v/>
      </c>
      <c r="AJ115" t="str">
        <f ca="1">IFERROR(IF(0=LEN(ReferenceData!$AJ$115),"",ReferenceData!$AJ$115),"")</f>
        <v/>
      </c>
      <c r="AK115" t="str">
        <f ca="1">IFERROR(IF(0=LEN(ReferenceData!$AK$115),"",ReferenceData!$AK$115),"")</f>
        <v/>
      </c>
      <c r="AL115" t="str">
        <f ca="1">IFERROR(IF(0=LEN(ReferenceData!$AL$115),"",ReferenceData!$AL$115),"")</f>
        <v/>
      </c>
      <c r="AM115" t="str">
        <f ca="1">IFERROR(IF(0=LEN(ReferenceData!$AM$115),"",ReferenceData!$AM$115),"")</f>
        <v/>
      </c>
      <c r="AN115" t="str">
        <f ca="1">IFERROR(IF(0=LEN(ReferenceData!$AN$115),"",ReferenceData!$AN$115),"")</f>
        <v/>
      </c>
      <c r="AO115" t="str">
        <f ca="1">IFERROR(IF(0=LEN(ReferenceData!$AO$115),"",ReferenceData!$AO$115),"")</f>
        <v/>
      </c>
      <c r="AP115" t="str">
        <f ca="1">IFERROR(IF(0=LEN(ReferenceData!$AP$115),"",ReferenceData!$AP$115),"")</f>
        <v/>
      </c>
      <c r="AQ115" t="str">
        <f ca="1">IFERROR(IF(0=LEN(ReferenceData!$AQ$115),"",ReferenceData!$AQ$115),"")</f>
        <v/>
      </c>
      <c r="AR115" t="str">
        <f ca="1">IFERROR(IF(0=LEN(ReferenceData!$AR$115),"",ReferenceData!$AR$115),"")</f>
        <v/>
      </c>
      <c r="AS115" t="str">
        <f ca="1">IFERROR(IF(0=LEN(ReferenceData!$AS$115),"",ReferenceData!$AS$115),"")</f>
        <v/>
      </c>
    </row>
    <row r="116" spans="1:45" x14ac:dyDescent="0.25">
      <c r="A116" t="str">
        <f>IFERROR(IF(0=LEN(ReferenceData!$A$116),"",ReferenceData!$A$116),"")</f>
        <v xml:space="preserve">        GMC</v>
      </c>
      <c r="B116" t="str">
        <f>IFERROR(IF(0=LEN(ReferenceData!$B$116),"",ReferenceData!$B$116),"")</f>
        <v>MTLQQ US Equity</v>
      </c>
      <c r="C116" t="str">
        <f>IFERROR(IF(0=LEN(ReferenceData!$C$116),"",ReferenceData!$C$116),"")</f>
        <v/>
      </c>
      <c r="D116" t="str">
        <f>IFERROR(IF(0=LEN(ReferenceData!$D$116),"",ReferenceData!$D$116),"")</f>
        <v/>
      </c>
      <c r="E116" t="str">
        <f>IFERROR(IF(0=LEN(ReferenceData!$E$116),"",ReferenceData!$E$116),"")</f>
        <v>Expression</v>
      </c>
      <c r="F116" t="str">
        <f ca="1">IFERROR(IF(0=LEN(ReferenceData!$F$116),"",ReferenceData!$F$116),"")</f>
        <v/>
      </c>
      <c r="G116" t="str">
        <f ca="1">IFERROR(IF(0=LEN(ReferenceData!$G$116),"",ReferenceData!$G$116),"")</f>
        <v/>
      </c>
      <c r="H116" t="str">
        <f ca="1">IFERROR(IF(0=LEN(ReferenceData!$H$116),"",ReferenceData!$H$116),"")</f>
        <v/>
      </c>
      <c r="I116" t="str">
        <f ca="1">IFERROR(IF(0=LEN(ReferenceData!$I$116),"",ReferenceData!$I$116),"")</f>
        <v/>
      </c>
      <c r="J116" t="str">
        <f ca="1">IFERROR(IF(0=LEN(ReferenceData!$J$116),"",ReferenceData!$J$116),"")</f>
        <v/>
      </c>
      <c r="K116" t="str">
        <f ca="1">IFERROR(IF(0=LEN(ReferenceData!$K$116),"",ReferenceData!$K$116),"")</f>
        <v/>
      </c>
      <c r="L116" t="str">
        <f ca="1">IFERROR(IF(0=LEN(ReferenceData!$L$116),"",ReferenceData!$L$116),"")</f>
        <v/>
      </c>
      <c r="M116" t="str">
        <f ca="1">IFERROR(IF(0=LEN(ReferenceData!$M$116),"",ReferenceData!$M$116),"")</f>
        <v/>
      </c>
      <c r="N116" t="str">
        <f ca="1">IFERROR(IF(0=LEN(ReferenceData!$N$116),"",ReferenceData!$N$116),"")</f>
        <v/>
      </c>
      <c r="O116" t="str">
        <f ca="1">IFERROR(IF(0=LEN(ReferenceData!$O$116),"",ReferenceData!$O$116),"")</f>
        <v/>
      </c>
      <c r="P116" t="str">
        <f ca="1">IFERROR(IF(0=LEN(ReferenceData!$P$116),"",ReferenceData!$P$116),"")</f>
        <v/>
      </c>
      <c r="Q116" t="str">
        <f ca="1">IFERROR(IF(0=LEN(ReferenceData!$Q$116),"",ReferenceData!$Q$116),"")</f>
        <v/>
      </c>
      <c r="R116" t="str">
        <f ca="1">IFERROR(IF(0=LEN(ReferenceData!$R$116),"",ReferenceData!$R$116),"")</f>
        <v/>
      </c>
      <c r="S116" t="str">
        <f ca="1">IFERROR(IF(0=LEN(ReferenceData!$S$116),"",ReferenceData!$S$116),"")</f>
        <v/>
      </c>
      <c r="T116" t="str">
        <f ca="1">IFERROR(IF(0=LEN(ReferenceData!$T$116),"",ReferenceData!$T$116),"")</f>
        <v/>
      </c>
      <c r="U116" t="str">
        <f ca="1">IFERROR(IF(0=LEN(ReferenceData!$U$116),"",ReferenceData!$U$116),"")</f>
        <v/>
      </c>
      <c r="V116" t="str">
        <f ca="1">IFERROR(IF(0=LEN(ReferenceData!$V$116),"",ReferenceData!$V$116),"")</f>
        <v/>
      </c>
      <c r="W116" t="str">
        <f ca="1">IFERROR(IF(0=LEN(ReferenceData!$W$116),"",ReferenceData!$W$116),"")</f>
        <v/>
      </c>
      <c r="X116" t="str">
        <f ca="1">IFERROR(IF(0=LEN(ReferenceData!$X$116),"",ReferenceData!$X$116),"")</f>
        <v/>
      </c>
      <c r="Y116" t="str">
        <f ca="1">IFERROR(IF(0=LEN(ReferenceData!$Y$116),"",ReferenceData!$Y$116),"")</f>
        <v/>
      </c>
      <c r="Z116" t="str">
        <f ca="1">IFERROR(IF(0=LEN(ReferenceData!$Z$116),"",ReferenceData!$Z$116),"")</f>
        <v/>
      </c>
      <c r="AA116" t="str">
        <f ca="1">IFERROR(IF(0=LEN(ReferenceData!$AA$116),"",ReferenceData!$AA$116),"")</f>
        <v/>
      </c>
      <c r="AB116" t="str">
        <f ca="1">IFERROR(IF(0=LEN(ReferenceData!$AB$116),"",ReferenceData!$AB$116),"")</f>
        <v/>
      </c>
      <c r="AC116" t="str">
        <f ca="1">IFERROR(IF(0=LEN(ReferenceData!$AC$116),"",ReferenceData!$AC$116),"")</f>
        <v/>
      </c>
      <c r="AD116" t="str">
        <f ca="1">IFERROR(IF(0=LEN(ReferenceData!$AD$116),"",ReferenceData!$AD$116),"")</f>
        <v/>
      </c>
      <c r="AE116" t="str">
        <f ca="1">IFERROR(IF(0=LEN(ReferenceData!$AE$116),"",ReferenceData!$AE$116),"")</f>
        <v/>
      </c>
      <c r="AF116" t="str">
        <f ca="1">IFERROR(IF(0=LEN(ReferenceData!$AF$116),"",ReferenceData!$AF$116),"")</f>
        <v/>
      </c>
      <c r="AG116" t="str">
        <f ca="1">IFERROR(IF(0=LEN(ReferenceData!$AG$116),"",ReferenceData!$AG$116),"")</f>
        <v/>
      </c>
      <c r="AH116" t="str">
        <f ca="1">IFERROR(IF(0=LEN(ReferenceData!$AH$116),"",ReferenceData!$AH$116),"")</f>
        <v/>
      </c>
      <c r="AI116" t="str">
        <f ca="1">IFERROR(IF(0=LEN(ReferenceData!$AI$116),"",ReferenceData!$AI$116),"")</f>
        <v/>
      </c>
      <c r="AJ116" t="str">
        <f ca="1">IFERROR(IF(0=LEN(ReferenceData!$AJ$116),"",ReferenceData!$AJ$116),"")</f>
        <v/>
      </c>
      <c r="AK116" t="str">
        <f ca="1">IFERROR(IF(0=LEN(ReferenceData!$AK$116),"",ReferenceData!$AK$116),"")</f>
        <v/>
      </c>
      <c r="AL116" t="str">
        <f ca="1">IFERROR(IF(0=LEN(ReferenceData!$AL$116),"",ReferenceData!$AL$116),"")</f>
        <v/>
      </c>
      <c r="AM116" t="str">
        <f ca="1">IFERROR(IF(0=LEN(ReferenceData!$AM$116),"",ReferenceData!$AM$116),"")</f>
        <v/>
      </c>
      <c r="AN116" t="str">
        <f ca="1">IFERROR(IF(0=LEN(ReferenceData!$AN$116),"",ReferenceData!$AN$116),"")</f>
        <v/>
      </c>
      <c r="AO116" t="str">
        <f ca="1">IFERROR(IF(0=LEN(ReferenceData!$AO$116),"",ReferenceData!$AO$116),"")</f>
        <v/>
      </c>
      <c r="AP116" t="str">
        <f ca="1">IFERROR(IF(0=LEN(ReferenceData!$AP$116),"",ReferenceData!$AP$116),"")</f>
        <v/>
      </c>
      <c r="AQ116" t="str">
        <f ca="1">IFERROR(IF(0=LEN(ReferenceData!$AQ$116),"",ReferenceData!$AQ$116),"")</f>
        <v/>
      </c>
      <c r="AR116" t="str">
        <f ca="1">IFERROR(IF(0=LEN(ReferenceData!$AR$116),"",ReferenceData!$AR$116),"")</f>
        <v/>
      </c>
      <c r="AS116" t="str">
        <f ca="1">IFERROR(IF(0=LEN(ReferenceData!$AS$116),"",ReferenceData!$AS$116),"")</f>
        <v/>
      </c>
    </row>
    <row r="117" spans="1:45" x14ac:dyDescent="0.25">
      <c r="A117" t="str">
        <f>IFERROR(IF(0=LEN(ReferenceData!$A$117),"",ReferenceData!$A$117),"")</f>
        <v xml:space="preserve">        Chevrolet</v>
      </c>
      <c r="B117" t="str">
        <f>IFERROR(IF(0=LEN(ReferenceData!$B$117),"",ReferenceData!$B$117),"")</f>
        <v>MTLQQ US Equity</v>
      </c>
      <c r="C117" t="str">
        <f>IFERROR(IF(0=LEN(ReferenceData!$C$117),"",ReferenceData!$C$117),"")</f>
        <v/>
      </c>
      <c r="D117" t="str">
        <f>IFERROR(IF(0=LEN(ReferenceData!$D$117),"",ReferenceData!$D$117),"")</f>
        <v/>
      </c>
      <c r="E117" t="str">
        <f>IFERROR(IF(0=LEN(ReferenceData!$E$117),"",ReferenceData!$E$117),"")</f>
        <v>Expression</v>
      </c>
      <c r="F117" t="str">
        <f ca="1">IFERROR(IF(0=LEN(ReferenceData!$F$117),"",ReferenceData!$F$117),"")</f>
        <v/>
      </c>
      <c r="G117" t="str">
        <f ca="1">IFERROR(IF(0=LEN(ReferenceData!$G$117),"",ReferenceData!$G$117),"")</f>
        <v/>
      </c>
      <c r="H117" t="str">
        <f ca="1">IFERROR(IF(0=LEN(ReferenceData!$H$117),"",ReferenceData!$H$117),"")</f>
        <v/>
      </c>
      <c r="I117" t="str">
        <f ca="1">IFERROR(IF(0=LEN(ReferenceData!$I$117),"",ReferenceData!$I$117),"")</f>
        <v/>
      </c>
      <c r="J117" t="str">
        <f ca="1">IFERROR(IF(0=LEN(ReferenceData!$J$117),"",ReferenceData!$J$117),"")</f>
        <v/>
      </c>
      <c r="K117" t="str">
        <f ca="1">IFERROR(IF(0=LEN(ReferenceData!$K$117),"",ReferenceData!$K$117),"")</f>
        <v/>
      </c>
      <c r="L117" t="str">
        <f ca="1">IFERROR(IF(0=LEN(ReferenceData!$L$117),"",ReferenceData!$L$117),"")</f>
        <v/>
      </c>
      <c r="M117" t="str">
        <f ca="1">IFERROR(IF(0=LEN(ReferenceData!$M$117),"",ReferenceData!$M$117),"")</f>
        <v/>
      </c>
      <c r="N117" t="str">
        <f ca="1">IFERROR(IF(0=LEN(ReferenceData!$N$117),"",ReferenceData!$N$117),"")</f>
        <v/>
      </c>
      <c r="O117" t="str">
        <f ca="1">IFERROR(IF(0=LEN(ReferenceData!$O$117),"",ReferenceData!$O$117),"")</f>
        <v/>
      </c>
      <c r="P117" t="str">
        <f ca="1">IFERROR(IF(0=LEN(ReferenceData!$P$117),"",ReferenceData!$P$117),"")</f>
        <v/>
      </c>
      <c r="Q117" t="str">
        <f ca="1">IFERROR(IF(0=LEN(ReferenceData!$Q$117),"",ReferenceData!$Q$117),"")</f>
        <v/>
      </c>
      <c r="R117" t="str">
        <f ca="1">IFERROR(IF(0=LEN(ReferenceData!$R$117),"",ReferenceData!$R$117),"")</f>
        <v/>
      </c>
      <c r="S117" t="str">
        <f ca="1">IFERROR(IF(0=LEN(ReferenceData!$S$117),"",ReferenceData!$S$117),"")</f>
        <v/>
      </c>
      <c r="T117" t="str">
        <f ca="1">IFERROR(IF(0=LEN(ReferenceData!$T$117),"",ReferenceData!$T$117),"")</f>
        <v/>
      </c>
      <c r="U117" t="str">
        <f ca="1">IFERROR(IF(0=LEN(ReferenceData!$U$117),"",ReferenceData!$U$117),"")</f>
        <v/>
      </c>
      <c r="V117" t="str">
        <f ca="1">IFERROR(IF(0=LEN(ReferenceData!$V$117),"",ReferenceData!$V$117),"")</f>
        <v/>
      </c>
      <c r="W117" t="str">
        <f ca="1">IFERROR(IF(0=LEN(ReferenceData!$W$117),"",ReferenceData!$W$117),"")</f>
        <v/>
      </c>
      <c r="X117" t="str">
        <f ca="1">IFERROR(IF(0=LEN(ReferenceData!$X$117),"",ReferenceData!$X$117),"")</f>
        <v/>
      </c>
      <c r="Y117" t="str">
        <f ca="1">IFERROR(IF(0=LEN(ReferenceData!$Y$117),"",ReferenceData!$Y$117),"")</f>
        <v/>
      </c>
      <c r="Z117" t="str">
        <f ca="1">IFERROR(IF(0=LEN(ReferenceData!$Z$117),"",ReferenceData!$Z$117),"")</f>
        <v/>
      </c>
      <c r="AA117" t="str">
        <f ca="1">IFERROR(IF(0=LEN(ReferenceData!$AA$117),"",ReferenceData!$AA$117),"")</f>
        <v/>
      </c>
      <c r="AB117" t="str">
        <f ca="1">IFERROR(IF(0=LEN(ReferenceData!$AB$117),"",ReferenceData!$AB$117),"")</f>
        <v/>
      </c>
      <c r="AC117" t="str">
        <f ca="1">IFERROR(IF(0=LEN(ReferenceData!$AC$117),"",ReferenceData!$AC$117),"")</f>
        <v/>
      </c>
      <c r="AD117" t="str">
        <f ca="1">IFERROR(IF(0=LEN(ReferenceData!$AD$117),"",ReferenceData!$AD$117),"")</f>
        <v/>
      </c>
      <c r="AE117" t="str">
        <f ca="1">IFERROR(IF(0=LEN(ReferenceData!$AE$117),"",ReferenceData!$AE$117),"")</f>
        <v/>
      </c>
      <c r="AF117" t="str">
        <f ca="1">IFERROR(IF(0=LEN(ReferenceData!$AF$117),"",ReferenceData!$AF$117),"")</f>
        <v/>
      </c>
      <c r="AG117" t="str">
        <f ca="1">IFERROR(IF(0=LEN(ReferenceData!$AG$117),"",ReferenceData!$AG$117),"")</f>
        <v/>
      </c>
      <c r="AH117" t="str">
        <f ca="1">IFERROR(IF(0=LEN(ReferenceData!$AH$117),"",ReferenceData!$AH$117),"")</f>
        <v/>
      </c>
      <c r="AI117" t="str">
        <f ca="1">IFERROR(IF(0=LEN(ReferenceData!$AI$117),"",ReferenceData!$AI$117),"")</f>
        <v/>
      </c>
      <c r="AJ117" t="str">
        <f ca="1">IFERROR(IF(0=LEN(ReferenceData!$AJ$117),"",ReferenceData!$AJ$117),"")</f>
        <v/>
      </c>
      <c r="AK117" t="str">
        <f ca="1">IFERROR(IF(0=LEN(ReferenceData!$AK$117),"",ReferenceData!$AK$117),"")</f>
        <v/>
      </c>
      <c r="AL117" t="str">
        <f ca="1">IFERROR(IF(0=LEN(ReferenceData!$AL$117),"",ReferenceData!$AL$117),"")</f>
        <v/>
      </c>
      <c r="AM117" t="str">
        <f ca="1">IFERROR(IF(0=LEN(ReferenceData!$AM$117),"",ReferenceData!$AM$117),"")</f>
        <v/>
      </c>
      <c r="AN117" t="str">
        <f ca="1">IFERROR(IF(0=LEN(ReferenceData!$AN$117),"",ReferenceData!$AN$117),"")</f>
        <v/>
      </c>
      <c r="AO117" t="str">
        <f ca="1">IFERROR(IF(0=LEN(ReferenceData!$AO$117),"",ReferenceData!$AO$117),"")</f>
        <v/>
      </c>
      <c r="AP117" t="str">
        <f ca="1">IFERROR(IF(0=LEN(ReferenceData!$AP$117),"",ReferenceData!$AP$117),"")</f>
        <v/>
      </c>
      <c r="AQ117" t="str">
        <f ca="1">IFERROR(IF(0=LEN(ReferenceData!$AQ$117),"",ReferenceData!$AQ$117),"")</f>
        <v/>
      </c>
      <c r="AR117" t="str">
        <f ca="1">IFERROR(IF(0=LEN(ReferenceData!$AR$117),"",ReferenceData!$AR$117),"")</f>
        <v/>
      </c>
      <c r="AS117" t="str">
        <f ca="1">IFERROR(IF(0=LEN(ReferenceData!$AS$117),"",ReferenceData!$AS$117),"")</f>
        <v/>
      </c>
    </row>
    <row r="118" spans="1:45" x14ac:dyDescent="0.25">
      <c r="A118" t="str">
        <f>IFERROR(IF(0=LEN(ReferenceData!$A$118),"",ReferenceData!$A$118),"")</f>
        <v xml:space="preserve">    Isuzu</v>
      </c>
      <c r="B118" t="str">
        <f>IFERROR(IF(0=LEN(ReferenceData!$B$118),"",ReferenceData!$B$118),"")</f>
        <v>7202 JP Equity</v>
      </c>
      <c r="C118" t="str">
        <f>IFERROR(IF(0=LEN(ReferenceData!$C$118),"",ReferenceData!$C$118),"")</f>
        <v/>
      </c>
      <c r="D118" t="str">
        <f>IFERROR(IF(0=LEN(ReferenceData!$D$118),"",ReferenceData!$D$118),"")</f>
        <v/>
      </c>
      <c r="E118" t="str">
        <f>IFERROR(IF(0=LEN(ReferenceData!$E$118),"",ReferenceData!$E$118),"")</f>
        <v>Expression</v>
      </c>
      <c r="F118">
        <f ca="1">IFERROR(IF(0=LEN(ReferenceData!$F$118),"",ReferenceData!$F$118),"")</f>
        <v>0.54110499300000003</v>
      </c>
      <c r="G118">
        <f ca="1">IFERROR(IF(0=LEN(ReferenceData!$G$118),"",ReferenceData!$G$118),"")</f>
        <v>0.39175257699999999</v>
      </c>
      <c r="H118">
        <f ca="1">IFERROR(IF(0=LEN(ReferenceData!$H$118),"",ReferenceData!$H$118),"")</f>
        <v>0.200770961</v>
      </c>
      <c r="I118">
        <f ca="1">IFERROR(IF(0=LEN(ReferenceData!$I$118),"",ReferenceData!$I$118),"")</f>
        <v>4.0359196999999999E-2</v>
      </c>
      <c r="J118">
        <f ca="1">IFERROR(IF(0=LEN(ReferenceData!$J$118),"",ReferenceData!$J$118),"")</f>
        <v>0</v>
      </c>
      <c r="K118">
        <f ca="1">IFERROR(IF(0=LEN(ReferenceData!$K$118),"",ReferenceData!$K$118),"")</f>
        <v>0</v>
      </c>
      <c r="L118">
        <f ca="1">IFERROR(IF(0=LEN(ReferenceData!$L$118),"",ReferenceData!$L$118),"")</f>
        <v>0</v>
      </c>
      <c r="M118">
        <f ca="1">IFERROR(IF(0=LEN(ReferenceData!$M$118),"",ReferenceData!$M$118),"")</f>
        <v>0</v>
      </c>
      <c r="N118">
        <f ca="1">IFERROR(IF(0=LEN(ReferenceData!$N$118),"",ReferenceData!$N$118),"")</f>
        <v>0</v>
      </c>
      <c r="O118">
        <f ca="1">IFERROR(IF(0=LEN(ReferenceData!$O$118),"",ReferenceData!$O$118),"")</f>
        <v>0</v>
      </c>
      <c r="P118">
        <f ca="1">IFERROR(IF(0=LEN(ReferenceData!$P$118),"",ReferenceData!$P$118),"")</f>
        <v>0</v>
      </c>
      <c r="Q118">
        <f ca="1">IFERROR(IF(0=LEN(ReferenceData!$Q$118),"",ReferenceData!$Q$118),"")</f>
        <v>0</v>
      </c>
      <c r="R118">
        <f ca="1">IFERROR(IF(0=LEN(ReferenceData!$R$118),"",ReferenceData!$R$118),"")</f>
        <v>0</v>
      </c>
      <c r="S118">
        <f ca="1">IFERROR(IF(0=LEN(ReferenceData!$S$118),"",ReferenceData!$S$118),"")</f>
        <v>0</v>
      </c>
      <c r="T118">
        <f ca="1">IFERROR(IF(0=LEN(ReferenceData!$T$118),"",ReferenceData!$T$118),"")</f>
        <v>0</v>
      </c>
      <c r="U118">
        <f ca="1">IFERROR(IF(0=LEN(ReferenceData!$U$118),"",ReferenceData!$U$118),"")</f>
        <v>0</v>
      </c>
      <c r="V118">
        <f ca="1">IFERROR(IF(0=LEN(ReferenceData!$V$118),"",ReferenceData!$V$118),"")</f>
        <v>0</v>
      </c>
      <c r="W118">
        <f ca="1">IFERROR(IF(0=LEN(ReferenceData!$W$118),"",ReferenceData!$W$118),"")</f>
        <v>0</v>
      </c>
      <c r="X118">
        <f ca="1">IFERROR(IF(0=LEN(ReferenceData!$X$118),"",ReferenceData!$X$118),"")</f>
        <v>0</v>
      </c>
      <c r="Y118">
        <f ca="1">IFERROR(IF(0=LEN(ReferenceData!$Y$118),"",ReferenceData!$Y$118),"")</f>
        <v>0</v>
      </c>
      <c r="Z118">
        <f ca="1">IFERROR(IF(0=LEN(ReferenceData!$Z$118),"",ReferenceData!$Z$118),"")</f>
        <v>0</v>
      </c>
      <c r="AA118">
        <f ca="1">IFERROR(IF(0=LEN(ReferenceData!$AA$118),"",ReferenceData!$AA$118),"")</f>
        <v>0</v>
      </c>
      <c r="AB118" t="str">
        <f ca="1">IFERROR(IF(0=LEN(ReferenceData!$AB$118),"",ReferenceData!$AB$118),"")</f>
        <v/>
      </c>
      <c r="AC118" t="str">
        <f ca="1">IFERROR(IF(0=LEN(ReferenceData!$AC$118),"",ReferenceData!$AC$118),"")</f>
        <v/>
      </c>
      <c r="AD118" t="str">
        <f ca="1">IFERROR(IF(0=LEN(ReferenceData!$AD$118),"",ReferenceData!$AD$118),"")</f>
        <v/>
      </c>
      <c r="AE118" t="str">
        <f ca="1">IFERROR(IF(0=LEN(ReferenceData!$AE$118),"",ReferenceData!$AE$118),"")</f>
        <v/>
      </c>
      <c r="AF118" t="str">
        <f ca="1">IFERROR(IF(0=LEN(ReferenceData!$AF$118),"",ReferenceData!$AF$118),"")</f>
        <v/>
      </c>
      <c r="AG118" t="str">
        <f ca="1">IFERROR(IF(0=LEN(ReferenceData!$AG$118),"",ReferenceData!$AG$118),"")</f>
        <v/>
      </c>
      <c r="AH118" t="str">
        <f ca="1">IFERROR(IF(0=LEN(ReferenceData!$AH$118),"",ReferenceData!$AH$118),"")</f>
        <v/>
      </c>
      <c r="AI118" t="str">
        <f ca="1">IFERROR(IF(0=LEN(ReferenceData!$AI$118),"",ReferenceData!$AI$118),"")</f>
        <v/>
      </c>
      <c r="AJ118" t="str">
        <f ca="1">IFERROR(IF(0=LEN(ReferenceData!$AJ$118),"",ReferenceData!$AJ$118),"")</f>
        <v/>
      </c>
      <c r="AK118" t="str">
        <f ca="1">IFERROR(IF(0=LEN(ReferenceData!$AK$118),"",ReferenceData!$AK$118),"")</f>
        <v/>
      </c>
      <c r="AL118" t="str">
        <f ca="1">IFERROR(IF(0=LEN(ReferenceData!$AL$118),"",ReferenceData!$AL$118),"")</f>
        <v/>
      </c>
      <c r="AM118" t="str">
        <f ca="1">IFERROR(IF(0=LEN(ReferenceData!$AM$118),"",ReferenceData!$AM$118),"")</f>
        <v/>
      </c>
      <c r="AN118" t="str">
        <f ca="1">IFERROR(IF(0=LEN(ReferenceData!$AN$118),"",ReferenceData!$AN$118),"")</f>
        <v/>
      </c>
      <c r="AO118" t="str">
        <f ca="1">IFERROR(IF(0=LEN(ReferenceData!$AO$118),"",ReferenceData!$AO$118),"")</f>
        <v/>
      </c>
      <c r="AP118" t="str">
        <f ca="1">IFERROR(IF(0=LEN(ReferenceData!$AP$118),"",ReferenceData!$AP$118),"")</f>
        <v/>
      </c>
      <c r="AQ118" t="str">
        <f ca="1">IFERROR(IF(0=LEN(ReferenceData!$AQ$118),"",ReferenceData!$AQ$118),"")</f>
        <v/>
      </c>
      <c r="AR118" t="str">
        <f ca="1">IFERROR(IF(0=LEN(ReferenceData!$AR$118),"",ReferenceData!$AR$118),"")</f>
        <v/>
      </c>
      <c r="AS118" t="str">
        <f ca="1">IFERROR(IF(0=LEN(ReferenceData!$AS$118),"",ReferenceData!$AS$118),"")</f>
        <v/>
      </c>
    </row>
    <row r="119" spans="1:45" x14ac:dyDescent="0.25">
      <c r="A119" t="str">
        <f>IFERROR(IF(0=LEN(ReferenceData!$A$119),"",ReferenceData!$A$119),"")</f>
        <v xml:space="preserve">    Other</v>
      </c>
      <c r="B119" t="str">
        <f>IFERROR(IF(0=LEN(ReferenceData!$B$119),"",ReferenceData!$B$119),"")</f>
        <v/>
      </c>
      <c r="C119" t="str">
        <f>IFERROR(IF(0=LEN(ReferenceData!$C$119),"",ReferenceData!$C$119),"")</f>
        <v/>
      </c>
      <c r="D119" t="str">
        <f>IFERROR(IF(0=LEN(ReferenceData!$D$119),"",ReferenceData!$D$119),"")</f>
        <v/>
      </c>
      <c r="E119" t="str">
        <f>IFERROR(IF(0=LEN(ReferenceData!$E$119),"",ReferenceData!$E$119),"")</f>
        <v>Expression</v>
      </c>
      <c r="F119">
        <f ca="1">IFERROR(IF(0=LEN(ReferenceData!$F$119),"",ReferenceData!$F$119),"")</f>
        <v>0</v>
      </c>
      <c r="G119">
        <f ca="1">IFERROR(IF(0=LEN(ReferenceData!$G$119),"",ReferenceData!$G$119),"")</f>
        <v>0</v>
      </c>
      <c r="H119">
        <f ca="1">IFERROR(IF(0=LEN(ReferenceData!$H$119),"",ReferenceData!$H$119),"")</f>
        <v>0</v>
      </c>
      <c r="I119">
        <f ca="1">IFERROR(IF(0=LEN(ReferenceData!$I$119),"",ReferenceData!$I$119),"")</f>
        <v>0</v>
      </c>
      <c r="J119">
        <f ca="1">IFERROR(IF(0=LEN(ReferenceData!$J$119),"",ReferenceData!$J$119),"")</f>
        <v>0</v>
      </c>
      <c r="K119">
        <f ca="1">IFERROR(IF(0=LEN(ReferenceData!$K$119),"",ReferenceData!$K$119),"")</f>
        <v>0</v>
      </c>
      <c r="L119">
        <f ca="1">IFERROR(IF(0=LEN(ReferenceData!$L$119),"",ReferenceData!$L$119),"")</f>
        <v>0</v>
      </c>
      <c r="M119">
        <f ca="1">IFERROR(IF(0=LEN(ReferenceData!$M$119),"",ReferenceData!$M$119),"")</f>
        <v>0</v>
      </c>
      <c r="N119">
        <f ca="1">IFERROR(IF(0=LEN(ReferenceData!$N$119),"",ReferenceData!$N$119),"")</f>
        <v>0</v>
      </c>
      <c r="O119">
        <f ca="1">IFERROR(IF(0=LEN(ReferenceData!$O$119),"",ReferenceData!$O$119),"")</f>
        <v>0</v>
      </c>
      <c r="P119">
        <f ca="1">IFERROR(IF(0=LEN(ReferenceData!$P$119),"",ReferenceData!$P$119),"")</f>
        <v>0</v>
      </c>
      <c r="Q119">
        <f ca="1">IFERROR(IF(0=LEN(ReferenceData!$Q$119),"",ReferenceData!$Q$119),"")</f>
        <v>0</v>
      </c>
      <c r="R119">
        <f ca="1">IFERROR(IF(0=LEN(ReferenceData!$R$119),"",ReferenceData!$R$119),"")</f>
        <v>0</v>
      </c>
      <c r="S119">
        <f ca="1">IFERROR(IF(0=LEN(ReferenceData!$S$119),"",ReferenceData!$S$119),"")</f>
        <v>0</v>
      </c>
      <c r="T119">
        <f ca="1">IFERROR(IF(0=LEN(ReferenceData!$T$119),"",ReferenceData!$T$119),"")</f>
        <v>0</v>
      </c>
      <c r="U119">
        <f ca="1">IFERROR(IF(0=LEN(ReferenceData!$U$119),"",ReferenceData!$U$119),"")</f>
        <v>0</v>
      </c>
      <c r="V119">
        <f ca="1">IFERROR(IF(0=LEN(ReferenceData!$V$119),"",ReferenceData!$V$119),"")</f>
        <v>0</v>
      </c>
      <c r="W119">
        <f ca="1">IFERROR(IF(0=LEN(ReferenceData!$W$119),"",ReferenceData!$W$119),"")</f>
        <v>0</v>
      </c>
      <c r="X119">
        <f ca="1">IFERROR(IF(0=LEN(ReferenceData!$X$119),"",ReferenceData!$X$119),"")</f>
        <v>0</v>
      </c>
      <c r="Y119">
        <f ca="1">IFERROR(IF(0=LEN(ReferenceData!$Y$119),"",ReferenceData!$Y$119),"")</f>
        <v>0</v>
      </c>
      <c r="Z119">
        <f ca="1">IFERROR(IF(0=LEN(ReferenceData!$Z$119),"",ReferenceData!$Z$119),"")</f>
        <v>0</v>
      </c>
      <c r="AA119">
        <f ca="1">IFERROR(IF(0=LEN(ReferenceData!$AA$119),"",ReferenceData!$AA$119),"")</f>
        <v>0</v>
      </c>
      <c r="AB119">
        <f ca="1">IFERROR(IF(0=LEN(ReferenceData!$AB$119),"",ReferenceData!$AB$119),"")</f>
        <v>0</v>
      </c>
      <c r="AC119">
        <f ca="1">IFERROR(IF(0=LEN(ReferenceData!$AC$119),"",ReferenceData!$AC$119),"")</f>
        <v>0</v>
      </c>
      <c r="AD119">
        <f ca="1">IFERROR(IF(0=LEN(ReferenceData!$AD$119),"",ReferenceData!$AD$119),"")</f>
        <v>0</v>
      </c>
      <c r="AE119">
        <f ca="1">IFERROR(IF(0=LEN(ReferenceData!$AE$119),"",ReferenceData!$AE$119),"")</f>
        <v>0</v>
      </c>
      <c r="AF119">
        <f ca="1">IFERROR(IF(0=LEN(ReferenceData!$AF$119),"",ReferenceData!$AF$119),"")</f>
        <v>0</v>
      </c>
      <c r="AG119">
        <f ca="1">IFERROR(IF(0=LEN(ReferenceData!$AG$119),"",ReferenceData!$AG$119),"")</f>
        <v>0</v>
      </c>
      <c r="AH119">
        <f ca="1">IFERROR(IF(0=LEN(ReferenceData!$AH$119),"",ReferenceData!$AH$119),"")</f>
        <v>0</v>
      </c>
      <c r="AI119">
        <f ca="1">IFERROR(IF(0=LEN(ReferenceData!$AI$119),"",ReferenceData!$AI$119),"")</f>
        <v>0</v>
      </c>
      <c r="AJ119">
        <f ca="1">IFERROR(IF(0=LEN(ReferenceData!$AJ$119),"",ReferenceData!$AJ$119),"")</f>
        <v>0</v>
      </c>
      <c r="AK119">
        <f ca="1">IFERROR(IF(0=LEN(ReferenceData!$AK$119),"",ReferenceData!$AK$119),"")</f>
        <v>0</v>
      </c>
      <c r="AL119">
        <f ca="1">IFERROR(IF(0=LEN(ReferenceData!$AL$119),"",ReferenceData!$AL$119),"")</f>
        <v>0</v>
      </c>
      <c r="AM119">
        <f ca="1">IFERROR(IF(0=LEN(ReferenceData!$AM$119),"",ReferenceData!$AM$119),"")</f>
        <v>0</v>
      </c>
      <c r="AN119">
        <f ca="1">IFERROR(IF(0=LEN(ReferenceData!$AN$119),"",ReferenceData!$AN$119),"")</f>
        <v>0</v>
      </c>
      <c r="AO119">
        <f ca="1">IFERROR(IF(0=LEN(ReferenceData!$AO$119),"",ReferenceData!$AO$119),"")</f>
        <v>0</v>
      </c>
      <c r="AP119">
        <f ca="1">IFERROR(IF(0=LEN(ReferenceData!$AP$119),"",ReferenceData!$AP$119),"")</f>
        <v>0</v>
      </c>
      <c r="AQ119">
        <f ca="1">IFERROR(IF(0=LEN(ReferenceData!$AQ$119),"",ReferenceData!$AQ$119),"")</f>
        <v>0</v>
      </c>
      <c r="AR119">
        <f ca="1">IFERROR(IF(0=LEN(ReferenceData!$AR$119),"",ReferenceData!$AR$119),"")</f>
        <v>0</v>
      </c>
      <c r="AS119">
        <f ca="1">IFERROR(IF(0=LEN(ReferenceData!$AS$119),"",ReferenceData!$AS$119),"")</f>
        <v>0</v>
      </c>
    </row>
    <row r="120" spans="1:45" x14ac:dyDescent="0.25">
      <c r="A120" t="str">
        <f>IFERROR(IF(0=LEN(ReferenceData!$A$120),"",ReferenceData!$A$120),"")</f>
        <v>Canada (Class 6-7)</v>
      </c>
      <c r="B120" t="str">
        <f>IFERROR(IF(0=LEN(ReferenceData!$B$120),"",ReferenceData!$B$120),"")</f>
        <v>TRCKCA6S Index</v>
      </c>
      <c r="C120" t="str">
        <f>IFERROR(IF(0=LEN(ReferenceData!$C$120),"",ReferenceData!$C$120),"")</f>
        <v/>
      </c>
      <c r="D120" t="str">
        <f>IFERROR(IF(0=LEN(ReferenceData!$D$120),"",ReferenceData!$D$120),"")</f>
        <v/>
      </c>
      <c r="E120" t="str">
        <f>IFERROR(IF(0=LEN(ReferenceData!$E$120),"",ReferenceData!$E$120),"")</f>
        <v>Sum</v>
      </c>
      <c r="F120">
        <f ca="1">IFERROR(IF(0=LEN(ReferenceData!$F$120),"",ReferenceData!$F$120),"")</f>
        <v>99.999999997999993</v>
      </c>
      <c r="G120">
        <f ca="1">IFERROR(IF(0=LEN(ReferenceData!$G$120),"",ReferenceData!$G$120),"")</f>
        <v>99.999999992000014</v>
      </c>
      <c r="H120">
        <f ca="1">IFERROR(IF(0=LEN(ReferenceData!$H$120),"",ReferenceData!$H$120),"")</f>
        <v>99.999999998999982</v>
      </c>
      <c r="I120">
        <f ca="1">IFERROR(IF(0=LEN(ReferenceData!$I$120),"",ReferenceData!$I$120),"")</f>
        <v>99.99999999500001</v>
      </c>
      <c r="J120">
        <f ca="1">IFERROR(IF(0=LEN(ReferenceData!$J$120),"",ReferenceData!$J$120),"")</f>
        <v>100.000000005</v>
      </c>
      <c r="K120">
        <f ca="1">IFERROR(IF(0=LEN(ReferenceData!$K$120),"",ReferenceData!$K$120),"")</f>
        <v>100.00000000599999</v>
      </c>
      <c r="L120">
        <f ca="1">IFERROR(IF(0=LEN(ReferenceData!$L$120),"",ReferenceData!$L$120),"")</f>
        <v>100.000000001</v>
      </c>
      <c r="M120">
        <f ca="1">IFERROR(IF(0=LEN(ReferenceData!$M$120),"",ReferenceData!$M$120),"")</f>
        <v>99.999999998999996</v>
      </c>
      <c r="N120">
        <f ca="1">IFERROR(IF(0=LEN(ReferenceData!$N$120),"",ReferenceData!$N$120),"")</f>
        <v>99.999999997999993</v>
      </c>
      <c r="O120">
        <f ca="1">IFERROR(IF(0=LEN(ReferenceData!$O$120),"",ReferenceData!$O$120),"")</f>
        <v>100.000000001</v>
      </c>
      <c r="P120">
        <f ca="1">IFERROR(IF(0=LEN(ReferenceData!$P$120),"",ReferenceData!$P$120),"")</f>
        <v>99.999999998000007</v>
      </c>
      <c r="Q120">
        <f ca="1">IFERROR(IF(0=LEN(ReferenceData!$Q$120),"",ReferenceData!$Q$120),"")</f>
        <v>100.00000000099999</v>
      </c>
      <c r="R120">
        <f ca="1">IFERROR(IF(0=LEN(ReferenceData!$R$120),"",ReferenceData!$R$120),"")</f>
        <v>99.999999992999989</v>
      </c>
      <c r="S120">
        <f ca="1">IFERROR(IF(0=LEN(ReferenceData!$S$120),"",ReferenceData!$S$120),"")</f>
        <v>99.999999994000007</v>
      </c>
      <c r="T120">
        <f ca="1">IFERROR(IF(0=LEN(ReferenceData!$T$120),"",ReferenceData!$T$120),"")</f>
        <v>99.999999996999989</v>
      </c>
      <c r="U120">
        <f ca="1">IFERROR(IF(0=LEN(ReferenceData!$U$120),"",ReferenceData!$U$120),"")</f>
        <v>100</v>
      </c>
      <c r="V120">
        <f ca="1">IFERROR(IF(0=LEN(ReferenceData!$V$120),"",ReferenceData!$V$120),"")</f>
        <v>100.000000005</v>
      </c>
      <c r="W120">
        <f ca="1">IFERROR(IF(0=LEN(ReferenceData!$W$120),"",ReferenceData!$W$120),"")</f>
        <v>99.999999993999992</v>
      </c>
      <c r="X120">
        <f ca="1">IFERROR(IF(0=LEN(ReferenceData!$X$120),"",ReferenceData!$X$120),"")</f>
        <v>100</v>
      </c>
      <c r="Y120">
        <f ca="1">IFERROR(IF(0=LEN(ReferenceData!$Y$120),"",ReferenceData!$Y$120),"")</f>
        <v>99.999999994000007</v>
      </c>
      <c r="Z120">
        <f ca="1">IFERROR(IF(0=LEN(ReferenceData!$Z$120),"",ReferenceData!$Z$120),"")</f>
        <v>100.00000000200001</v>
      </c>
      <c r="AA120">
        <f ca="1">IFERROR(IF(0=LEN(ReferenceData!$AA$120),"",ReferenceData!$AA$120),"")</f>
        <v>99.999999994000007</v>
      </c>
      <c r="AB120">
        <f ca="1">IFERROR(IF(0=LEN(ReferenceData!$AB$120),"",ReferenceData!$AB$120),"")</f>
        <v>100</v>
      </c>
      <c r="AC120">
        <f ca="1">IFERROR(IF(0=LEN(ReferenceData!$AC$120),"",ReferenceData!$AC$120),"")</f>
        <v>99.999999998000007</v>
      </c>
      <c r="AD120">
        <f ca="1">IFERROR(IF(0=LEN(ReferenceData!$AD$120),"",ReferenceData!$AD$120),"")</f>
        <v>99.999999993000003</v>
      </c>
      <c r="AE120">
        <f ca="1">IFERROR(IF(0=LEN(ReferenceData!$AE$120),"",ReferenceData!$AE$120),"")</f>
        <v>100.000000007</v>
      </c>
      <c r="AF120">
        <f ca="1">IFERROR(IF(0=LEN(ReferenceData!$AF$120),"",ReferenceData!$AF$120),"")</f>
        <v>99.999999992999989</v>
      </c>
      <c r="AG120">
        <f ca="1">IFERROR(IF(0=LEN(ReferenceData!$AG$120),"",ReferenceData!$AG$120),"")</f>
        <v>99.999999994000007</v>
      </c>
      <c r="AH120">
        <f ca="1">IFERROR(IF(0=LEN(ReferenceData!$AH$120),"",ReferenceData!$AH$120),"")</f>
        <v>100.000000011</v>
      </c>
      <c r="AI120">
        <f ca="1">IFERROR(IF(0=LEN(ReferenceData!$AI$120),"",ReferenceData!$AI$120),"")</f>
        <v>99.999999992999989</v>
      </c>
      <c r="AJ120">
        <f ca="1">IFERROR(IF(0=LEN(ReferenceData!$AJ$120),"",ReferenceData!$AJ$120),"")</f>
        <v>100.00000000700001</v>
      </c>
      <c r="AK120">
        <f ca="1">IFERROR(IF(0=LEN(ReferenceData!$AK$120),"",ReferenceData!$AK$120),"")</f>
        <v>99.999999997000003</v>
      </c>
      <c r="AL120">
        <f ca="1">IFERROR(IF(0=LEN(ReferenceData!$AL$120),"",ReferenceData!$AL$120),"")</f>
        <v>100</v>
      </c>
      <c r="AM120">
        <f ca="1">IFERROR(IF(0=LEN(ReferenceData!$AM$120),"",ReferenceData!$AM$120),"")</f>
        <v>100.00000000399999</v>
      </c>
      <c r="AN120">
        <f ca="1">IFERROR(IF(0=LEN(ReferenceData!$AN$120),"",ReferenceData!$AN$120),"")</f>
        <v>100</v>
      </c>
      <c r="AO120">
        <f ca="1">IFERROR(IF(0=LEN(ReferenceData!$AO$120),"",ReferenceData!$AO$120),"")</f>
        <v>100.00000000499999</v>
      </c>
      <c r="AP120">
        <f ca="1">IFERROR(IF(0=LEN(ReferenceData!$AP$120),"",ReferenceData!$AP$120),"")</f>
        <v>99.999999999000011</v>
      </c>
      <c r="AQ120">
        <f ca="1">IFERROR(IF(0=LEN(ReferenceData!$AQ$120),"",ReferenceData!$AQ$120),"")</f>
        <v>99.999999993999992</v>
      </c>
      <c r="AR120">
        <f ca="1">IFERROR(IF(0=LEN(ReferenceData!$AR$120),"",ReferenceData!$AR$120),"")</f>
        <v>99.999999999000011</v>
      </c>
      <c r="AS120">
        <f ca="1">IFERROR(IF(0=LEN(ReferenceData!$AS$120),"",ReferenceData!$AS$120),"")</f>
        <v>100.00000000999999</v>
      </c>
    </row>
    <row r="121" spans="1:45" x14ac:dyDescent="0.25">
      <c r="A121" t="str">
        <f>IFERROR(IF(0=LEN(ReferenceData!$A$121),"",ReferenceData!$A$121),"")</f>
        <v xml:space="preserve">    Navistar</v>
      </c>
      <c r="B121" t="str">
        <f>IFERROR(IF(0=LEN(ReferenceData!$B$121),"",ReferenceData!$B$121),"")</f>
        <v>NAV US Equity</v>
      </c>
      <c r="C121" t="str">
        <f>IFERROR(IF(0=LEN(ReferenceData!$C$121),"",ReferenceData!$C$121),"")</f>
        <v/>
      </c>
      <c r="D121" t="str">
        <f>IFERROR(IF(0=LEN(ReferenceData!$D$121),"",ReferenceData!$D$121),"")</f>
        <v/>
      </c>
      <c r="E121" t="str">
        <f>IFERROR(IF(0=LEN(ReferenceData!$E$121),"",ReferenceData!$E$121),"")</f>
        <v>Sum</v>
      </c>
      <c r="F121">
        <f ca="1">IFERROR(IF(0=LEN(ReferenceData!$F$121),"",ReferenceData!$F$121),"")</f>
        <v>51.672240799999997</v>
      </c>
      <c r="G121">
        <f ca="1">IFERROR(IF(0=LEN(ReferenceData!$G$121),"",ReferenceData!$G$121),"")</f>
        <v>55.289672539999998</v>
      </c>
      <c r="H121">
        <f ca="1">IFERROR(IF(0=LEN(ReferenceData!$H$121),"",ReferenceData!$H$121),"")</f>
        <v>36.410256410000002</v>
      </c>
      <c r="I121">
        <f ca="1">IFERROR(IF(0=LEN(ReferenceData!$I$121),"",ReferenceData!$I$121),"")</f>
        <v>30.815109339999999</v>
      </c>
      <c r="J121">
        <f ca="1">IFERROR(IF(0=LEN(ReferenceData!$J$121),"",ReferenceData!$J$121),"")</f>
        <v>27.13004484</v>
      </c>
      <c r="K121">
        <f ca="1">IFERROR(IF(0=LEN(ReferenceData!$K$121),"",ReferenceData!$K$121),"")</f>
        <v>28.59813084</v>
      </c>
      <c r="L121">
        <f ca="1">IFERROR(IF(0=LEN(ReferenceData!$L$121),"",ReferenceData!$L$121),"")</f>
        <v>24.956369980000002</v>
      </c>
      <c r="M121">
        <f ca="1">IFERROR(IF(0=LEN(ReferenceData!$M$121),"",ReferenceData!$M$121),"")</f>
        <v>40.08528785</v>
      </c>
      <c r="N121">
        <f ca="1">IFERROR(IF(0=LEN(ReferenceData!$N$121),"",ReferenceData!$N$121),"")</f>
        <v>35.940803379999998</v>
      </c>
      <c r="O121">
        <f ca="1">IFERROR(IF(0=LEN(ReferenceData!$O$121),"",ReferenceData!$O$121),"")</f>
        <v>24.213836480000001</v>
      </c>
      <c r="P121">
        <f ca="1">IFERROR(IF(0=LEN(ReferenceData!$P$121),"",ReferenceData!$P$121),"")</f>
        <v>31.833910029999998</v>
      </c>
      <c r="Q121">
        <f ca="1">IFERROR(IF(0=LEN(ReferenceData!$Q$121),"",ReferenceData!$Q$121),"")</f>
        <v>24.371859300000001</v>
      </c>
      <c r="R121">
        <f ca="1">IFERROR(IF(0=LEN(ReferenceData!$R$121),"",ReferenceData!$R$121),"")</f>
        <v>46.456692910000001</v>
      </c>
      <c r="S121">
        <f ca="1">IFERROR(IF(0=LEN(ReferenceData!$S$121),"",ReferenceData!$S$121),"")</f>
        <v>65.468549420000002</v>
      </c>
      <c r="T121">
        <f ca="1">IFERROR(IF(0=LEN(ReferenceData!$T$121),"",ReferenceData!$T$121),"")</f>
        <v>51.960784310000001</v>
      </c>
      <c r="U121">
        <f ca="1">IFERROR(IF(0=LEN(ReferenceData!$U$121),"",ReferenceData!$U$121),"")</f>
        <v>38.929440390000003</v>
      </c>
      <c r="V121">
        <f ca="1">IFERROR(IF(0=LEN(ReferenceData!$V$121),"",ReferenceData!$V$121),"")</f>
        <v>34.33179724</v>
      </c>
      <c r="W121">
        <f ca="1">IFERROR(IF(0=LEN(ReferenceData!$W$121),"",ReferenceData!$W$121),"")</f>
        <v>25.78475336</v>
      </c>
      <c r="X121">
        <f ca="1">IFERROR(IF(0=LEN(ReferenceData!$X$121),"",ReferenceData!$X$121),"")</f>
        <v>41.666666669999998</v>
      </c>
      <c r="Y121">
        <f ca="1">IFERROR(IF(0=LEN(ReferenceData!$Y$121),"",ReferenceData!$Y$121),"")</f>
        <v>38.356164380000003</v>
      </c>
      <c r="Z121">
        <f ca="1">IFERROR(IF(0=LEN(ReferenceData!$Z$121),"",ReferenceData!$Z$121),"")</f>
        <v>34.575569360000003</v>
      </c>
      <c r="AA121">
        <f ca="1">IFERROR(IF(0=LEN(ReferenceData!$AA$121),"",ReferenceData!$AA$121),"")</f>
        <v>27.47875354</v>
      </c>
      <c r="AB121">
        <f ca="1">IFERROR(IF(0=LEN(ReferenceData!$AB$121),"",ReferenceData!$AB$121),"")</f>
        <v>20.466321239999999</v>
      </c>
      <c r="AC121">
        <f ca="1">IFERROR(IF(0=LEN(ReferenceData!$AC$121),"",ReferenceData!$AC$121),"")</f>
        <v>13.89830508</v>
      </c>
      <c r="AD121">
        <f ca="1">IFERROR(IF(0=LEN(ReferenceData!$AD$121),"",ReferenceData!$AD$121),"")</f>
        <v>42.016806719999998</v>
      </c>
      <c r="AE121">
        <f ca="1">IFERROR(IF(0=LEN(ReferenceData!$AE$121),"",ReferenceData!$AE$121),"")</f>
        <v>74.30754537</v>
      </c>
      <c r="AF121">
        <f ca="1">IFERROR(IF(0=LEN(ReferenceData!$AF$121),"",ReferenceData!$AF$121),"")</f>
        <v>36.407766989999999</v>
      </c>
      <c r="AG121">
        <f ca="1">IFERROR(IF(0=LEN(ReferenceData!$AG$121),"",ReferenceData!$AG$121),"")</f>
        <v>45.208333330000002</v>
      </c>
      <c r="AH121">
        <f ca="1">IFERROR(IF(0=LEN(ReferenceData!$AH$121),"",ReferenceData!$AH$121),"")</f>
        <v>45.996275609999998</v>
      </c>
      <c r="AI121">
        <f ca="1">IFERROR(IF(0=LEN(ReferenceData!$AI$121),"",ReferenceData!$AI$121),"")</f>
        <v>28.54812398</v>
      </c>
      <c r="AJ121">
        <f ca="1">IFERROR(IF(0=LEN(ReferenceData!$AJ$121),"",ReferenceData!$AJ$121),"")</f>
        <v>39.61538462</v>
      </c>
      <c r="AK121">
        <f ca="1">IFERROR(IF(0=LEN(ReferenceData!$AK$121),"",ReferenceData!$AK$121),"")</f>
        <v>36.18538324</v>
      </c>
      <c r="AL121">
        <f ca="1">IFERROR(IF(0=LEN(ReferenceData!$AL$121),"",ReferenceData!$AL$121),"")</f>
        <v>21.6796875</v>
      </c>
      <c r="AM121">
        <f ca="1">IFERROR(IF(0=LEN(ReferenceData!$AM$121),"",ReferenceData!$AM$121),"")</f>
        <v>35.510204080000001</v>
      </c>
      <c r="AN121">
        <f ca="1">IFERROR(IF(0=LEN(ReferenceData!$AN$121),"",ReferenceData!$AN$121),"")</f>
        <v>25.968109340000002</v>
      </c>
      <c r="AO121">
        <f ca="1">IFERROR(IF(0=LEN(ReferenceData!$AO$121),"",ReferenceData!$AO$121),"")</f>
        <v>19.504643959999999</v>
      </c>
      <c r="AP121">
        <f ca="1">IFERROR(IF(0=LEN(ReferenceData!$AP$121),"",ReferenceData!$AP$121),"")</f>
        <v>45.889101340000003</v>
      </c>
      <c r="AQ121">
        <f ca="1">IFERROR(IF(0=LEN(ReferenceData!$AQ$121),"",ReferenceData!$AQ$121),"")</f>
        <v>72.636262509999995</v>
      </c>
      <c r="AR121">
        <f ca="1">IFERROR(IF(0=LEN(ReferenceData!$AR$121),"",ReferenceData!$AR$121),"")</f>
        <v>31.443298970000001</v>
      </c>
      <c r="AS121">
        <f ca="1">IFERROR(IF(0=LEN(ReferenceData!$AS$121),"",ReferenceData!$AS$121),"")</f>
        <v>36.781609199999998</v>
      </c>
    </row>
    <row r="122" spans="1:45" x14ac:dyDescent="0.25">
      <c r="A122" t="str">
        <f>IFERROR(IF(0=LEN(ReferenceData!$A$122),"",ReferenceData!$A$122),"")</f>
        <v xml:space="preserve">        International</v>
      </c>
      <c r="B122" t="str">
        <f>IFERROR(IF(0=LEN(ReferenceData!$B$122),"",ReferenceData!$B$122),"")</f>
        <v>NAV US Equity</v>
      </c>
      <c r="C122" t="str">
        <f>IFERROR(IF(0=LEN(ReferenceData!$C$122),"",ReferenceData!$C$122),"")</f>
        <v/>
      </c>
      <c r="D122" t="str">
        <f>IFERROR(IF(0=LEN(ReferenceData!$D$122),"",ReferenceData!$D$122),"")</f>
        <v/>
      </c>
      <c r="E122" t="str">
        <f>IFERROR(IF(0=LEN(ReferenceData!$E$122),"",ReferenceData!$E$122),"")</f>
        <v>Expression</v>
      </c>
      <c r="F122">
        <f ca="1">IFERROR(IF(0=LEN(ReferenceData!$F$122),"",ReferenceData!$F$122),"")</f>
        <v>51.672240799999997</v>
      </c>
      <c r="G122">
        <f ca="1">IFERROR(IF(0=LEN(ReferenceData!$G$122),"",ReferenceData!$G$122),"")</f>
        <v>55.289672539999998</v>
      </c>
      <c r="H122">
        <f ca="1">IFERROR(IF(0=LEN(ReferenceData!$H$122),"",ReferenceData!$H$122),"")</f>
        <v>36.410256410000002</v>
      </c>
      <c r="I122">
        <f ca="1">IFERROR(IF(0=LEN(ReferenceData!$I$122),"",ReferenceData!$I$122),"")</f>
        <v>30.815109339999999</v>
      </c>
      <c r="J122">
        <f ca="1">IFERROR(IF(0=LEN(ReferenceData!$J$122),"",ReferenceData!$J$122),"")</f>
        <v>27.13004484</v>
      </c>
      <c r="K122">
        <f ca="1">IFERROR(IF(0=LEN(ReferenceData!$K$122),"",ReferenceData!$K$122),"")</f>
        <v>28.59813084</v>
      </c>
      <c r="L122">
        <f ca="1">IFERROR(IF(0=LEN(ReferenceData!$L$122),"",ReferenceData!$L$122),"")</f>
        <v>24.956369980000002</v>
      </c>
      <c r="M122">
        <f ca="1">IFERROR(IF(0=LEN(ReferenceData!$M$122),"",ReferenceData!$M$122),"")</f>
        <v>40.08528785</v>
      </c>
      <c r="N122">
        <f ca="1">IFERROR(IF(0=LEN(ReferenceData!$N$122),"",ReferenceData!$N$122),"")</f>
        <v>35.940803379999998</v>
      </c>
      <c r="O122">
        <f ca="1">IFERROR(IF(0=LEN(ReferenceData!$O$122),"",ReferenceData!$O$122),"")</f>
        <v>24.213836480000001</v>
      </c>
      <c r="P122">
        <f ca="1">IFERROR(IF(0=LEN(ReferenceData!$P$122),"",ReferenceData!$P$122),"")</f>
        <v>31.833910029999998</v>
      </c>
      <c r="Q122">
        <f ca="1">IFERROR(IF(0=LEN(ReferenceData!$Q$122),"",ReferenceData!$Q$122),"")</f>
        <v>24.371859300000001</v>
      </c>
      <c r="R122">
        <f ca="1">IFERROR(IF(0=LEN(ReferenceData!$R$122),"",ReferenceData!$R$122),"")</f>
        <v>46.456692910000001</v>
      </c>
      <c r="S122">
        <f ca="1">IFERROR(IF(0=LEN(ReferenceData!$S$122),"",ReferenceData!$S$122),"")</f>
        <v>65.468549420000002</v>
      </c>
      <c r="T122">
        <f ca="1">IFERROR(IF(0=LEN(ReferenceData!$T$122),"",ReferenceData!$T$122),"")</f>
        <v>51.960784310000001</v>
      </c>
      <c r="U122">
        <f ca="1">IFERROR(IF(0=LEN(ReferenceData!$U$122),"",ReferenceData!$U$122),"")</f>
        <v>38.929440390000003</v>
      </c>
      <c r="V122">
        <f ca="1">IFERROR(IF(0=LEN(ReferenceData!$V$122),"",ReferenceData!$V$122),"")</f>
        <v>34.33179724</v>
      </c>
      <c r="W122">
        <f ca="1">IFERROR(IF(0=LEN(ReferenceData!$W$122),"",ReferenceData!$W$122),"")</f>
        <v>25.78475336</v>
      </c>
      <c r="X122">
        <f ca="1">IFERROR(IF(0=LEN(ReferenceData!$X$122),"",ReferenceData!$X$122),"")</f>
        <v>41.666666669999998</v>
      </c>
      <c r="Y122">
        <f ca="1">IFERROR(IF(0=LEN(ReferenceData!$Y$122),"",ReferenceData!$Y$122),"")</f>
        <v>38.356164380000003</v>
      </c>
      <c r="Z122">
        <f ca="1">IFERROR(IF(0=LEN(ReferenceData!$Z$122),"",ReferenceData!$Z$122),"")</f>
        <v>34.575569360000003</v>
      </c>
      <c r="AA122">
        <f ca="1">IFERROR(IF(0=LEN(ReferenceData!$AA$122),"",ReferenceData!$AA$122),"")</f>
        <v>27.47875354</v>
      </c>
      <c r="AB122">
        <f ca="1">IFERROR(IF(0=LEN(ReferenceData!$AB$122),"",ReferenceData!$AB$122),"")</f>
        <v>20.466321239999999</v>
      </c>
      <c r="AC122">
        <f ca="1">IFERROR(IF(0=LEN(ReferenceData!$AC$122),"",ReferenceData!$AC$122),"")</f>
        <v>13.89830508</v>
      </c>
      <c r="AD122">
        <f ca="1">IFERROR(IF(0=LEN(ReferenceData!$AD$122),"",ReferenceData!$AD$122),"")</f>
        <v>42.016806719999998</v>
      </c>
      <c r="AE122">
        <f ca="1">IFERROR(IF(0=LEN(ReferenceData!$AE$122),"",ReferenceData!$AE$122),"")</f>
        <v>74.30754537</v>
      </c>
      <c r="AF122">
        <f ca="1">IFERROR(IF(0=LEN(ReferenceData!$AF$122),"",ReferenceData!$AF$122),"")</f>
        <v>36.407766989999999</v>
      </c>
      <c r="AG122">
        <f ca="1">IFERROR(IF(0=LEN(ReferenceData!$AG$122),"",ReferenceData!$AG$122),"")</f>
        <v>45.208333330000002</v>
      </c>
      <c r="AH122">
        <f ca="1">IFERROR(IF(0=LEN(ReferenceData!$AH$122),"",ReferenceData!$AH$122),"")</f>
        <v>45.996275609999998</v>
      </c>
      <c r="AI122">
        <f ca="1">IFERROR(IF(0=LEN(ReferenceData!$AI$122),"",ReferenceData!$AI$122),"")</f>
        <v>28.54812398</v>
      </c>
      <c r="AJ122">
        <f ca="1">IFERROR(IF(0=LEN(ReferenceData!$AJ$122),"",ReferenceData!$AJ$122),"")</f>
        <v>39.61538462</v>
      </c>
      <c r="AK122">
        <f ca="1">IFERROR(IF(0=LEN(ReferenceData!$AK$122),"",ReferenceData!$AK$122),"")</f>
        <v>36.18538324</v>
      </c>
      <c r="AL122">
        <f ca="1">IFERROR(IF(0=LEN(ReferenceData!$AL$122),"",ReferenceData!$AL$122),"")</f>
        <v>21.6796875</v>
      </c>
      <c r="AM122">
        <f ca="1">IFERROR(IF(0=LEN(ReferenceData!$AM$122),"",ReferenceData!$AM$122),"")</f>
        <v>35.510204080000001</v>
      </c>
      <c r="AN122">
        <f ca="1">IFERROR(IF(0=LEN(ReferenceData!$AN$122),"",ReferenceData!$AN$122),"")</f>
        <v>25.968109340000002</v>
      </c>
      <c r="AO122">
        <f ca="1">IFERROR(IF(0=LEN(ReferenceData!$AO$122),"",ReferenceData!$AO$122),"")</f>
        <v>19.504643959999999</v>
      </c>
      <c r="AP122">
        <f ca="1">IFERROR(IF(0=LEN(ReferenceData!$AP$122),"",ReferenceData!$AP$122),"")</f>
        <v>45.889101340000003</v>
      </c>
      <c r="AQ122">
        <f ca="1">IFERROR(IF(0=LEN(ReferenceData!$AQ$122),"",ReferenceData!$AQ$122),"")</f>
        <v>72.636262509999995</v>
      </c>
      <c r="AR122">
        <f ca="1">IFERROR(IF(0=LEN(ReferenceData!$AR$122),"",ReferenceData!$AR$122),"")</f>
        <v>31.443298970000001</v>
      </c>
      <c r="AS122">
        <f ca="1">IFERROR(IF(0=LEN(ReferenceData!$AS$122),"",ReferenceData!$AS$122),"")</f>
        <v>36.781609199999998</v>
      </c>
    </row>
    <row r="123" spans="1:45" x14ac:dyDescent="0.25">
      <c r="A123" t="str">
        <f>IFERROR(IF(0=LEN(ReferenceData!$A$123),"",ReferenceData!$A$123),"")</f>
        <v xml:space="preserve">    PACCAR</v>
      </c>
      <c r="B123" t="str">
        <f>IFERROR(IF(0=LEN(ReferenceData!$B$123),"",ReferenceData!$B$123),"")</f>
        <v>PCAR US Equity</v>
      </c>
      <c r="C123" t="str">
        <f>IFERROR(IF(0=LEN(ReferenceData!$C$123),"",ReferenceData!$C$123),"")</f>
        <v/>
      </c>
      <c r="D123" t="str">
        <f>IFERROR(IF(0=LEN(ReferenceData!$D$123),"",ReferenceData!$D$123),"")</f>
        <v/>
      </c>
      <c r="E123" t="str">
        <f>IFERROR(IF(0=LEN(ReferenceData!$E$123),"",ReferenceData!$E$123),"")</f>
        <v>Sum</v>
      </c>
      <c r="F123">
        <f ca="1">IFERROR(IF(0=LEN(ReferenceData!$F$123),"",ReferenceData!$F$123),"")</f>
        <v>15.050167223999999</v>
      </c>
      <c r="G123">
        <f ca="1">IFERROR(IF(0=LEN(ReferenceData!$G$123),"",ReferenceData!$G$123),"")</f>
        <v>11.460957179000001</v>
      </c>
      <c r="H123">
        <f ca="1">IFERROR(IF(0=LEN(ReferenceData!$H$123),"",ReferenceData!$H$123),"")</f>
        <v>17.179487179999999</v>
      </c>
      <c r="I123">
        <f ca="1">IFERROR(IF(0=LEN(ReferenceData!$I$123),"",ReferenceData!$I$123),"")</f>
        <v>17.892644131000001</v>
      </c>
      <c r="J123">
        <f ca="1">IFERROR(IF(0=LEN(ReferenceData!$J$123),"",ReferenceData!$J$123),"")</f>
        <v>19.730941709</v>
      </c>
      <c r="K123">
        <f ca="1">IFERROR(IF(0=LEN(ReferenceData!$K$123),"",ReferenceData!$K$123),"")</f>
        <v>25.233644859999998</v>
      </c>
      <c r="L123">
        <f ca="1">IFERROR(IF(0=LEN(ReferenceData!$L$123),"",ReferenceData!$L$123),"")</f>
        <v>13.961605584000001</v>
      </c>
      <c r="M123">
        <f ca="1">IFERROR(IF(0=LEN(ReferenceData!$M$123),"",ReferenceData!$M$123),"")</f>
        <v>14.285714286000001</v>
      </c>
      <c r="N123">
        <f ca="1">IFERROR(IF(0=LEN(ReferenceData!$N$123),"",ReferenceData!$N$123),"")</f>
        <v>16.279069767999999</v>
      </c>
      <c r="O123">
        <f ca="1">IFERROR(IF(0=LEN(ReferenceData!$O$123),"",ReferenceData!$O$123),"")</f>
        <v>16.037735849000001</v>
      </c>
      <c r="P123">
        <f ca="1">IFERROR(IF(0=LEN(ReferenceData!$P$123),"",ReferenceData!$P$123),"")</f>
        <v>17.301038066</v>
      </c>
      <c r="Q123">
        <f ca="1">IFERROR(IF(0=LEN(ReferenceData!$Q$123),"",ReferenceData!$Q$123),"")</f>
        <v>21.356783919999998</v>
      </c>
      <c r="R123">
        <f ca="1">IFERROR(IF(0=LEN(ReferenceData!$R$123),"",ReferenceData!$R$123),"")</f>
        <v>12.598425197000001</v>
      </c>
      <c r="S123">
        <f ca="1">IFERROR(IF(0=LEN(ReferenceData!$S$123),"",ReferenceData!$S$123),"")</f>
        <v>6.5468549419999995</v>
      </c>
      <c r="T123">
        <f ca="1">IFERROR(IF(0=LEN(ReferenceData!$T$123),"",ReferenceData!$T$123),"")</f>
        <v>14.313725489999999</v>
      </c>
      <c r="U123">
        <f ca="1">IFERROR(IF(0=LEN(ReferenceData!$U$123),"",ReferenceData!$U$123),"")</f>
        <v>10.218978103</v>
      </c>
      <c r="V123">
        <f ca="1">IFERROR(IF(0=LEN(ReferenceData!$V$123),"",ReferenceData!$V$123),"")</f>
        <v>20.046082951000002</v>
      </c>
      <c r="W123">
        <f ca="1">IFERROR(IF(0=LEN(ReferenceData!$W$123),"",ReferenceData!$W$123),"")</f>
        <v>15.246636770999999</v>
      </c>
      <c r="X123">
        <f ca="1">IFERROR(IF(0=LEN(ReferenceData!$X$123),"",ReferenceData!$X$123),"")</f>
        <v>16.860465116</v>
      </c>
      <c r="Y123">
        <f ca="1">IFERROR(IF(0=LEN(ReferenceData!$Y$123),"",ReferenceData!$Y$123),"")</f>
        <v>15.981735159999999</v>
      </c>
      <c r="Z123">
        <f ca="1">IFERROR(IF(0=LEN(ReferenceData!$Z$123),"",ReferenceData!$Z$123),"")</f>
        <v>17.805383026999998</v>
      </c>
      <c r="AA123">
        <f ca="1">IFERROR(IF(0=LEN(ReferenceData!$AA$123),"",ReferenceData!$AA$123),"")</f>
        <v>15.580736544000001</v>
      </c>
      <c r="AB123">
        <f ca="1">IFERROR(IF(0=LEN(ReferenceData!$AB$123),"",ReferenceData!$AB$123),"")</f>
        <v>22.538860110000002</v>
      </c>
      <c r="AC123">
        <f ca="1">IFERROR(IF(0=LEN(ReferenceData!$AC$123),"",ReferenceData!$AC$123),"")</f>
        <v>22.71186441</v>
      </c>
      <c r="AD123">
        <f ca="1">IFERROR(IF(0=LEN(ReferenceData!$AD$123),"",ReferenceData!$AD$123),"")</f>
        <v>13.025210084000001</v>
      </c>
      <c r="AE123">
        <f ca="1">IFERROR(IF(0=LEN(ReferenceData!$AE$123),"",ReferenceData!$AE$123),"")</f>
        <v>7.2588347659999997</v>
      </c>
      <c r="AF123">
        <f ca="1">IFERROR(IF(0=LEN(ReferenceData!$AF$123),"",ReferenceData!$AF$123),"")</f>
        <v>22.815533979999998</v>
      </c>
      <c r="AG123">
        <f ca="1">IFERROR(IF(0=LEN(ReferenceData!$AG$123),"",ReferenceData!$AG$123),"")</f>
        <v>13.958333333999999</v>
      </c>
      <c r="AH123">
        <f ca="1">IFERROR(IF(0=LEN(ReferenceData!$AH$123),"",ReferenceData!$AH$123),"")</f>
        <v>19.180633147000002</v>
      </c>
      <c r="AI123">
        <f ca="1">IFERROR(IF(0=LEN(ReferenceData!$AI$123),"",ReferenceData!$AI$123),"")</f>
        <v>28.874388249999999</v>
      </c>
      <c r="AJ123">
        <f ca="1">IFERROR(IF(0=LEN(ReferenceData!$AJ$123),"",ReferenceData!$AJ$123),"")</f>
        <v>23.653846149</v>
      </c>
      <c r="AK123">
        <f ca="1">IFERROR(IF(0=LEN(ReferenceData!$AK$123),"",ReferenceData!$AK$123),"")</f>
        <v>17.468805704000001</v>
      </c>
      <c r="AL123">
        <f ca="1">IFERROR(IF(0=LEN(ReferenceData!$AL$123),"",ReferenceData!$AL$123),"")</f>
        <v>14.84375</v>
      </c>
      <c r="AM123">
        <f ca="1">IFERROR(IF(0=LEN(ReferenceData!$AM$123),"",ReferenceData!$AM$123),"")</f>
        <v>21.632653066</v>
      </c>
      <c r="AN123">
        <f ca="1">IFERROR(IF(0=LEN(ReferenceData!$AN$123),"",ReferenceData!$AN$123),"")</f>
        <v>24.145785877999998</v>
      </c>
      <c r="AO123">
        <f ca="1">IFERROR(IF(0=LEN(ReferenceData!$AO$123),"",ReferenceData!$AO$123),"")</f>
        <v>30.030959760000002</v>
      </c>
      <c r="AP123">
        <f ca="1">IFERROR(IF(0=LEN(ReferenceData!$AP$123),"",ReferenceData!$AP$123),"")</f>
        <v>18.738049711000002</v>
      </c>
      <c r="AQ123">
        <f ca="1">IFERROR(IF(0=LEN(ReferenceData!$AQ$123),"",ReferenceData!$AQ$123),"")</f>
        <v>7.3414905450000001</v>
      </c>
      <c r="AR123">
        <f ca="1">IFERROR(IF(0=LEN(ReferenceData!$AR$123),"",ReferenceData!$AR$123),"")</f>
        <v>24.226804123000001</v>
      </c>
      <c r="AS123">
        <f ca="1">IFERROR(IF(0=LEN(ReferenceData!$AS$123),"",ReferenceData!$AS$123),"")</f>
        <v>26.436781610000001</v>
      </c>
    </row>
    <row r="124" spans="1:45" x14ac:dyDescent="0.25">
      <c r="A124" t="str">
        <f>IFERROR(IF(0=LEN(ReferenceData!$A$124),"",ReferenceData!$A$124),"")</f>
        <v xml:space="preserve">        Kenworth</v>
      </c>
      <c r="B124" t="str">
        <f>IFERROR(IF(0=LEN(ReferenceData!$B$124),"",ReferenceData!$B$124),"")</f>
        <v>PCAR US Equity</v>
      </c>
      <c r="C124" t="str">
        <f>IFERROR(IF(0=LEN(ReferenceData!$C$124),"",ReferenceData!$C$124),"")</f>
        <v/>
      </c>
      <c r="D124" t="str">
        <f>IFERROR(IF(0=LEN(ReferenceData!$D$124),"",ReferenceData!$D$124),"")</f>
        <v/>
      </c>
      <c r="E124" t="str">
        <f>IFERROR(IF(0=LEN(ReferenceData!$E$124),"",ReferenceData!$E$124),"")</f>
        <v>Expression</v>
      </c>
      <c r="F124">
        <f ca="1">IFERROR(IF(0=LEN(ReferenceData!$F$124),"",ReferenceData!$F$124),"")</f>
        <v>8.361204013</v>
      </c>
      <c r="G124">
        <f ca="1">IFERROR(IF(0=LEN(ReferenceData!$G$124),"",ReferenceData!$G$124),"")</f>
        <v>6.5491183880000001</v>
      </c>
      <c r="H124">
        <f ca="1">IFERROR(IF(0=LEN(ReferenceData!$H$124),"",ReferenceData!$H$124),"")</f>
        <v>6.4102564099999997</v>
      </c>
      <c r="I124">
        <f ca="1">IFERROR(IF(0=LEN(ReferenceData!$I$124),"",ReferenceData!$I$124),"")</f>
        <v>10.536779320000001</v>
      </c>
      <c r="J124">
        <f ca="1">IFERROR(IF(0=LEN(ReferenceData!$J$124),"",ReferenceData!$J$124),"")</f>
        <v>11.65919283</v>
      </c>
      <c r="K124">
        <f ca="1">IFERROR(IF(0=LEN(ReferenceData!$K$124),"",ReferenceData!$K$124),"")</f>
        <v>11.40186916</v>
      </c>
      <c r="L124">
        <f ca="1">IFERROR(IF(0=LEN(ReferenceData!$L$124),"",ReferenceData!$L$124),"")</f>
        <v>6.1082024429999997</v>
      </c>
      <c r="M124">
        <f ca="1">IFERROR(IF(0=LEN(ReferenceData!$M$124),"",ReferenceData!$M$124),"")</f>
        <v>7.4626865670000004</v>
      </c>
      <c r="N124">
        <f ca="1">IFERROR(IF(0=LEN(ReferenceData!$N$124),"",ReferenceData!$N$124),"")</f>
        <v>7.6109936579999999</v>
      </c>
      <c r="O124">
        <f ca="1">IFERROR(IF(0=LEN(ReferenceData!$O$124),"",ReferenceData!$O$124),"")</f>
        <v>9.1194968549999995</v>
      </c>
      <c r="P124">
        <f ca="1">IFERROR(IF(0=LEN(ReferenceData!$P$124),"",ReferenceData!$P$124),"")</f>
        <v>10.034602080000001</v>
      </c>
      <c r="Q124">
        <f ca="1">IFERROR(IF(0=LEN(ReferenceData!$Q$124),"",ReferenceData!$Q$124),"")</f>
        <v>11.30653266</v>
      </c>
      <c r="R124">
        <f ca="1">IFERROR(IF(0=LEN(ReferenceData!$R$124),"",ReferenceData!$R$124),"")</f>
        <v>9.186351706</v>
      </c>
      <c r="S124">
        <f ca="1">IFERROR(IF(0=LEN(ReferenceData!$S$124),"",ReferenceData!$S$124),"")</f>
        <v>4.2362002570000001</v>
      </c>
      <c r="T124">
        <f ca="1">IFERROR(IF(0=LEN(ReferenceData!$T$124),"",ReferenceData!$T$124),"")</f>
        <v>6.4705882350000001</v>
      </c>
      <c r="U124">
        <f ca="1">IFERROR(IF(0=LEN(ReferenceData!$U$124),"",ReferenceData!$U$124),"")</f>
        <v>7.0559610709999996</v>
      </c>
      <c r="V124">
        <f ca="1">IFERROR(IF(0=LEN(ReferenceData!$V$124),"",ReferenceData!$V$124),"")</f>
        <v>9.9078341010000006</v>
      </c>
      <c r="W124">
        <f ca="1">IFERROR(IF(0=LEN(ReferenceData!$W$124),"",ReferenceData!$W$124),"")</f>
        <v>6.053811659</v>
      </c>
      <c r="X124">
        <f ca="1">IFERROR(IF(0=LEN(ReferenceData!$X$124),"",ReferenceData!$X$124),"")</f>
        <v>8.9147286819999998</v>
      </c>
      <c r="Y124">
        <f ca="1">IFERROR(IF(0=LEN(ReferenceData!$Y$124),"",ReferenceData!$Y$124),"")</f>
        <v>6.3926940639999996</v>
      </c>
      <c r="Z124">
        <f ca="1">IFERROR(IF(0=LEN(ReferenceData!$Z$124),"",ReferenceData!$Z$124),"")</f>
        <v>7.6604554870000001</v>
      </c>
      <c r="AA124">
        <f ca="1">IFERROR(IF(0=LEN(ReferenceData!$AA$124),"",ReferenceData!$AA$124),"")</f>
        <v>9.065155807</v>
      </c>
      <c r="AB124">
        <f ca="1">IFERROR(IF(0=LEN(ReferenceData!$AB$124),"",ReferenceData!$AB$124),"")</f>
        <v>10.88082902</v>
      </c>
      <c r="AC124">
        <f ca="1">IFERROR(IF(0=LEN(ReferenceData!$AC$124),"",ReferenceData!$AC$124),"")</f>
        <v>11.18644068</v>
      </c>
      <c r="AD124">
        <f ca="1">IFERROR(IF(0=LEN(ReferenceData!$AD$124),"",ReferenceData!$AD$124),"")</f>
        <v>7.5630252100000002</v>
      </c>
      <c r="AE124">
        <f ca="1">IFERROR(IF(0=LEN(ReferenceData!$AE$124),"",ReferenceData!$AE$124),"")</f>
        <v>4.871060172</v>
      </c>
      <c r="AF124">
        <f ca="1">IFERROR(IF(0=LEN(ReferenceData!$AF$124),"",ReferenceData!$AF$124),"")</f>
        <v>10.9223301</v>
      </c>
      <c r="AG124">
        <f ca="1">IFERROR(IF(0=LEN(ReferenceData!$AG$124),"",ReferenceData!$AG$124),"")</f>
        <v>5.4166666670000003</v>
      </c>
      <c r="AH124">
        <f ca="1">IFERROR(IF(0=LEN(ReferenceData!$AH$124),"",ReferenceData!$AH$124),"")</f>
        <v>10.428305399999999</v>
      </c>
      <c r="AI124">
        <f ca="1">IFERROR(IF(0=LEN(ReferenceData!$AI$124),"",ReferenceData!$AI$124),"")</f>
        <v>15.17128874</v>
      </c>
      <c r="AJ124">
        <f ca="1">IFERROR(IF(0=LEN(ReferenceData!$AJ$124),"",ReferenceData!$AJ$124),"")</f>
        <v>5.769230769</v>
      </c>
      <c r="AK124">
        <f ca="1">IFERROR(IF(0=LEN(ReferenceData!$AK$124),"",ReferenceData!$AK$124),"")</f>
        <v>7.8431372550000003</v>
      </c>
      <c r="AL124">
        <f ca="1">IFERROR(IF(0=LEN(ReferenceData!$AL$124),"",ReferenceData!$AL$124),"")</f>
        <v>6.8359375</v>
      </c>
      <c r="AM124">
        <f ca="1">IFERROR(IF(0=LEN(ReferenceData!$AM$124),"",ReferenceData!$AM$124),"")</f>
        <v>8.1632653059999996</v>
      </c>
      <c r="AN124">
        <f ca="1">IFERROR(IF(0=LEN(ReferenceData!$AN$124),"",ReferenceData!$AN$124),"")</f>
        <v>9.5671981779999999</v>
      </c>
      <c r="AO124">
        <f ca="1">IFERROR(IF(0=LEN(ReferenceData!$AO$124),"",ReferenceData!$AO$124),"")</f>
        <v>11.14551084</v>
      </c>
      <c r="AP124">
        <f ca="1">IFERROR(IF(0=LEN(ReferenceData!$AP$124),"",ReferenceData!$AP$124),"")</f>
        <v>10.13384321</v>
      </c>
      <c r="AQ124">
        <f ca="1">IFERROR(IF(0=LEN(ReferenceData!$AQ$124),"",ReferenceData!$AQ$124),"")</f>
        <v>2.1134593989999999</v>
      </c>
      <c r="AR124">
        <f ca="1">IFERROR(IF(0=LEN(ReferenceData!$AR$124),"",ReferenceData!$AR$124),"")</f>
        <v>14.432989689999999</v>
      </c>
      <c r="AS124">
        <f ca="1">IFERROR(IF(0=LEN(ReferenceData!$AS$124),"",ReferenceData!$AS$124),"")</f>
        <v>13.10344828</v>
      </c>
    </row>
    <row r="125" spans="1:45" x14ac:dyDescent="0.25">
      <c r="A125" t="str">
        <f>IFERROR(IF(0=LEN(ReferenceData!$A$125),"",ReferenceData!$A$125),"")</f>
        <v xml:space="preserve">        Peterbilt</v>
      </c>
      <c r="B125" t="str">
        <f>IFERROR(IF(0=LEN(ReferenceData!$B$125),"",ReferenceData!$B$125),"")</f>
        <v>PCAR US Equity</v>
      </c>
      <c r="C125" t="str">
        <f>IFERROR(IF(0=LEN(ReferenceData!$C$125),"",ReferenceData!$C$125),"")</f>
        <v/>
      </c>
      <c r="D125" t="str">
        <f>IFERROR(IF(0=LEN(ReferenceData!$D$125),"",ReferenceData!$D$125),"")</f>
        <v/>
      </c>
      <c r="E125" t="str">
        <f>IFERROR(IF(0=LEN(ReferenceData!$E$125),"",ReferenceData!$E$125),"")</f>
        <v>Expression</v>
      </c>
      <c r="F125">
        <f ca="1">IFERROR(IF(0=LEN(ReferenceData!$F$125),"",ReferenceData!$F$125),"")</f>
        <v>6.6889632109999999</v>
      </c>
      <c r="G125">
        <f ca="1">IFERROR(IF(0=LEN(ReferenceData!$G$125),"",ReferenceData!$G$125),"")</f>
        <v>4.9118387910000001</v>
      </c>
      <c r="H125">
        <f ca="1">IFERROR(IF(0=LEN(ReferenceData!$H$125),"",ReferenceData!$H$125),"")</f>
        <v>10.76923077</v>
      </c>
      <c r="I125">
        <f ca="1">IFERROR(IF(0=LEN(ReferenceData!$I$125),"",ReferenceData!$I$125),"")</f>
        <v>7.355864811</v>
      </c>
      <c r="J125">
        <f ca="1">IFERROR(IF(0=LEN(ReferenceData!$J$125),"",ReferenceData!$J$125),"")</f>
        <v>8.0717488789999994</v>
      </c>
      <c r="K125">
        <f ca="1">IFERROR(IF(0=LEN(ReferenceData!$K$125),"",ReferenceData!$K$125),"")</f>
        <v>13.8317757</v>
      </c>
      <c r="L125">
        <f ca="1">IFERROR(IF(0=LEN(ReferenceData!$L$125),"",ReferenceData!$L$125),"")</f>
        <v>7.8534031410000003</v>
      </c>
      <c r="M125">
        <f ca="1">IFERROR(IF(0=LEN(ReferenceData!$M$125),"",ReferenceData!$M$125),"")</f>
        <v>6.8230277189999997</v>
      </c>
      <c r="N125">
        <f ca="1">IFERROR(IF(0=LEN(ReferenceData!$N$125),"",ReferenceData!$N$125),"")</f>
        <v>8.6680761099999994</v>
      </c>
      <c r="O125">
        <f ca="1">IFERROR(IF(0=LEN(ReferenceData!$O$125),"",ReferenceData!$O$125),"")</f>
        <v>6.9182389940000002</v>
      </c>
      <c r="P125">
        <f ca="1">IFERROR(IF(0=LEN(ReferenceData!$P$125),"",ReferenceData!$P$125),"")</f>
        <v>7.2664359860000003</v>
      </c>
      <c r="Q125">
        <f ca="1">IFERROR(IF(0=LEN(ReferenceData!$Q$125),"",ReferenceData!$Q$125),"")</f>
        <v>10.05025126</v>
      </c>
      <c r="R125">
        <f ca="1">IFERROR(IF(0=LEN(ReferenceData!$R$125),"",ReferenceData!$R$125),"")</f>
        <v>3.4120734910000001</v>
      </c>
      <c r="S125">
        <f ca="1">IFERROR(IF(0=LEN(ReferenceData!$S$125),"",ReferenceData!$S$125),"")</f>
        <v>2.3106546849999998</v>
      </c>
      <c r="T125">
        <f ca="1">IFERROR(IF(0=LEN(ReferenceData!$T$125),"",ReferenceData!$T$125),"")</f>
        <v>7.8431372550000003</v>
      </c>
      <c r="U125">
        <f ca="1">IFERROR(IF(0=LEN(ReferenceData!$U$125),"",ReferenceData!$U$125),"")</f>
        <v>3.163017032</v>
      </c>
      <c r="V125">
        <f ca="1">IFERROR(IF(0=LEN(ReferenceData!$V$125),"",ReferenceData!$V$125),"")</f>
        <v>10.13824885</v>
      </c>
      <c r="W125">
        <f ca="1">IFERROR(IF(0=LEN(ReferenceData!$W$125),"",ReferenceData!$W$125),"")</f>
        <v>9.1928251119999995</v>
      </c>
      <c r="X125">
        <f ca="1">IFERROR(IF(0=LEN(ReferenceData!$X$125),"",ReferenceData!$X$125),"")</f>
        <v>7.9457364339999996</v>
      </c>
      <c r="Y125">
        <f ca="1">IFERROR(IF(0=LEN(ReferenceData!$Y$125),"",ReferenceData!$Y$125),"")</f>
        <v>9.5890410960000008</v>
      </c>
      <c r="Z125">
        <f ca="1">IFERROR(IF(0=LEN(ReferenceData!$Z$125),"",ReferenceData!$Z$125),"")</f>
        <v>10.144927539999999</v>
      </c>
      <c r="AA125">
        <f ca="1">IFERROR(IF(0=LEN(ReferenceData!$AA$125),"",ReferenceData!$AA$125),"")</f>
        <v>6.5155807369999996</v>
      </c>
      <c r="AB125">
        <f ca="1">IFERROR(IF(0=LEN(ReferenceData!$AB$125),"",ReferenceData!$AB$125),"")</f>
        <v>11.65803109</v>
      </c>
      <c r="AC125">
        <f ca="1">IFERROR(IF(0=LEN(ReferenceData!$AC$125),"",ReferenceData!$AC$125),"")</f>
        <v>11.52542373</v>
      </c>
      <c r="AD125">
        <f ca="1">IFERROR(IF(0=LEN(ReferenceData!$AD$125),"",ReferenceData!$AD$125),"")</f>
        <v>5.4621848740000001</v>
      </c>
      <c r="AE125">
        <f ca="1">IFERROR(IF(0=LEN(ReferenceData!$AE$125),"",ReferenceData!$AE$125),"")</f>
        <v>2.3877745940000001</v>
      </c>
      <c r="AF125">
        <f ca="1">IFERROR(IF(0=LEN(ReferenceData!$AF$125),"",ReferenceData!$AF$125),"")</f>
        <v>11.89320388</v>
      </c>
      <c r="AG125">
        <f ca="1">IFERROR(IF(0=LEN(ReferenceData!$AG$125),"",ReferenceData!$AG$125),"")</f>
        <v>8.5416666669999994</v>
      </c>
      <c r="AH125">
        <f ca="1">IFERROR(IF(0=LEN(ReferenceData!$AH$125),"",ReferenceData!$AH$125),"")</f>
        <v>8.7523277470000007</v>
      </c>
      <c r="AI125">
        <f ca="1">IFERROR(IF(0=LEN(ReferenceData!$AI$125),"",ReferenceData!$AI$125),"")</f>
        <v>13.703099509999999</v>
      </c>
      <c r="AJ125">
        <f ca="1">IFERROR(IF(0=LEN(ReferenceData!$AJ$125),"",ReferenceData!$AJ$125),"")</f>
        <v>17.88461538</v>
      </c>
      <c r="AK125">
        <f ca="1">IFERROR(IF(0=LEN(ReferenceData!$AK$125),"",ReferenceData!$AK$125),"")</f>
        <v>9.6256684490000008</v>
      </c>
      <c r="AL125">
        <f ca="1">IFERROR(IF(0=LEN(ReferenceData!$AL$125),"",ReferenceData!$AL$125),"")</f>
        <v>8.0078125</v>
      </c>
      <c r="AM125">
        <f ca="1">IFERROR(IF(0=LEN(ReferenceData!$AM$125),"",ReferenceData!$AM$125),"")</f>
        <v>13.46938776</v>
      </c>
      <c r="AN125">
        <f ca="1">IFERROR(IF(0=LEN(ReferenceData!$AN$125),"",ReferenceData!$AN$125),"")</f>
        <v>14.5785877</v>
      </c>
      <c r="AO125">
        <f ca="1">IFERROR(IF(0=LEN(ReferenceData!$AO$125),"",ReferenceData!$AO$125),"")</f>
        <v>18.885448920000002</v>
      </c>
      <c r="AP125">
        <f ca="1">IFERROR(IF(0=LEN(ReferenceData!$AP$125),"",ReferenceData!$AP$125),"")</f>
        <v>8.6042065010000002</v>
      </c>
      <c r="AQ125">
        <f ca="1">IFERROR(IF(0=LEN(ReferenceData!$AQ$125),"",ReferenceData!$AQ$125),"")</f>
        <v>5.2280311460000002</v>
      </c>
      <c r="AR125">
        <f ca="1">IFERROR(IF(0=LEN(ReferenceData!$AR$125),"",ReferenceData!$AR$125),"")</f>
        <v>9.7938144329999997</v>
      </c>
      <c r="AS125">
        <f ca="1">IFERROR(IF(0=LEN(ReferenceData!$AS$125),"",ReferenceData!$AS$125),"")</f>
        <v>13.33333333</v>
      </c>
    </row>
    <row r="126" spans="1:45" x14ac:dyDescent="0.25">
      <c r="A126" t="str">
        <f>IFERROR(IF(0=LEN(ReferenceData!$A$126),"",ReferenceData!$A$126),"")</f>
        <v xml:space="preserve">    Daimler</v>
      </c>
      <c r="B126" t="str">
        <f>IFERROR(IF(0=LEN(ReferenceData!$B$126),"",ReferenceData!$B$126),"")</f>
        <v>DAI GR Equity</v>
      </c>
      <c r="C126" t="str">
        <f>IFERROR(IF(0=LEN(ReferenceData!$C$126),"",ReferenceData!$C$126),"")</f>
        <v/>
      </c>
      <c r="D126" t="str">
        <f>IFERROR(IF(0=LEN(ReferenceData!$D$126),"",ReferenceData!$D$126),"")</f>
        <v/>
      </c>
      <c r="E126" t="str">
        <f>IFERROR(IF(0=LEN(ReferenceData!$E$126),"",ReferenceData!$E$126),"")</f>
        <v>Sum</v>
      </c>
      <c r="F126">
        <f ca="1">IFERROR(IF(0=LEN(ReferenceData!$F$126),"",ReferenceData!$F$126),"")</f>
        <v>11.204013379999999</v>
      </c>
      <c r="G126">
        <f ca="1">IFERROR(IF(0=LEN(ReferenceData!$G$126),"",ReferenceData!$G$126),"")</f>
        <v>12.720403019999999</v>
      </c>
      <c r="H126">
        <f ca="1">IFERROR(IF(0=LEN(ReferenceData!$H$126),"",ReferenceData!$H$126),"")</f>
        <v>12.051282049999999</v>
      </c>
      <c r="I126">
        <f ca="1">IFERROR(IF(0=LEN(ReferenceData!$I$126),"",ReferenceData!$I$126),"")</f>
        <v>20.47713718</v>
      </c>
      <c r="J126">
        <f ca="1">IFERROR(IF(0=LEN(ReferenceData!$J$126),"",ReferenceData!$J$126),"")</f>
        <v>17.488789239999999</v>
      </c>
      <c r="K126">
        <f ca="1">IFERROR(IF(0=LEN(ReferenceData!$K$126),"",ReferenceData!$K$126),"")</f>
        <v>13.271028039999999</v>
      </c>
      <c r="L126">
        <f ca="1">IFERROR(IF(0=LEN(ReferenceData!$L$126),"",ReferenceData!$L$126),"")</f>
        <v>31.239092500000002</v>
      </c>
      <c r="M126">
        <f ca="1">IFERROR(IF(0=LEN(ReferenceData!$M$126),"",ReferenceData!$M$126),"")</f>
        <v>14.925373130000001</v>
      </c>
      <c r="N126">
        <f ca="1">IFERROR(IF(0=LEN(ReferenceData!$N$126),"",ReferenceData!$N$126),"")</f>
        <v>12.68498943</v>
      </c>
      <c r="O126">
        <f ca="1">IFERROR(IF(0=LEN(ReferenceData!$O$126),"",ReferenceData!$O$126),"")</f>
        <v>20.754716980000001</v>
      </c>
      <c r="P126">
        <f ca="1">IFERROR(IF(0=LEN(ReferenceData!$P$126),"",ReferenceData!$P$126),"")</f>
        <v>17.647058820000002</v>
      </c>
      <c r="Q126">
        <f ca="1">IFERROR(IF(0=LEN(ReferenceData!$Q$126),"",ReferenceData!$Q$126),"")</f>
        <v>21.356783920000002</v>
      </c>
      <c r="R126">
        <f ca="1">IFERROR(IF(0=LEN(ReferenceData!$R$126),"",ReferenceData!$R$126),"")</f>
        <v>13.38582677</v>
      </c>
      <c r="S126">
        <f ca="1">IFERROR(IF(0=LEN(ReferenceData!$S$126),"",ReferenceData!$S$126),"")</f>
        <v>9.2426187419999994</v>
      </c>
      <c r="T126">
        <f ca="1">IFERROR(IF(0=LEN(ReferenceData!$T$126),"",ReferenceData!$T$126),"")</f>
        <v>14.70588235</v>
      </c>
      <c r="U126">
        <f ca="1">IFERROR(IF(0=LEN(ReferenceData!$U$126),"",ReferenceData!$U$126),"")</f>
        <v>14.84184915</v>
      </c>
      <c r="V126">
        <f ca="1">IFERROR(IF(0=LEN(ReferenceData!$V$126),"",ReferenceData!$V$126),"")</f>
        <v>17.741935479999999</v>
      </c>
      <c r="W126">
        <f ca="1">IFERROR(IF(0=LEN(ReferenceData!$W$126),"",ReferenceData!$W$126),"")</f>
        <v>19.955156949999999</v>
      </c>
      <c r="X126">
        <f ca="1">IFERROR(IF(0=LEN(ReferenceData!$X$126),"",ReferenceData!$X$126),"")</f>
        <v>15.116279069999999</v>
      </c>
      <c r="Y126">
        <f ca="1">IFERROR(IF(0=LEN(ReferenceData!$Y$126),"",ReferenceData!$Y$126),"")</f>
        <v>19.178082190000001</v>
      </c>
      <c r="Z126">
        <f ca="1">IFERROR(IF(0=LEN(ReferenceData!$Z$126),"",ReferenceData!$Z$126),"")</f>
        <v>19.668737060000002</v>
      </c>
      <c r="AA126">
        <f ca="1">IFERROR(IF(0=LEN(ReferenceData!$AA$126),"",ReferenceData!$AA$126),"")</f>
        <v>23.796033990000002</v>
      </c>
      <c r="AB126">
        <f ca="1">IFERROR(IF(0=LEN(ReferenceData!$AB$126),"",ReferenceData!$AB$126),"")</f>
        <v>22.79792746</v>
      </c>
      <c r="AC126">
        <f ca="1">IFERROR(IF(0=LEN(ReferenceData!$AC$126),"",ReferenceData!$AC$126),"")</f>
        <v>31.18644068</v>
      </c>
      <c r="AD126">
        <f ca="1">IFERROR(IF(0=LEN(ReferenceData!$AD$126),"",ReferenceData!$AD$126),"")</f>
        <v>25.210084030000001</v>
      </c>
      <c r="AE126">
        <f ca="1">IFERROR(IF(0=LEN(ReferenceData!$AE$126),"",ReferenceData!$AE$126),"")</f>
        <v>10.792741169999999</v>
      </c>
      <c r="AF126">
        <f ca="1">IFERROR(IF(0=LEN(ReferenceData!$AF$126),"",ReferenceData!$AF$126),"")</f>
        <v>19.902912619999999</v>
      </c>
      <c r="AG126">
        <f ca="1">IFERROR(IF(0=LEN(ReferenceData!$AG$126),"",ReferenceData!$AG$126),"")</f>
        <v>20</v>
      </c>
      <c r="AH126">
        <f ca="1">IFERROR(IF(0=LEN(ReferenceData!$AH$126),"",ReferenceData!$AH$126),"")</f>
        <v>14.338919929999999</v>
      </c>
      <c r="AI126">
        <f ca="1">IFERROR(IF(0=LEN(ReferenceData!$AI$126),"",ReferenceData!$AI$126),"")</f>
        <v>25.285481239999999</v>
      </c>
      <c r="AJ126">
        <f ca="1">IFERROR(IF(0=LEN(ReferenceData!$AJ$126),"",ReferenceData!$AJ$126),"")</f>
        <v>15.57692308</v>
      </c>
      <c r="AK126">
        <f ca="1">IFERROR(IF(0=LEN(ReferenceData!$AK$126),"",ReferenceData!$AK$126),"")</f>
        <v>28.163992870000001</v>
      </c>
      <c r="AL126">
        <f ca="1">IFERROR(IF(0=LEN(ReferenceData!$AL$126),"",ReferenceData!$AL$126),"")</f>
        <v>49.609375</v>
      </c>
      <c r="AM126">
        <f ca="1">IFERROR(IF(0=LEN(ReferenceData!$AM$126),"",ReferenceData!$AM$126),"")</f>
        <v>21.632653059999999</v>
      </c>
      <c r="AN126">
        <f ca="1">IFERROR(IF(0=LEN(ReferenceData!$AN$126),"",ReferenceData!$AN$126),"")</f>
        <v>27.562642369999999</v>
      </c>
      <c r="AO126">
        <f ca="1">IFERROR(IF(0=LEN(ReferenceData!$AO$126),"",ReferenceData!$AO$126),"")</f>
        <v>27.244582040000001</v>
      </c>
      <c r="AP126">
        <f ca="1">IFERROR(IF(0=LEN(ReferenceData!$AP$126),"",ReferenceData!$AP$126),"")</f>
        <v>20.26768642</v>
      </c>
      <c r="AQ126">
        <f ca="1">IFERROR(IF(0=LEN(ReferenceData!$AQ$126),"",ReferenceData!$AQ$126),"")</f>
        <v>10.678531700000001</v>
      </c>
      <c r="AR126">
        <f ca="1">IFERROR(IF(0=LEN(ReferenceData!$AR$126),"",ReferenceData!$AR$126),"")</f>
        <v>24.484536080000002</v>
      </c>
      <c r="AS126">
        <f ca="1">IFERROR(IF(0=LEN(ReferenceData!$AS$126),"",ReferenceData!$AS$126),"")</f>
        <v>17.241379309999999</v>
      </c>
    </row>
    <row r="127" spans="1:45" x14ac:dyDescent="0.25">
      <c r="A127" t="str">
        <f>IFERROR(IF(0=LEN(ReferenceData!$A$127),"",ReferenceData!$A$127),"")</f>
        <v xml:space="preserve">        Freightliner</v>
      </c>
      <c r="B127" t="str">
        <f>IFERROR(IF(0=LEN(ReferenceData!$B$127),"",ReferenceData!$B$127),"")</f>
        <v>DAI GR Equity</v>
      </c>
      <c r="C127" t="str">
        <f>IFERROR(IF(0=LEN(ReferenceData!$C$127),"",ReferenceData!$C$127),"")</f>
        <v/>
      </c>
      <c r="D127" t="str">
        <f>IFERROR(IF(0=LEN(ReferenceData!$D$127),"",ReferenceData!$D$127),"")</f>
        <v/>
      </c>
      <c r="E127" t="str">
        <f>IFERROR(IF(0=LEN(ReferenceData!$E$127),"",ReferenceData!$E$127),"")</f>
        <v>Expression</v>
      </c>
      <c r="F127">
        <f ca="1">IFERROR(IF(0=LEN(ReferenceData!$F$127),"",ReferenceData!$F$127),"")</f>
        <v>11.204013379999999</v>
      </c>
      <c r="G127">
        <f ca="1">IFERROR(IF(0=LEN(ReferenceData!$G$127),"",ReferenceData!$G$127),"")</f>
        <v>12.720403019999999</v>
      </c>
      <c r="H127">
        <f ca="1">IFERROR(IF(0=LEN(ReferenceData!$H$127),"",ReferenceData!$H$127),"")</f>
        <v>12.051282049999999</v>
      </c>
      <c r="I127">
        <f ca="1">IFERROR(IF(0=LEN(ReferenceData!$I$127),"",ReferenceData!$I$127),"")</f>
        <v>20.47713718</v>
      </c>
      <c r="J127">
        <f ca="1">IFERROR(IF(0=LEN(ReferenceData!$J$127),"",ReferenceData!$J$127),"")</f>
        <v>17.488789239999999</v>
      </c>
      <c r="K127">
        <f ca="1">IFERROR(IF(0=LEN(ReferenceData!$K$127),"",ReferenceData!$K$127),"")</f>
        <v>13.271028039999999</v>
      </c>
      <c r="L127">
        <f ca="1">IFERROR(IF(0=LEN(ReferenceData!$L$127),"",ReferenceData!$L$127),"")</f>
        <v>31.239092500000002</v>
      </c>
      <c r="M127">
        <f ca="1">IFERROR(IF(0=LEN(ReferenceData!$M$127),"",ReferenceData!$M$127),"")</f>
        <v>14.925373130000001</v>
      </c>
      <c r="N127">
        <f ca="1">IFERROR(IF(0=LEN(ReferenceData!$N$127),"",ReferenceData!$N$127),"")</f>
        <v>12.68498943</v>
      </c>
      <c r="O127">
        <f ca="1">IFERROR(IF(0=LEN(ReferenceData!$O$127),"",ReferenceData!$O$127),"")</f>
        <v>20.754716980000001</v>
      </c>
      <c r="P127">
        <f ca="1">IFERROR(IF(0=LEN(ReferenceData!$P$127),"",ReferenceData!$P$127),"")</f>
        <v>17.647058820000002</v>
      </c>
      <c r="Q127">
        <f ca="1">IFERROR(IF(0=LEN(ReferenceData!$Q$127),"",ReferenceData!$Q$127),"")</f>
        <v>21.356783920000002</v>
      </c>
      <c r="R127">
        <f ca="1">IFERROR(IF(0=LEN(ReferenceData!$R$127),"",ReferenceData!$R$127),"")</f>
        <v>13.38582677</v>
      </c>
      <c r="S127">
        <f ca="1">IFERROR(IF(0=LEN(ReferenceData!$S$127),"",ReferenceData!$S$127),"")</f>
        <v>9.2426187419999994</v>
      </c>
      <c r="T127">
        <f ca="1">IFERROR(IF(0=LEN(ReferenceData!$T$127),"",ReferenceData!$T$127),"")</f>
        <v>14.70588235</v>
      </c>
      <c r="U127">
        <f ca="1">IFERROR(IF(0=LEN(ReferenceData!$U$127),"",ReferenceData!$U$127),"")</f>
        <v>14.84184915</v>
      </c>
      <c r="V127">
        <f ca="1">IFERROR(IF(0=LEN(ReferenceData!$V$127),"",ReferenceData!$V$127),"")</f>
        <v>17.741935479999999</v>
      </c>
      <c r="W127">
        <f ca="1">IFERROR(IF(0=LEN(ReferenceData!$W$127),"",ReferenceData!$W$127),"")</f>
        <v>19.955156949999999</v>
      </c>
      <c r="X127">
        <f ca="1">IFERROR(IF(0=LEN(ReferenceData!$X$127),"",ReferenceData!$X$127),"")</f>
        <v>15.116279069999999</v>
      </c>
      <c r="Y127">
        <f ca="1">IFERROR(IF(0=LEN(ReferenceData!$Y$127),"",ReferenceData!$Y$127),"")</f>
        <v>19.178082190000001</v>
      </c>
      <c r="Z127">
        <f ca="1">IFERROR(IF(0=LEN(ReferenceData!$Z$127),"",ReferenceData!$Z$127),"")</f>
        <v>19.668737060000002</v>
      </c>
      <c r="AA127">
        <f ca="1">IFERROR(IF(0=LEN(ReferenceData!$AA$127),"",ReferenceData!$AA$127),"")</f>
        <v>23.796033990000002</v>
      </c>
      <c r="AB127">
        <f ca="1">IFERROR(IF(0=LEN(ReferenceData!$AB$127),"",ReferenceData!$AB$127),"")</f>
        <v>22.79792746</v>
      </c>
      <c r="AC127">
        <f ca="1">IFERROR(IF(0=LEN(ReferenceData!$AC$127),"",ReferenceData!$AC$127),"")</f>
        <v>31.18644068</v>
      </c>
      <c r="AD127">
        <f ca="1">IFERROR(IF(0=LEN(ReferenceData!$AD$127),"",ReferenceData!$AD$127),"")</f>
        <v>25.210084030000001</v>
      </c>
      <c r="AE127">
        <f ca="1">IFERROR(IF(0=LEN(ReferenceData!$AE$127),"",ReferenceData!$AE$127),"")</f>
        <v>10.792741169999999</v>
      </c>
      <c r="AF127">
        <f ca="1">IFERROR(IF(0=LEN(ReferenceData!$AF$127),"",ReferenceData!$AF$127),"")</f>
        <v>19.902912619999999</v>
      </c>
      <c r="AG127">
        <f ca="1">IFERROR(IF(0=LEN(ReferenceData!$AG$127),"",ReferenceData!$AG$127),"")</f>
        <v>20</v>
      </c>
      <c r="AH127">
        <f ca="1">IFERROR(IF(0=LEN(ReferenceData!$AH$127),"",ReferenceData!$AH$127),"")</f>
        <v>14.338919929999999</v>
      </c>
      <c r="AI127">
        <f ca="1">IFERROR(IF(0=LEN(ReferenceData!$AI$127),"",ReferenceData!$AI$127),"")</f>
        <v>25.285481239999999</v>
      </c>
      <c r="AJ127">
        <f ca="1">IFERROR(IF(0=LEN(ReferenceData!$AJ$127),"",ReferenceData!$AJ$127),"")</f>
        <v>15.57692308</v>
      </c>
      <c r="AK127">
        <f ca="1">IFERROR(IF(0=LEN(ReferenceData!$AK$127),"",ReferenceData!$AK$127),"")</f>
        <v>28.163992870000001</v>
      </c>
      <c r="AL127">
        <f ca="1">IFERROR(IF(0=LEN(ReferenceData!$AL$127),"",ReferenceData!$AL$127),"")</f>
        <v>49.609375</v>
      </c>
      <c r="AM127">
        <f ca="1">IFERROR(IF(0=LEN(ReferenceData!$AM$127),"",ReferenceData!$AM$127),"")</f>
        <v>21.632653059999999</v>
      </c>
      <c r="AN127">
        <f ca="1">IFERROR(IF(0=LEN(ReferenceData!$AN$127),"",ReferenceData!$AN$127),"")</f>
        <v>27.562642369999999</v>
      </c>
      <c r="AO127">
        <f ca="1">IFERROR(IF(0=LEN(ReferenceData!$AO$127),"",ReferenceData!$AO$127),"")</f>
        <v>27.244582040000001</v>
      </c>
      <c r="AP127">
        <f ca="1">IFERROR(IF(0=LEN(ReferenceData!$AP$127),"",ReferenceData!$AP$127),"")</f>
        <v>20.26768642</v>
      </c>
      <c r="AQ127">
        <f ca="1">IFERROR(IF(0=LEN(ReferenceData!$AQ$127),"",ReferenceData!$AQ$127),"")</f>
        <v>10.678531700000001</v>
      </c>
      <c r="AR127">
        <f ca="1">IFERROR(IF(0=LEN(ReferenceData!$AR$127),"",ReferenceData!$AR$127),"")</f>
        <v>24.484536080000002</v>
      </c>
      <c r="AS127">
        <f ca="1">IFERROR(IF(0=LEN(ReferenceData!$AS$127),"",ReferenceData!$AS$127),"")</f>
        <v>17.241379309999999</v>
      </c>
    </row>
    <row r="128" spans="1:45" x14ac:dyDescent="0.25">
      <c r="A128" t="str">
        <f>IFERROR(IF(0=LEN(ReferenceData!$A$128),"",ReferenceData!$A$128),"")</f>
        <v xml:space="preserve">        Mitsubishi Fuso</v>
      </c>
      <c r="B128" t="str">
        <f>IFERROR(IF(0=LEN(ReferenceData!$B$128),"",ReferenceData!$B$128),"")</f>
        <v>DAI GR Equity</v>
      </c>
      <c r="C128" t="str">
        <f>IFERROR(IF(0=LEN(ReferenceData!$C$128),"",ReferenceData!$C$128),"")</f>
        <v/>
      </c>
      <c r="D128" t="str">
        <f>IFERROR(IF(0=LEN(ReferenceData!$D$128),"",ReferenceData!$D$128),"")</f>
        <v/>
      </c>
      <c r="E128" t="str">
        <f>IFERROR(IF(0=LEN(ReferenceData!$E$128),"",ReferenceData!$E$128),"")</f>
        <v>Expression</v>
      </c>
      <c r="F128" t="str">
        <f ca="1">IFERROR(IF(0=LEN(ReferenceData!$F$128),"",ReferenceData!$F$128),"")</f>
        <v/>
      </c>
      <c r="G128" t="str">
        <f ca="1">IFERROR(IF(0=LEN(ReferenceData!$G$128),"",ReferenceData!$G$128),"")</f>
        <v/>
      </c>
      <c r="H128" t="str">
        <f ca="1">IFERROR(IF(0=LEN(ReferenceData!$H$128),"",ReferenceData!$H$128),"")</f>
        <v/>
      </c>
      <c r="I128" t="str">
        <f ca="1">IFERROR(IF(0=LEN(ReferenceData!$I$128),"",ReferenceData!$I$128),"")</f>
        <v/>
      </c>
      <c r="J128" t="str">
        <f ca="1">IFERROR(IF(0=LEN(ReferenceData!$J$128),"",ReferenceData!$J$128),"")</f>
        <v/>
      </c>
      <c r="K128" t="str">
        <f ca="1">IFERROR(IF(0=LEN(ReferenceData!$K$128),"",ReferenceData!$K$128),"")</f>
        <v/>
      </c>
      <c r="L128" t="str">
        <f ca="1">IFERROR(IF(0=LEN(ReferenceData!$L$128),"",ReferenceData!$L$128),"")</f>
        <v/>
      </c>
      <c r="M128" t="str">
        <f ca="1">IFERROR(IF(0=LEN(ReferenceData!$M$128),"",ReferenceData!$M$128),"")</f>
        <v/>
      </c>
      <c r="N128" t="str">
        <f ca="1">IFERROR(IF(0=LEN(ReferenceData!$N$128),"",ReferenceData!$N$128),"")</f>
        <v/>
      </c>
      <c r="O128" t="str">
        <f ca="1">IFERROR(IF(0=LEN(ReferenceData!$O$128),"",ReferenceData!$O$128),"")</f>
        <v/>
      </c>
      <c r="P128" t="str">
        <f ca="1">IFERROR(IF(0=LEN(ReferenceData!$P$128),"",ReferenceData!$P$128),"")</f>
        <v/>
      </c>
      <c r="Q128" t="str">
        <f ca="1">IFERROR(IF(0=LEN(ReferenceData!$Q$128),"",ReferenceData!$Q$128),"")</f>
        <v/>
      </c>
      <c r="R128" t="str">
        <f ca="1">IFERROR(IF(0=LEN(ReferenceData!$R$128),"",ReferenceData!$R$128),"")</f>
        <v/>
      </c>
      <c r="S128" t="str">
        <f ca="1">IFERROR(IF(0=LEN(ReferenceData!$S$128),"",ReferenceData!$S$128),"")</f>
        <v/>
      </c>
      <c r="T128" t="str">
        <f ca="1">IFERROR(IF(0=LEN(ReferenceData!$T$128),"",ReferenceData!$T$128),"")</f>
        <v/>
      </c>
      <c r="U128" t="str">
        <f ca="1">IFERROR(IF(0=LEN(ReferenceData!$U$128),"",ReferenceData!$U$128),"")</f>
        <v/>
      </c>
      <c r="V128" t="str">
        <f ca="1">IFERROR(IF(0=LEN(ReferenceData!$V$128),"",ReferenceData!$V$128),"")</f>
        <v/>
      </c>
      <c r="W128" t="str">
        <f ca="1">IFERROR(IF(0=LEN(ReferenceData!$W$128),"",ReferenceData!$W$128),"")</f>
        <v/>
      </c>
      <c r="X128" t="str">
        <f ca="1">IFERROR(IF(0=LEN(ReferenceData!$X$128),"",ReferenceData!$X$128),"")</f>
        <v/>
      </c>
      <c r="Y128" t="str">
        <f ca="1">IFERROR(IF(0=LEN(ReferenceData!$Y$128),"",ReferenceData!$Y$128),"")</f>
        <v/>
      </c>
      <c r="Z128" t="str">
        <f ca="1">IFERROR(IF(0=LEN(ReferenceData!$Z$128),"",ReferenceData!$Z$128),"")</f>
        <v/>
      </c>
      <c r="AA128" t="str">
        <f ca="1">IFERROR(IF(0=LEN(ReferenceData!$AA$128),"",ReferenceData!$AA$128),"")</f>
        <v/>
      </c>
      <c r="AB128" t="str">
        <f ca="1">IFERROR(IF(0=LEN(ReferenceData!$AB$128),"",ReferenceData!$AB$128),"")</f>
        <v/>
      </c>
      <c r="AC128" t="str">
        <f ca="1">IFERROR(IF(0=LEN(ReferenceData!$AC$128),"",ReferenceData!$AC$128),"")</f>
        <v/>
      </c>
      <c r="AD128" t="str">
        <f ca="1">IFERROR(IF(0=LEN(ReferenceData!$AD$128),"",ReferenceData!$AD$128),"")</f>
        <v/>
      </c>
      <c r="AE128" t="str">
        <f ca="1">IFERROR(IF(0=LEN(ReferenceData!$AE$128),"",ReferenceData!$AE$128),"")</f>
        <v/>
      </c>
      <c r="AF128" t="str">
        <f ca="1">IFERROR(IF(0=LEN(ReferenceData!$AF$128),"",ReferenceData!$AF$128),"")</f>
        <v/>
      </c>
      <c r="AG128" t="str">
        <f ca="1">IFERROR(IF(0=LEN(ReferenceData!$AG$128),"",ReferenceData!$AG$128),"")</f>
        <v/>
      </c>
      <c r="AH128" t="str">
        <f ca="1">IFERROR(IF(0=LEN(ReferenceData!$AH$128),"",ReferenceData!$AH$128),"")</f>
        <v/>
      </c>
      <c r="AI128" t="str">
        <f ca="1">IFERROR(IF(0=LEN(ReferenceData!$AI$128),"",ReferenceData!$AI$128),"")</f>
        <v/>
      </c>
      <c r="AJ128" t="str">
        <f ca="1">IFERROR(IF(0=LEN(ReferenceData!$AJ$128),"",ReferenceData!$AJ$128),"")</f>
        <v/>
      </c>
      <c r="AK128" t="str">
        <f ca="1">IFERROR(IF(0=LEN(ReferenceData!$AK$128),"",ReferenceData!$AK$128),"")</f>
        <v/>
      </c>
      <c r="AL128" t="str">
        <f ca="1">IFERROR(IF(0=LEN(ReferenceData!$AL$128),"",ReferenceData!$AL$128),"")</f>
        <v/>
      </c>
      <c r="AM128" t="str">
        <f ca="1">IFERROR(IF(0=LEN(ReferenceData!$AM$128),"",ReferenceData!$AM$128),"")</f>
        <v/>
      </c>
      <c r="AN128" t="str">
        <f ca="1">IFERROR(IF(0=LEN(ReferenceData!$AN$128),"",ReferenceData!$AN$128),"")</f>
        <v/>
      </c>
      <c r="AO128" t="str">
        <f ca="1">IFERROR(IF(0=LEN(ReferenceData!$AO$128),"",ReferenceData!$AO$128),"")</f>
        <v/>
      </c>
      <c r="AP128" t="str">
        <f ca="1">IFERROR(IF(0=LEN(ReferenceData!$AP$128),"",ReferenceData!$AP$128),"")</f>
        <v/>
      </c>
      <c r="AQ128" t="str">
        <f ca="1">IFERROR(IF(0=LEN(ReferenceData!$AQ$128),"",ReferenceData!$AQ$128),"")</f>
        <v/>
      </c>
      <c r="AR128" t="str">
        <f ca="1">IFERROR(IF(0=LEN(ReferenceData!$AR$128),"",ReferenceData!$AR$128),"")</f>
        <v/>
      </c>
      <c r="AS128" t="str">
        <f ca="1">IFERROR(IF(0=LEN(ReferenceData!$AS$128),"",ReferenceData!$AS$128),"")</f>
        <v/>
      </c>
    </row>
    <row r="129" spans="1:45" x14ac:dyDescent="0.25">
      <c r="A129" t="str">
        <f>IFERROR(IF(0=LEN(ReferenceData!$A$129),"",ReferenceData!$A$129),"")</f>
        <v xml:space="preserve">        Sterling</v>
      </c>
      <c r="B129" t="str">
        <f>IFERROR(IF(0=LEN(ReferenceData!$B$129),"",ReferenceData!$B$129),"")</f>
        <v>DAI GR Equity</v>
      </c>
      <c r="C129" t="str">
        <f>IFERROR(IF(0=LEN(ReferenceData!$C$129),"",ReferenceData!$C$129),"")</f>
        <v/>
      </c>
      <c r="D129" t="str">
        <f>IFERROR(IF(0=LEN(ReferenceData!$D$129),"",ReferenceData!$D$129),"")</f>
        <v/>
      </c>
      <c r="E129" t="str">
        <f>IFERROR(IF(0=LEN(ReferenceData!$E$129),"",ReferenceData!$E$129),"")</f>
        <v>Expression</v>
      </c>
      <c r="F129" t="str">
        <f ca="1">IFERROR(IF(0=LEN(ReferenceData!$F$129),"",ReferenceData!$F$129),"")</f>
        <v/>
      </c>
      <c r="G129" t="str">
        <f ca="1">IFERROR(IF(0=LEN(ReferenceData!$G$129),"",ReferenceData!$G$129),"")</f>
        <v/>
      </c>
      <c r="H129" t="str">
        <f ca="1">IFERROR(IF(0=LEN(ReferenceData!$H$129),"",ReferenceData!$H$129),"")</f>
        <v/>
      </c>
      <c r="I129" t="str">
        <f ca="1">IFERROR(IF(0=LEN(ReferenceData!$I$129),"",ReferenceData!$I$129),"")</f>
        <v/>
      </c>
      <c r="J129" t="str">
        <f ca="1">IFERROR(IF(0=LEN(ReferenceData!$J$129),"",ReferenceData!$J$129),"")</f>
        <v/>
      </c>
      <c r="K129" t="str">
        <f ca="1">IFERROR(IF(0=LEN(ReferenceData!$K$129),"",ReferenceData!$K$129),"")</f>
        <v/>
      </c>
      <c r="L129" t="str">
        <f ca="1">IFERROR(IF(0=LEN(ReferenceData!$L$129),"",ReferenceData!$L$129),"")</f>
        <v/>
      </c>
      <c r="M129" t="str">
        <f ca="1">IFERROR(IF(0=LEN(ReferenceData!$M$129),"",ReferenceData!$M$129),"")</f>
        <v/>
      </c>
      <c r="N129" t="str">
        <f ca="1">IFERROR(IF(0=LEN(ReferenceData!$N$129),"",ReferenceData!$N$129),"")</f>
        <v/>
      </c>
      <c r="O129" t="str">
        <f ca="1">IFERROR(IF(0=LEN(ReferenceData!$O$129),"",ReferenceData!$O$129),"")</f>
        <v/>
      </c>
      <c r="P129" t="str">
        <f ca="1">IFERROR(IF(0=LEN(ReferenceData!$P$129),"",ReferenceData!$P$129),"")</f>
        <v/>
      </c>
      <c r="Q129" t="str">
        <f ca="1">IFERROR(IF(0=LEN(ReferenceData!$Q$129),"",ReferenceData!$Q$129),"")</f>
        <v/>
      </c>
      <c r="R129" t="str">
        <f ca="1">IFERROR(IF(0=LEN(ReferenceData!$R$129),"",ReferenceData!$R$129),"")</f>
        <v/>
      </c>
      <c r="S129" t="str">
        <f ca="1">IFERROR(IF(0=LEN(ReferenceData!$S$129),"",ReferenceData!$S$129),"")</f>
        <v/>
      </c>
      <c r="T129" t="str">
        <f ca="1">IFERROR(IF(0=LEN(ReferenceData!$T$129),"",ReferenceData!$T$129),"")</f>
        <v/>
      </c>
      <c r="U129" t="str">
        <f ca="1">IFERROR(IF(0=LEN(ReferenceData!$U$129),"",ReferenceData!$U$129),"")</f>
        <v/>
      </c>
      <c r="V129" t="str">
        <f ca="1">IFERROR(IF(0=LEN(ReferenceData!$V$129),"",ReferenceData!$V$129),"")</f>
        <v/>
      </c>
      <c r="W129" t="str">
        <f ca="1">IFERROR(IF(0=LEN(ReferenceData!$W$129),"",ReferenceData!$W$129),"")</f>
        <v/>
      </c>
      <c r="X129" t="str">
        <f ca="1">IFERROR(IF(0=LEN(ReferenceData!$X$129),"",ReferenceData!$X$129),"")</f>
        <v/>
      </c>
      <c r="Y129" t="str">
        <f ca="1">IFERROR(IF(0=LEN(ReferenceData!$Y$129),"",ReferenceData!$Y$129),"")</f>
        <v/>
      </c>
      <c r="Z129" t="str">
        <f ca="1">IFERROR(IF(0=LEN(ReferenceData!$Z$129),"",ReferenceData!$Z$129),"")</f>
        <v/>
      </c>
      <c r="AA129" t="str">
        <f ca="1">IFERROR(IF(0=LEN(ReferenceData!$AA$129),"",ReferenceData!$AA$129),"")</f>
        <v/>
      </c>
      <c r="AB129" t="str">
        <f ca="1">IFERROR(IF(0=LEN(ReferenceData!$AB$129),"",ReferenceData!$AB$129),"")</f>
        <v/>
      </c>
      <c r="AC129" t="str">
        <f ca="1">IFERROR(IF(0=LEN(ReferenceData!$AC$129),"",ReferenceData!$AC$129),"")</f>
        <v/>
      </c>
      <c r="AD129" t="str">
        <f ca="1">IFERROR(IF(0=LEN(ReferenceData!$AD$129),"",ReferenceData!$AD$129),"")</f>
        <v/>
      </c>
      <c r="AE129" t="str">
        <f ca="1">IFERROR(IF(0=LEN(ReferenceData!$AE$129),"",ReferenceData!$AE$129),"")</f>
        <v/>
      </c>
      <c r="AF129" t="str">
        <f ca="1">IFERROR(IF(0=LEN(ReferenceData!$AF$129),"",ReferenceData!$AF$129),"")</f>
        <v/>
      </c>
      <c r="AG129" t="str">
        <f ca="1">IFERROR(IF(0=LEN(ReferenceData!$AG$129),"",ReferenceData!$AG$129),"")</f>
        <v/>
      </c>
      <c r="AH129" t="str">
        <f ca="1">IFERROR(IF(0=LEN(ReferenceData!$AH$129),"",ReferenceData!$AH$129),"")</f>
        <v/>
      </c>
      <c r="AI129" t="str">
        <f ca="1">IFERROR(IF(0=LEN(ReferenceData!$AI$129),"",ReferenceData!$AI$129),"")</f>
        <v/>
      </c>
      <c r="AJ129" t="str">
        <f ca="1">IFERROR(IF(0=LEN(ReferenceData!$AJ$129),"",ReferenceData!$AJ$129),"")</f>
        <v/>
      </c>
      <c r="AK129" t="str">
        <f ca="1">IFERROR(IF(0=LEN(ReferenceData!$AK$129),"",ReferenceData!$AK$129),"")</f>
        <v/>
      </c>
      <c r="AL129" t="str">
        <f ca="1">IFERROR(IF(0=LEN(ReferenceData!$AL$129),"",ReferenceData!$AL$129),"")</f>
        <v/>
      </c>
      <c r="AM129" t="str">
        <f ca="1">IFERROR(IF(0=LEN(ReferenceData!$AM$129),"",ReferenceData!$AM$129),"")</f>
        <v/>
      </c>
      <c r="AN129" t="str">
        <f ca="1">IFERROR(IF(0=LEN(ReferenceData!$AN$129),"",ReferenceData!$AN$129),"")</f>
        <v/>
      </c>
      <c r="AO129" t="str">
        <f ca="1">IFERROR(IF(0=LEN(ReferenceData!$AO$129),"",ReferenceData!$AO$129),"")</f>
        <v/>
      </c>
      <c r="AP129" t="str">
        <f ca="1">IFERROR(IF(0=LEN(ReferenceData!$AP$129),"",ReferenceData!$AP$129),"")</f>
        <v/>
      </c>
      <c r="AQ129" t="str">
        <f ca="1">IFERROR(IF(0=LEN(ReferenceData!$AQ$129),"",ReferenceData!$AQ$129),"")</f>
        <v/>
      </c>
      <c r="AR129" t="str">
        <f ca="1">IFERROR(IF(0=LEN(ReferenceData!$AR$129),"",ReferenceData!$AR$129),"")</f>
        <v/>
      </c>
      <c r="AS129" t="str">
        <f ca="1">IFERROR(IF(0=LEN(ReferenceData!$AS$129),"",ReferenceData!$AS$129),"")</f>
        <v/>
      </c>
    </row>
    <row r="130" spans="1:45" x14ac:dyDescent="0.25">
      <c r="A130" t="str">
        <f>IFERROR(IF(0=LEN(ReferenceData!$A$130),"",ReferenceData!$A$130),"")</f>
        <v xml:space="preserve">        Western Star</v>
      </c>
      <c r="B130" t="str">
        <f>IFERROR(IF(0=LEN(ReferenceData!$B$130),"",ReferenceData!$B$130),"")</f>
        <v>DAI GR Equity</v>
      </c>
      <c r="C130" t="str">
        <f>IFERROR(IF(0=LEN(ReferenceData!$C$130),"",ReferenceData!$C$130),"")</f>
        <v/>
      </c>
      <c r="D130" t="str">
        <f>IFERROR(IF(0=LEN(ReferenceData!$D$130),"",ReferenceData!$D$130),"")</f>
        <v/>
      </c>
      <c r="E130" t="str">
        <f>IFERROR(IF(0=LEN(ReferenceData!$E$130),"",ReferenceData!$E$130),"")</f>
        <v>Expression</v>
      </c>
      <c r="F130" t="str">
        <f ca="1">IFERROR(IF(0=LEN(ReferenceData!$F$130),"",ReferenceData!$F$130),"")</f>
        <v/>
      </c>
      <c r="G130" t="str">
        <f ca="1">IFERROR(IF(0=LEN(ReferenceData!$G$130),"",ReferenceData!$G$130),"")</f>
        <v/>
      </c>
      <c r="H130" t="str">
        <f ca="1">IFERROR(IF(0=LEN(ReferenceData!$H$130),"",ReferenceData!$H$130),"")</f>
        <v/>
      </c>
      <c r="I130" t="str">
        <f ca="1">IFERROR(IF(0=LEN(ReferenceData!$I$130),"",ReferenceData!$I$130),"")</f>
        <v/>
      </c>
      <c r="J130" t="str">
        <f ca="1">IFERROR(IF(0=LEN(ReferenceData!$J$130),"",ReferenceData!$J$130),"")</f>
        <v/>
      </c>
      <c r="K130" t="str">
        <f ca="1">IFERROR(IF(0=LEN(ReferenceData!$K$130),"",ReferenceData!$K$130),"")</f>
        <v/>
      </c>
      <c r="L130" t="str">
        <f ca="1">IFERROR(IF(0=LEN(ReferenceData!$L$130),"",ReferenceData!$L$130),"")</f>
        <v/>
      </c>
      <c r="M130" t="str">
        <f ca="1">IFERROR(IF(0=LEN(ReferenceData!$M$130),"",ReferenceData!$M$130),"")</f>
        <v/>
      </c>
      <c r="N130" t="str">
        <f ca="1">IFERROR(IF(0=LEN(ReferenceData!$N$130),"",ReferenceData!$N$130),"")</f>
        <v/>
      </c>
      <c r="O130" t="str">
        <f ca="1">IFERROR(IF(0=LEN(ReferenceData!$O$130),"",ReferenceData!$O$130),"")</f>
        <v/>
      </c>
      <c r="P130" t="str">
        <f ca="1">IFERROR(IF(0=LEN(ReferenceData!$P$130),"",ReferenceData!$P$130),"")</f>
        <v/>
      </c>
      <c r="Q130" t="str">
        <f ca="1">IFERROR(IF(0=LEN(ReferenceData!$Q$130),"",ReferenceData!$Q$130),"")</f>
        <v/>
      </c>
      <c r="R130" t="str">
        <f ca="1">IFERROR(IF(0=LEN(ReferenceData!$R$130),"",ReferenceData!$R$130),"")</f>
        <v/>
      </c>
      <c r="S130" t="str">
        <f ca="1">IFERROR(IF(0=LEN(ReferenceData!$S$130),"",ReferenceData!$S$130),"")</f>
        <v/>
      </c>
      <c r="T130" t="str">
        <f ca="1">IFERROR(IF(0=LEN(ReferenceData!$T$130),"",ReferenceData!$T$130),"")</f>
        <v/>
      </c>
      <c r="U130" t="str">
        <f ca="1">IFERROR(IF(0=LEN(ReferenceData!$U$130),"",ReferenceData!$U$130),"")</f>
        <v/>
      </c>
      <c r="V130" t="str">
        <f ca="1">IFERROR(IF(0=LEN(ReferenceData!$V$130),"",ReferenceData!$V$130),"")</f>
        <v/>
      </c>
      <c r="W130" t="str">
        <f ca="1">IFERROR(IF(0=LEN(ReferenceData!$W$130),"",ReferenceData!$W$130),"")</f>
        <v/>
      </c>
      <c r="X130" t="str">
        <f ca="1">IFERROR(IF(0=LEN(ReferenceData!$X$130),"",ReferenceData!$X$130),"")</f>
        <v/>
      </c>
      <c r="Y130" t="str">
        <f ca="1">IFERROR(IF(0=LEN(ReferenceData!$Y$130),"",ReferenceData!$Y$130),"")</f>
        <v/>
      </c>
      <c r="Z130" t="str">
        <f ca="1">IFERROR(IF(0=LEN(ReferenceData!$Z$130),"",ReferenceData!$Z$130),"")</f>
        <v/>
      </c>
      <c r="AA130" t="str">
        <f ca="1">IFERROR(IF(0=LEN(ReferenceData!$AA$130),"",ReferenceData!$AA$130),"")</f>
        <v/>
      </c>
      <c r="AB130" t="str">
        <f ca="1">IFERROR(IF(0=LEN(ReferenceData!$AB$130),"",ReferenceData!$AB$130),"")</f>
        <v/>
      </c>
      <c r="AC130" t="str">
        <f ca="1">IFERROR(IF(0=LEN(ReferenceData!$AC$130),"",ReferenceData!$AC$130),"")</f>
        <v/>
      </c>
      <c r="AD130" t="str">
        <f ca="1">IFERROR(IF(0=LEN(ReferenceData!$AD$130),"",ReferenceData!$AD$130),"")</f>
        <v/>
      </c>
      <c r="AE130" t="str">
        <f ca="1">IFERROR(IF(0=LEN(ReferenceData!$AE$130),"",ReferenceData!$AE$130),"")</f>
        <v/>
      </c>
      <c r="AF130" t="str">
        <f ca="1">IFERROR(IF(0=LEN(ReferenceData!$AF$130),"",ReferenceData!$AF$130),"")</f>
        <v/>
      </c>
      <c r="AG130" t="str">
        <f ca="1">IFERROR(IF(0=LEN(ReferenceData!$AG$130),"",ReferenceData!$AG$130),"")</f>
        <v/>
      </c>
      <c r="AH130" t="str">
        <f ca="1">IFERROR(IF(0=LEN(ReferenceData!$AH$130),"",ReferenceData!$AH$130),"")</f>
        <v/>
      </c>
      <c r="AI130" t="str">
        <f ca="1">IFERROR(IF(0=LEN(ReferenceData!$AI$130),"",ReferenceData!$AI$130),"")</f>
        <v/>
      </c>
      <c r="AJ130" t="str">
        <f ca="1">IFERROR(IF(0=LEN(ReferenceData!$AJ$130),"",ReferenceData!$AJ$130),"")</f>
        <v/>
      </c>
      <c r="AK130" t="str">
        <f ca="1">IFERROR(IF(0=LEN(ReferenceData!$AK$130),"",ReferenceData!$AK$130),"")</f>
        <v/>
      </c>
      <c r="AL130" t="str">
        <f ca="1">IFERROR(IF(0=LEN(ReferenceData!$AL$130),"",ReferenceData!$AL$130),"")</f>
        <v/>
      </c>
      <c r="AM130" t="str">
        <f ca="1">IFERROR(IF(0=LEN(ReferenceData!$AM$130),"",ReferenceData!$AM$130),"")</f>
        <v/>
      </c>
      <c r="AN130" t="str">
        <f ca="1">IFERROR(IF(0=LEN(ReferenceData!$AN$130),"",ReferenceData!$AN$130),"")</f>
        <v/>
      </c>
      <c r="AO130" t="str">
        <f ca="1">IFERROR(IF(0=LEN(ReferenceData!$AO$130),"",ReferenceData!$AO$130),"")</f>
        <v/>
      </c>
      <c r="AP130" t="str">
        <f ca="1">IFERROR(IF(0=LEN(ReferenceData!$AP$130),"",ReferenceData!$AP$130),"")</f>
        <v/>
      </c>
      <c r="AQ130" t="str">
        <f ca="1">IFERROR(IF(0=LEN(ReferenceData!$AQ$130),"",ReferenceData!$AQ$130),"")</f>
        <v/>
      </c>
      <c r="AR130" t="str">
        <f ca="1">IFERROR(IF(0=LEN(ReferenceData!$AR$130),"",ReferenceData!$AR$130),"")</f>
        <v/>
      </c>
      <c r="AS130" t="str">
        <f ca="1">IFERROR(IF(0=LEN(ReferenceData!$AS$130),"",ReferenceData!$AS$130),"")</f>
        <v/>
      </c>
    </row>
    <row r="131" spans="1:45" x14ac:dyDescent="0.25">
      <c r="A131" t="str">
        <f>IFERROR(IF(0=LEN(ReferenceData!$A$131),"",ReferenceData!$A$131),"")</f>
        <v xml:space="preserve">    Hino</v>
      </c>
      <c r="B131" t="str">
        <f>IFERROR(IF(0=LEN(ReferenceData!$B$131),"",ReferenceData!$B$131),"")</f>
        <v>7205 JP Equity</v>
      </c>
      <c r="C131" t="str">
        <f>IFERROR(IF(0=LEN(ReferenceData!$C$131),"",ReferenceData!$C$131),"")</f>
        <v/>
      </c>
      <c r="D131" t="str">
        <f>IFERROR(IF(0=LEN(ReferenceData!$D$131),"",ReferenceData!$D$131),"")</f>
        <v/>
      </c>
      <c r="E131" t="str">
        <f>IFERROR(IF(0=LEN(ReferenceData!$E$131),"",ReferenceData!$E$131),"")</f>
        <v>Expression</v>
      </c>
      <c r="F131">
        <f ca="1">IFERROR(IF(0=LEN(ReferenceData!$F$131),"",ReferenceData!$F$131),"")</f>
        <v>19.565217390000001</v>
      </c>
      <c r="G131">
        <f ca="1">IFERROR(IF(0=LEN(ReferenceData!$G$131),"",ReferenceData!$G$131),"")</f>
        <v>18.13602015</v>
      </c>
      <c r="H131">
        <f ca="1">IFERROR(IF(0=LEN(ReferenceData!$H$131),"",ReferenceData!$H$131),"")</f>
        <v>30.76923077</v>
      </c>
      <c r="I131">
        <f ca="1">IFERROR(IF(0=LEN(ReferenceData!$I$131),"",ReferenceData!$I$131),"")</f>
        <v>27.037773359999999</v>
      </c>
      <c r="J131">
        <f ca="1">IFERROR(IF(0=LEN(ReferenceData!$J$131),"",ReferenceData!$J$131),"")</f>
        <v>31.390134530000001</v>
      </c>
      <c r="K131">
        <f ca="1">IFERROR(IF(0=LEN(ReferenceData!$K$131),"",ReferenceData!$K$131),"")</f>
        <v>30.8411215</v>
      </c>
      <c r="L131">
        <f ca="1">IFERROR(IF(0=LEN(ReferenceData!$L$131),"",ReferenceData!$L$131),"")</f>
        <v>27.050610819999999</v>
      </c>
      <c r="M131">
        <f ca="1">IFERROR(IF(0=LEN(ReferenceData!$M$131),"",ReferenceData!$M$131),"")</f>
        <v>29.211087419999998</v>
      </c>
      <c r="N131">
        <f ca="1">IFERROR(IF(0=LEN(ReferenceData!$N$131),"",ReferenceData!$N$131),"")</f>
        <v>30.866807609999999</v>
      </c>
      <c r="O131">
        <f ca="1">IFERROR(IF(0=LEN(ReferenceData!$O$131),"",ReferenceData!$O$131),"")</f>
        <v>36.792452830000002</v>
      </c>
      <c r="P131">
        <f ca="1">IFERROR(IF(0=LEN(ReferenceData!$P$131),"",ReferenceData!$P$131),"")</f>
        <v>29.757785470000002</v>
      </c>
      <c r="Q131">
        <f ca="1">IFERROR(IF(0=LEN(ReferenceData!$Q$131),"",ReferenceData!$Q$131),"")</f>
        <v>27.386934669999999</v>
      </c>
      <c r="R131">
        <f ca="1">IFERROR(IF(0=LEN(ReferenceData!$R$131),"",ReferenceData!$R$131),"")</f>
        <v>24.934383199999999</v>
      </c>
      <c r="S131">
        <f ca="1">IFERROR(IF(0=LEN(ReferenceData!$S$131),"",ReferenceData!$S$131),"")</f>
        <v>16.3029525</v>
      </c>
      <c r="T131">
        <f ca="1">IFERROR(IF(0=LEN(ReferenceData!$T$131),"",ReferenceData!$T$131),"")</f>
        <v>18.039215689999999</v>
      </c>
      <c r="U131">
        <f ca="1">IFERROR(IF(0=LEN(ReferenceData!$U$131),"",ReferenceData!$U$131),"")</f>
        <v>34.306569340000003</v>
      </c>
      <c r="V131">
        <f ca="1">IFERROR(IF(0=LEN(ReferenceData!$V$131),"",ReferenceData!$V$131),"")</f>
        <v>23.502304150000001</v>
      </c>
      <c r="W131">
        <f ca="1">IFERROR(IF(0=LEN(ReferenceData!$W$131),"",ReferenceData!$W$131),"")</f>
        <v>33.183856499999997</v>
      </c>
      <c r="X131">
        <f ca="1">IFERROR(IF(0=LEN(ReferenceData!$X$131),"",ReferenceData!$X$131),"")</f>
        <v>23.25581395</v>
      </c>
      <c r="Y131">
        <f ca="1">IFERROR(IF(0=LEN(ReferenceData!$Y$131),"",ReferenceData!$Y$131),"")</f>
        <v>23.059360730000002</v>
      </c>
      <c r="Z131">
        <f ca="1">IFERROR(IF(0=LEN(ReferenceData!$Z$131),"",ReferenceData!$Z$131),"")</f>
        <v>25.051759830000002</v>
      </c>
      <c r="AA131">
        <f ca="1">IFERROR(IF(0=LEN(ReferenceData!$AA$131),"",ReferenceData!$AA$131),"")</f>
        <v>30.311614729999999</v>
      </c>
      <c r="AB131">
        <f ca="1">IFERROR(IF(0=LEN(ReferenceData!$AB$131),"",ReferenceData!$AB$131),"")</f>
        <v>30.051813469999999</v>
      </c>
      <c r="AC131">
        <f ca="1">IFERROR(IF(0=LEN(ReferenceData!$AC$131),"",ReferenceData!$AC$131),"")</f>
        <v>28.81355932</v>
      </c>
      <c r="AD131">
        <f ca="1">IFERROR(IF(0=LEN(ReferenceData!$AD$131),"",ReferenceData!$AD$131),"")</f>
        <v>18.067226890000001</v>
      </c>
      <c r="AE131">
        <f ca="1">IFERROR(IF(0=LEN(ReferenceData!$AE$131),"",ReferenceData!$AE$131),"")</f>
        <v>7.5453677170000004</v>
      </c>
      <c r="AF131">
        <f ca="1">IFERROR(IF(0=LEN(ReferenceData!$AF$131),"",ReferenceData!$AF$131),"")</f>
        <v>20.388349510000001</v>
      </c>
      <c r="AG131">
        <f ca="1">IFERROR(IF(0=LEN(ReferenceData!$AG$131),"",ReferenceData!$AG$131),"")</f>
        <v>19.583333329999999</v>
      </c>
      <c r="AH131">
        <f ca="1">IFERROR(IF(0=LEN(ReferenceData!$AH$131),"",ReferenceData!$AH$131),"")</f>
        <v>18.99441341</v>
      </c>
      <c r="AI131">
        <f ca="1">IFERROR(IF(0=LEN(ReferenceData!$AI$131),"",ReferenceData!$AI$131),"")</f>
        <v>15.823817289999999</v>
      </c>
      <c r="AJ131">
        <f ca="1">IFERROR(IF(0=LEN(ReferenceData!$AJ$131),"",ReferenceData!$AJ$131),"")</f>
        <v>19.61538462</v>
      </c>
      <c r="AK131">
        <f ca="1">IFERROR(IF(0=LEN(ReferenceData!$AK$131),"",ReferenceData!$AK$131),"")</f>
        <v>15.86452763</v>
      </c>
      <c r="AL131">
        <f ca="1">IFERROR(IF(0=LEN(ReferenceData!$AL$131),"",ReferenceData!$AL$131),"")</f>
        <v>13.0859375</v>
      </c>
      <c r="AM131">
        <f ca="1">IFERROR(IF(0=LEN(ReferenceData!$AM$131),"",ReferenceData!$AM$131),"")</f>
        <v>17.55102041</v>
      </c>
      <c r="AN131">
        <f ca="1">IFERROR(IF(0=LEN(ReferenceData!$AN$131),"",ReferenceData!$AN$131),"")</f>
        <v>18.906605920000001</v>
      </c>
      <c r="AO131">
        <f ca="1">IFERROR(IF(0=LEN(ReferenceData!$AO$131),"",ReferenceData!$AO$131),"")</f>
        <v>19.814241490000001</v>
      </c>
      <c r="AP131">
        <f ca="1">IFERROR(IF(0=LEN(ReferenceData!$AP$131),"",ReferenceData!$AP$131),"")</f>
        <v>13.00191205</v>
      </c>
      <c r="AQ131">
        <f ca="1">IFERROR(IF(0=LEN(ReferenceData!$AQ$131),"",ReferenceData!$AQ$131),"")</f>
        <v>7.8976640710000003</v>
      </c>
      <c r="AR131">
        <f ca="1">IFERROR(IF(0=LEN(ReferenceData!$AR$131),"",ReferenceData!$AR$131),"")</f>
        <v>14.94845361</v>
      </c>
      <c r="AS131">
        <f ca="1">IFERROR(IF(0=LEN(ReferenceData!$AS$131),"",ReferenceData!$AS$131),"")</f>
        <v>16.781609199999998</v>
      </c>
    </row>
    <row r="132" spans="1:45" x14ac:dyDescent="0.25">
      <c r="A132" t="str">
        <f>IFERROR(IF(0=LEN(ReferenceData!$A$132),"",ReferenceData!$A$132),"")</f>
        <v xml:space="preserve">    Ford</v>
      </c>
      <c r="B132" t="str">
        <f>IFERROR(IF(0=LEN(ReferenceData!$B$132),"",ReferenceData!$B$132),"")</f>
        <v>F US Equity</v>
      </c>
      <c r="C132" t="str">
        <f>IFERROR(IF(0=LEN(ReferenceData!$C$132),"",ReferenceData!$C$132),"")</f>
        <v/>
      </c>
      <c r="D132" t="str">
        <f>IFERROR(IF(0=LEN(ReferenceData!$D$132),"",ReferenceData!$D$132),"")</f>
        <v/>
      </c>
      <c r="E132" t="str">
        <f>IFERROR(IF(0=LEN(ReferenceData!$E$132),"",ReferenceData!$E$132),"")</f>
        <v>Expression</v>
      </c>
      <c r="F132">
        <f ca="1">IFERROR(IF(0=LEN(ReferenceData!$F$132),"",ReferenceData!$F$132),"")</f>
        <v>2.1739130430000002</v>
      </c>
      <c r="G132">
        <f ca="1">IFERROR(IF(0=LEN(ReferenceData!$G$132),"",ReferenceData!$G$132),"")</f>
        <v>2.267002519</v>
      </c>
      <c r="H132">
        <f ca="1">IFERROR(IF(0=LEN(ReferenceData!$H$132),"",ReferenceData!$H$132),"")</f>
        <v>3.3333333330000001</v>
      </c>
      <c r="I132">
        <f ca="1">IFERROR(IF(0=LEN(ReferenceData!$I$132),"",ReferenceData!$I$132),"")</f>
        <v>3.777335984</v>
      </c>
      <c r="J132">
        <f ca="1">IFERROR(IF(0=LEN(ReferenceData!$J$132),"",ReferenceData!$J$132),"")</f>
        <v>4.2600896859999997</v>
      </c>
      <c r="K132">
        <f ca="1">IFERROR(IF(0=LEN(ReferenceData!$K$132),"",ReferenceData!$K$132),"")</f>
        <v>2.0560747660000001</v>
      </c>
      <c r="L132">
        <f ca="1">IFERROR(IF(0=LEN(ReferenceData!$L$132),"",ReferenceData!$L$132),"")</f>
        <v>2.7923211170000002</v>
      </c>
      <c r="M132">
        <f ca="1">IFERROR(IF(0=LEN(ReferenceData!$M$132),"",ReferenceData!$M$132),"")</f>
        <v>1.4925373129999999</v>
      </c>
      <c r="N132">
        <f ca="1">IFERROR(IF(0=LEN(ReferenceData!$N$132),"",ReferenceData!$N$132),"")</f>
        <v>4.22832981</v>
      </c>
      <c r="O132">
        <f ca="1">IFERROR(IF(0=LEN(ReferenceData!$O$132),"",ReferenceData!$O$132),"")</f>
        <v>2.2012578619999998</v>
      </c>
      <c r="P132">
        <f ca="1">IFERROR(IF(0=LEN(ReferenceData!$P$132),"",ReferenceData!$P$132),"")</f>
        <v>3.460207612</v>
      </c>
      <c r="Q132">
        <f ca="1">IFERROR(IF(0=LEN(ReferenceData!$Q$132),"",ReferenceData!$Q$132),"")</f>
        <v>5.5276381910000003</v>
      </c>
      <c r="R132">
        <f ca="1">IFERROR(IF(0=LEN(ReferenceData!$R$132),"",ReferenceData!$R$132),"")</f>
        <v>2.624671916</v>
      </c>
      <c r="S132">
        <f ca="1">IFERROR(IF(0=LEN(ReferenceData!$S$132),"",ReferenceData!$S$132),"")</f>
        <v>2.4390243900000002</v>
      </c>
      <c r="T132">
        <f ca="1">IFERROR(IF(0=LEN(ReferenceData!$T$132),"",ReferenceData!$T$132),"")</f>
        <v>0.98039215700000004</v>
      </c>
      <c r="U132">
        <f ca="1">IFERROR(IF(0=LEN(ReferenceData!$U$132),"",ReferenceData!$U$132),"")</f>
        <v>1.7031630170000001</v>
      </c>
      <c r="V132">
        <f ca="1">IFERROR(IF(0=LEN(ReferenceData!$V$132),"",ReferenceData!$V$132),"")</f>
        <v>4.3778801840000003</v>
      </c>
      <c r="W132">
        <f ca="1">IFERROR(IF(0=LEN(ReferenceData!$W$132),"",ReferenceData!$W$132),"")</f>
        <v>5.829596413</v>
      </c>
      <c r="X132">
        <f ca="1">IFERROR(IF(0=LEN(ReferenceData!$X$132),"",ReferenceData!$X$132),"")</f>
        <v>3.1007751940000001</v>
      </c>
      <c r="Y132">
        <f ca="1">IFERROR(IF(0=LEN(ReferenceData!$Y$132),"",ReferenceData!$Y$132),"")</f>
        <v>3.4246575340000001</v>
      </c>
      <c r="Z132">
        <f ca="1">IFERROR(IF(0=LEN(ReferenceData!$Z$132),"",ReferenceData!$Z$132),"")</f>
        <v>2.8985507250000002</v>
      </c>
      <c r="AA132">
        <f ca="1">IFERROR(IF(0=LEN(ReferenceData!$AA$132),"",ReferenceData!$AA$132),"")</f>
        <v>2.83286119</v>
      </c>
      <c r="AB132">
        <f ca="1">IFERROR(IF(0=LEN(ReferenceData!$AB$132),"",ReferenceData!$AB$132),"")</f>
        <v>4.1450777199999997</v>
      </c>
      <c r="AC132">
        <f ca="1">IFERROR(IF(0=LEN(ReferenceData!$AC$132),"",ReferenceData!$AC$132),"")</f>
        <v>3.3898305080000002</v>
      </c>
      <c r="AD132">
        <f ca="1">IFERROR(IF(0=LEN(ReferenceData!$AD$132),"",ReferenceData!$AD$132),"")</f>
        <v>1.680672269</v>
      </c>
      <c r="AE132">
        <f ca="1">IFERROR(IF(0=LEN(ReferenceData!$AE$132),"",ReferenceData!$AE$132),"")</f>
        <v>9.5510983999999993E-2</v>
      </c>
      <c r="AF132">
        <f ca="1">IFERROR(IF(0=LEN(ReferenceData!$AF$132),"",ReferenceData!$AF$132),"")</f>
        <v>0.48543689299999998</v>
      </c>
      <c r="AG132">
        <f ca="1">IFERROR(IF(0=LEN(ReferenceData!$AG$132),"",ReferenceData!$AG$132),"")</f>
        <v>1.25</v>
      </c>
      <c r="AH132">
        <f ca="1">IFERROR(IF(0=LEN(ReferenceData!$AH$132),"",ReferenceData!$AH$132),"")</f>
        <v>1.4897579139999999</v>
      </c>
      <c r="AI132">
        <f ca="1">IFERROR(IF(0=LEN(ReferenceData!$AI$132),"",ReferenceData!$AI$132),"")</f>
        <v>1.4681892329999999</v>
      </c>
      <c r="AJ132">
        <f ca="1">IFERROR(IF(0=LEN(ReferenceData!$AJ$132),"",ReferenceData!$AJ$132),"")</f>
        <v>1.538461538</v>
      </c>
      <c r="AK132">
        <f ca="1">IFERROR(IF(0=LEN(ReferenceData!$AK$132),"",ReferenceData!$AK$132),"")</f>
        <v>2.3172905529999999</v>
      </c>
      <c r="AL132">
        <f ca="1">IFERROR(IF(0=LEN(ReferenceData!$AL$132),"",ReferenceData!$AL$132),"")</f>
        <v>0.78125</v>
      </c>
      <c r="AM132">
        <f ca="1">IFERROR(IF(0=LEN(ReferenceData!$AM$132),"",ReferenceData!$AM$132),"")</f>
        <v>3.673469388</v>
      </c>
      <c r="AN132">
        <f ca="1">IFERROR(IF(0=LEN(ReferenceData!$AN$132),"",ReferenceData!$AN$132),"")</f>
        <v>3.416856492</v>
      </c>
      <c r="AO132">
        <f ca="1">IFERROR(IF(0=LEN(ReferenceData!$AO$132),"",ReferenceData!$AO$132),"")</f>
        <v>3.4055727550000001</v>
      </c>
      <c r="AP132">
        <f ca="1">IFERROR(IF(0=LEN(ReferenceData!$AP$132),"",ReferenceData!$AP$132),"")</f>
        <v>2.1032504780000001</v>
      </c>
      <c r="AQ132">
        <f ca="1">IFERROR(IF(0=LEN(ReferenceData!$AQ$132),"",ReferenceData!$AQ$132),"")</f>
        <v>1.4460511680000001</v>
      </c>
      <c r="AR132">
        <f ca="1">IFERROR(IF(0=LEN(ReferenceData!$AR$132),"",ReferenceData!$AR$132),"")</f>
        <v>4.8969072159999998</v>
      </c>
      <c r="AS132">
        <f ca="1">IFERROR(IF(0=LEN(ReferenceData!$AS$132),"",ReferenceData!$AS$132),"")</f>
        <v>2.7586206899999999</v>
      </c>
    </row>
    <row r="133" spans="1:45" x14ac:dyDescent="0.25">
      <c r="A133" t="str">
        <f>IFERROR(IF(0=LEN(ReferenceData!$A$133),"",ReferenceData!$A$133),"")</f>
        <v xml:space="preserve">    Isuzu</v>
      </c>
      <c r="B133" t="str">
        <f>IFERROR(IF(0=LEN(ReferenceData!$B$133),"",ReferenceData!$B$133),"")</f>
        <v>7202 JP Equity</v>
      </c>
      <c r="C133" t="str">
        <f>IFERROR(IF(0=LEN(ReferenceData!$C$133),"",ReferenceData!$C$133),"")</f>
        <v/>
      </c>
      <c r="D133" t="str">
        <f>IFERROR(IF(0=LEN(ReferenceData!$D$133),"",ReferenceData!$D$133),"")</f>
        <v/>
      </c>
      <c r="E133" t="str">
        <f>IFERROR(IF(0=LEN(ReferenceData!$E$133),"",ReferenceData!$E$133),"")</f>
        <v>Expression</v>
      </c>
      <c r="F133">
        <f ca="1">IFERROR(IF(0=LEN(ReferenceData!$F$133),"",ReferenceData!$F$133),"")</f>
        <v>0.33444816100000002</v>
      </c>
      <c r="G133">
        <f ca="1">IFERROR(IF(0=LEN(ReferenceData!$G$133),"",ReferenceData!$G$133),"")</f>
        <v>0.125944584</v>
      </c>
      <c r="H133">
        <f ca="1">IFERROR(IF(0=LEN(ReferenceData!$H$133),"",ReferenceData!$H$133),"")</f>
        <v>0.256410256</v>
      </c>
      <c r="I133">
        <f ca="1">IFERROR(IF(0=LEN(ReferenceData!$I$133),"",ReferenceData!$I$133),"")</f>
        <v>0</v>
      </c>
      <c r="J133">
        <f ca="1">IFERROR(IF(0=LEN(ReferenceData!$J$133),"",ReferenceData!$J$133),"")</f>
        <v>0</v>
      </c>
      <c r="K133">
        <f ca="1">IFERROR(IF(0=LEN(ReferenceData!$K$133),"",ReferenceData!$K$133),"")</f>
        <v>0</v>
      </c>
      <c r="L133">
        <f ca="1">IFERROR(IF(0=LEN(ReferenceData!$L$133),"",ReferenceData!$L$133),"")</f>
        <v>0</v>
      </c>
      <c r="M133">
        <f ca="1">IFERROR(IF(0=LEN(ReferenceData!$M$133),"",ReferenceData!$M$133),"")</f>
        <v>0</v>
      </c>
      <c r="N133">
        <f ca="1">IFERROR(IF(0=LEN(ReferenceData!$N$133),"",ReferenceData!$N$133),"")</f>
        <v>0</v>
      </c>
      <c r="O133">
        <f ca="1">IFERROR(IF(0=LEN(ReferenceData!$O$133),"",ReferenceData!$O$133),"")</f>
        <v>0</v>
      </c>
      <c r="P133">
        <f ca="1">IFERROR(IF(0=LEN(ReferenceData!$P$133),"",ReferenceData!$P$133),"")</f>
        <v>0</v>
      </c>
      <c r="Q133">
        <f ca="1">IFERROR(IF(0=LEN(ReferenceData!$Q$133),"",ReferenceData!$Q$133),"")</f>
        <v>0</v>
      </c>
      <c r="R133">
        <f ca="1">IFERROR(IF(0=LEN(ReferenceData!$R$133),"",ReferenceData!$R$133),"")</f>
        <v>0</v>
      </c>
      <c r="S133">
        <f ca="1">IFERROR(IF(0=LEN(ReferenceData!$S$133),"",ReferenceData!$S$133),"")</f>
        <v>0</v>
      </c>
      <c r="T133">
        <f ca="1">IFERROR(IF(0=LEN(ReferenceData!$T$133),"",ReferenceData!$T$133),"")</f>
        <v>0</v>
      </c>
      <c r="U133">
        <f ca="1">IFERROR(IF(0=LEN(ReferenceData!$U$133),"",ReferenceData!$U$133),"")</f>
        <v>0</v>
      </c>
      <c r="V133">
        <f ca="1">IFERROR(IF(0=LEN(ReferenceData!$V$133),"",ReferenceData!$V$133),"")</f>
        <v>0</v>
      </c>
      <c r="W133">
        <f ca="1">IFERROR(IF(0=LEN(ReferenceData!$W$133),"",ReferenceData!$W$133),"")</f>
        <v>0</v>
      </c>
      <c r="X133">
        <f ca="1">IFERROR(IF(0=LEN(ReferenceData!$X$133),"",ReferenceData!$X$133),"")</f>
        <v>0</v>
      </c>
      <c r="Y133">
        <f ca="1">IFERROR(IF(0=LEN(ReferenceData!$Y$133),"",ReferenceData!$Y$133),"")</f>
        <v>0</v>
      </c>
      <c r="Z133">
        <f ca="1">IFERROR(IF(0=LEN(ReferenceData!$Z$133),"",ReferenceData!$Z$133),"")</f>
        <v>0</v>
      </c>
      <c r="AA133">
        <f ca="1">IFERROR(IF(0=LEN(ReferenceData!$AA$133),"",ReferenceData!$AA$133),"")</f>
        <v>0</v>
      </c>
      <c r="AB133" t="str">
        <f ca="1">IFERROR(IF(0=LEN(ReferenceData!$AB$133),"",ReferenceData!$AB$133),"")</f>
        <v/>
      </c>
      <c r="AC133" t="str">
        <f ca="1">IFERROR(IF(0=LEN(ReferenceData!$AC$133),"",ReferenceData!$AC$133),"")</f>
        <v/>
      </c>
      <c r="AD133" t="str">
        <f ca="1">IFERROR(IF(0=LEN(ReferenceData!$AD$133),"",ReferenceData!$AD$133),"")</f>
        <v/>
      </c>
      <c r="AE133" t="str">
        <f ca="1">IFERROR(IF(0=LEN(ReferenceData!$AE$133),"",ReferenceData!$AE$133),"")</f>
        <v/>
      </c>
      <c r="AF133" t="str">
        <f ca="1">IFERROR(IF(0=LEN(ReferenceData!$AF$133),"",ReferenceData!$AF$133),"")</f>
        <v/>
      </c>
      <c r="AG133" t="str">
        <f ca="1">IFERROR(IF(0=LEN(ReferenceData!$AG$133),"",ReferenceData!$AG$133),"")</f>
        <v/>
      </c>
      <c r="AH133" t="str">
        <f ca="1">IFERROR(IF(0=LEN(ReferenceData!$AH$133),"",ReferenceData!$AH$133),"")</f>
        <v/>
      </c>
      <c r="AI133" t="str">
        <f ca="1">IFERROR(IF(0=LEN(ReferenceData!$AI$133),"",ReferenceData!$AI$133),"")</f>
        <v/>
      </c>
      <c r="AJ133" t="str">
        <f ca="1">IFERROR(IF(0=LEN(ReferenceData!$AJ$133),"",ReferenceData!$AJ$133),"")</f>
        <v/>
      </c>
      <c r="AK133" t="str">
        <f ca="1">IFERROR(IF(0=LEN(ReferenceData!$AK$133),"",ReferenceData!$AK$133),"")</f>
        <v/>
      </c>
      <c r="AL133" t="str">
        <f ca="1">IFERROR(IF(0=LEN(ReferenceData!$AL$133),"",ReferenceData!$AL$133),"")</f>
        <v/>
      </c>
      <c r="AM133" t="str">
        <f ca="1">IFERROR(IF(0=LEN(ReferenceData!$AM$133),"",ReferenceData!$AM$133),"")</f>
        <v/>
      </c>
      <c r="AN133" t="str">
        <f ca="1">IFERROR(IF(0=LEN(ReferenceData!$AN$133),"",ReferenceData!$AN$133),"")</f>
        <v/>
      </c>
      <c r="AO133" t="str">
        <f ca="1">IFERROR(IF(0=LEN(ReferenceData!$AO$133),"",ReferenceData!$AO$133),"")</f>
        <v/>
      </c>
      <c r="AP133" t="str">
        <f ca="1">IFERROR(IF(0=LEN(ReferenceData!$AP$133),"",ReferenceData!$AP$133),"")</f>
        <v/>
      </c>
      <c r="AQ133" t="str">
        <f ca="1">IFERROR(IF(0=LEN(ReferenceData!$AQ$133),"",ReferenceData!$AQ$133),"")</f>
        <v/>
      </c>
      <c r="AR133" t="str">
        <f ca="1">IFERROR(IF(0=LEN(ReferenceData!$AR$133),"",ReferenceData!$AR$133),"")</f>
        <v/>
      </c>
      <c r="AS133" t="str">
        <f ca="1">IFERROR(IF(0=LEN(ReferenceData!$AS$133),"",ReferenceData!$AS$133),"")</f>
        <v/>
      </c>
    </row>
    <row r="134" spans="1:45" x14ac:dyDescent="0.25">
      <c r="A134" t="str">
        <f>IFERROR(IF(0=LEN(ReferenceData!$A$134),"",ReferenceData!$A$134),"")</f>
        <v xml:space="preserve">    General Motors</v>
      </c>
      <c r="B134" t="str">
        <f>IFERROR(IF(0=LEN(ReferenceData!$B$134),"",ReferenceData!$B$134),"")</f>
        <v>MTLQQ US Equity</v>
      </c>
      <c r="C134" t="str">
        <f>IFERROR(IF(0=LEN(ReferenceData!$C$134),"",ReferenceData!$C$134),"")</f>
        <v/>
      </c>
      <c r="D134" t="str">
        <f>IFERROR(IF(0=LEN(ReferenceData!$D$134),"",ReferenceData!$D$134),"")</f>
        <v/>
      </c>
      <c r="E134" t="str">
        <f>IFERROR(IF(0=LEN(ReferenceData!$E$134),"",ReferenceData!$E$134),"")</f>
        <v>Sum</v>
      </c>
      <c r="F134" t="str">
        <f ca="1">IFERROR(IF(0=LEN(ReferenceData!$F$134),"",ReferenceData!$F$134),"")</f>
        <v/>
      </c>
      <c r="G134" t="str">
        <f ca="1">IFERROR(IF(0=LEN(ReferenceData!$G$134),"",ReferenceData!$G$134),"")</f>
        <v/>
      </c>
      <c r="H134" t="str">
        <f ca="1">IFERROR(IF(0=LEN(ReferenceData!$H$134),"",ReferenceData!$H$134),"")</f>
        <v/>
      </c>
      <c r="I134" t="str">
        <f ca="1">IFERROR(IF(0=LEN(ReferenceData!$I$134),"",ReferenceData!$I$134),"")</f>
        <v/>
      </c>
      <c r="J134" t="str">
        <f ca="1">IFERROR(IF(0=LEN(ReferenceData!$J$134),"",ReferenceData!$J$134),"")</f>
        <v/>
      </c>
      <c r="K134" t="str">
        <f ca="1">IFERROR(IF(0=LEN(ReferenceData!$K$134),"",ReferenceData!$K$134),"")</f>
        <v/>
      </c>
      <c r="L134" t="str">
        <f ca="1">IFERROR(IF(0=LEN(ReferenceData!$L$134),"",ReferenceData!$L$134),"")</f>
        <v/>
      </c>
      <c r="M134" t="str">
        <f ca="1">IFERROR(IF(0=LEN(ReferenceData!$M$134),"",ReferenceData!$M$134),"")</f>
        <v/>
      </c>
      <c r="N134" t="str">
        <f ca="1">IFERROR(IF(0=LEN(ReferenceData!$N$134),"",ReferenceData!$N$134),"")</f>
        <v/>
      </c>
      <c r="O134" t="str">
        <f ca="1">IFERROR(IF(0=LEN(ReferenceData!$O$134),"",ReferenceData!$O$134),"")</f>
        <v/>
      </c>
      <c r="P134" t="str">
        <f ca="1">IFERROR(IF(0=LEN(ReferenceData!$P$134),"",ReferenceData!$P$134),"")</f>
        <v/>
      </c>
      <c r="Q134" t="str">
        <f ca="1">IFERROR(IF(0=LEN(ReferenceData!$Q$134),"",ReferenceData!$Q$134),"")</f>
        <v/>
      </c>
      <c r="R134" t="str">
        <f ca="1">IFERROR(IF(0=LEN(ReferenceData!$R$134),"",ReferenceData!$R$134),"")</f>
        <v/>
      </c>
      <c r="S134" t="str">
        <f ca="1">IFERROR(IF(0=LEN(ReferenceData!$S$134),"",ReferenceData!$S$134),"")</f>
        <v/>
      </c>
      <c r="T134" t="str">
        <f ca="1">IFERROR(IF(0=LEN(ReferenceData!$T$134),"",ReferenceData!$T$134),"")</f>
        <v/>
      </c>
      <c r="U134" t="str">
        <f ca="1">IFERROR(IF(0=LEN(ReferenceData!$U$134),"",ReferenceData!$U$134),"")</f>
        <v/>
      </c>
      <c r="V134" t="str">
        <f ca="1">IFERROR(IF(0=LEN(ReferenceData!$V$134),"",ReferenceData!$V$134),"")</f>
        <v/>
      </c>
      <c r="W134" t="str">
        <f ca="1">IFERROR(IF(0=LEN(ReferenceData!$W$134),"",ReferenceData!$W$134),"")</f>
        <v/>
      </c>
      <c r="X134" t="str">
        <f ca="1">IFERROR(IF(0=LEN(ReferenceData!$X$134),"",ReferenceData!$X$134),"")</f>
        <v/>
      </c>
      <c r="Y134" t="str">
        <f ca="1">IFERROR(IF(0=LEN(ReferenceData!$Y$134),"",ReferenceData!$Y$134),"")</f>
        <v/>
      </c>
      <c r="Z134" t="str">
        <f ca="1">IFERROR(IF(0=LEN(ReferenceData!$Z$134),"",ReferenceData!$Z$134),"")</f>
        <v/>
      </c>
      <c r="AA134" t="str">
        <f ca="1">IFERROR(IF(0=LEN(ReferenceData!$AA$134),"",ReferenceData!$AA$134),"")</f>
        <v/>
      </c>
      <c r="AB134" t="str">
        <f ca="1">IFERROR(IF(0=LEN(ReferenceData!$AB$134),"",ReferenceData!$AB$134),"")</f>
        <v/>
      </c>
      <c r="AC134" t="str">
        <f ca="1">IFERROR(IF(0=LEN(ReferenceData!$AC$134),"",ReferenceData!$AC$134),"")</f>
        <v/>
      </c>
      <c r="AD134" t="str">
        <f ca="1">IFERROR(IF(0=LEN(ReferenceData!$AD$134),"",ReferenceData!$AD$134),"")</f>
        <v/>
      </c>
      <c r="AE134" t="str">
        <f ca="1">IFERROR(IF(0=LEN(ReferenceData!$AE$134),"",ReferenceData!$AE$134),"")</f>
        <v/>
      </c>
      <c r="AF134" t="str">
        <f ca="1">IFERROR(IF(0=LEN(ReferenceData!$AF$134),"",ReferenceData!$AF$134),"")</f>
        <v/>
      </c>
      <c r="AG134" t="str">
        <f ca="1">IFERROR(IF(0=LEN(ReferenceData!$AG$134),"",ReferenceData!$AG$134),"")</f>
        <v/>
      </c>
      <c r="AH134" t="str">
        <f ca="1">IFERROR(IF(0=LEN(ReferenceData!$AH$134),"",ReferenceData!$AH$134),"")</f>
        <v/>
      </c>
      <c r="AI134" t="str">
        <f ca="1">IFERROR(IF(0=LEN(ReferenceData!$AI$134),"",ReferenceData!$AI$134),"")</f>
        <v/>
      </c>
      <c r="AJ134" t="str">
        <f ca="1">IFERROR(IF(0=LEN(ReferenceData!$AJ$134),"",ReferenceData!$AJ$134),"")</f>
        <v/>
      </c>
      <c r="AK134" t="str">
        <f ca="1">IFERROR(IF(0=LEN(ReferenceData!$AK$134),"",ReferenceData!$AK$134),"")</f>
        <v/>
      </c>
      <c r="AL134" t="str">
        <f ca="1">IFERROR(IF(0=LEN(ReferenceData!$AL$134),"",ReferenceData!$AL$134),"")</f>
        <v/>
      </c>
      <c r="AM134" t="str">
        <f ca="1">IFERROR(IF(0=LEN(ReferenceData!$AM$134),"",ReferenceData!$AM$134),"")</f>
        <v/>
      </c>
      <c r="AN134" t="str">
        <f ca="1">IFERROR(IF(0=LEN(ReferenceData!$AN$134),"",ReferenceData!$AN$134),"")</f>
        <v/>
      </c>
      <c r="AO134" t="str">
        <f ca="1">IFERROR(IF(0=LEN(ReferenceData!$AO$134),"",ReferenceData!$AO$134),"")</f>
        <v/>
      </c>
      <c r="AP134" t="str">
        <f ca="1">IFERROR(IF(0=LEN(ReferenceData!$AP$134),"",ReferenceData!$AP$134),"")</f>
        <v/>
      </c>
      <c r="AQ134" t="str">
        <f ca="1">IFERROR(IF(0=LEN(ReferenceData!$AQ$134),"",ReferenceData!$AQ$134),"")</f>
        <v/>
      </c>
      <c r="AR134" t="str">
        <f ca="1">IFERROR(IF(0=LEN(ReferenceData!$AR$134),"",ReferenceData!$AR$134),"")</f>
        <v/>
      </c>
      <c r="AS134" t="str">
        <f ca="1">IFERROR(IF(0=LEN(ReferenceData!$AS$134),"",ReferenceData!$AS$134),"")</f>
        <v/>
      </c>
    </row>
    <row r="135" spans="1:45" x14ac:dyDescent="0.25">
      <c r="A135" t="str">
        <f>IFERROR(IF(0=LEN(ReferenceData!$A$135),"",ReferenceData!$A$135),"")</f>
        <v xml:space="preserve">        GMC</v>
      </c>
      <c r="B135" t="str">
        <f>IFERROR(IF(0=LEN(ReferenceData!$B$135),"",ReferenceData!$B$135),"")</f>
        <v>MTLQQ US Equity</v>
      </c>
      <c r="C135" t="str">
        <f>IFERROR(IF(0=LEN(ReferenceData!$C$135),"",ReferenceData!$C$135),"")</f>
        <v/>
      </c>
      <c r="D135" t="str">
        <f>IFERROR(IF(0=LEN(ReferenceData!$D$135),"",ReferenceData!$D$135),"")</f>
        <v/>
      </c>
      <c r="E135" t="str">
        <f>IFERROR(IF(0=LEN(ReferenceData!$E$135),"",ReferenceData!$E$135),"")</f>
        <v>Expression</v>
      </c>
      <c r="F135" t="str">
        <f ca="1">IFERROR(IF(0=LEN(ReferenceData!$F$135),"",ReferenceData!$F$135),"")</f>
        <v/>
      </c>
      <c r="G135" t="str">
        <f ca="1">IFERROR(IF(0=LEN(ReferenceData!$G$135),"",ReferenceData!$G$135),"")</f>
        <v/>
      </c>
      <c r="H135" t="str">
        <f ca="1">IFERROR(IF(0=LEN(ReferenceData!$H$135),"",ReferenceData!$H$135),"")</f>
        <v/>
      </c>
      <c r="I135" t="str">
        <f ca="1">IFERROR(IF(0=LEN(ReferenceData!$I$135),"",ReferenceData!$I$135),"")</f>
        <v/>
      </c>
      <c r="J135" t="str">
        <f ca="1">IFERROR(IF(0=LEN(ReferenceData!$J$135),"",ReferenceData!$J$135),"")</f>
        <v/>
      </c>
      <c r="K135" t="str">
        <f ca="1">IFERROR(IF(0=LEN(ReferenceData!$K$135),"",ReferenceData!$K$135),"")</f>
        <v/>
      </c>
      <c r="L135" t="str">
        <f ca="1">IFERROR(IF(0=LEN(ReferenceData!$L$135),"",ReferenceData!$L$135),"")</f>
        <v/>
      </c>
      <c r="M135" t="str">
        <f ca="1">IFERROR(IF(0=LEN(ReferenceData!$M$135),"",ReferenceData!$M$135),"")</f>
        <v/>
      </c>
      <c r="N135" t="str">
        <f ca="1">IFERROR(IF(0=LEN(ReferenceData!$N$135),"",ReferenceData!$N$135),"")</f>
        <v/>
      </c>
      <c r="O135" t="str">
        <f ca="1">IFERROR(IF(0=LEN(ReferenceData!$O$135),"",ReferenceData!$O$135),"")</f>
        <v/>
      </c>
      <c r="P135" t="str">
        <f ca="1">IFERROR(IF(0=LEN(ReferenceData!$P$135),"",ReferenceData!$P$135),"")</f>
        <v/>
      </c>
      <c r="Q135" t="str">
        <f ca="1">IFERROR(IF(0=LEN(ReferenceData!$Q$135),"",ReferenceData!$Q$135),"")</f>
        <v/>
      </c>
      <c r="R135" t="str">
        <f ca="1">IFERROR(IF(0=LEN(ReferenceData!$R$135),"",ReferenceData!$R$135),"")</f>
        <v/>
      </c>
      <c r="S135" t="str">
        <f ca="1">IFERROR(IF(0=LEN(ReferenceData!$S$135),"",ReferenceData!$S$135),"")</f>
        <v/>
      </c>
      <c r="T135" t="str">
        <f ca="1">IFERROR(IF(0=LEN(ReferenceData!$T$135),"",ReferenceData!$T$135),"")</f>
        <v/>
      </c>
      <c r="U135" t="str">
        <f ca="1">IFERROR(IF(0=LEN(ReferenceData!$U$135),"",ReferenceData!$U$135),"")</f>
        <v/>
      </c>
      <c r="V135" t="str">
        <f ca="1">IFERROR(IF(0=LEN(ReferenceData!$V$135),"",ReferenceData!$V$135),"")</f>
        <v/>
      </c>
      <c r="W135" t="str">
        <f ca="1">IFERROR(IF(0=LEN(ReferenceData!$W$135),"",ReferenceData!$W$135),"")</f>
        <v/>
      </c>
      <c r="X135" t="str">
        <f ca="1">IFERROR(IF(0=LEN(ReferenceData!$X$135),"",ReferenceData!$X$135),"")</f>
        <v/>
      </c>
      <c r="Y135" t="str">
        <f ca="1">IFERROR(IF(0=LEN(ReferenceData!$Y$135),"",ReferenceData!$Y$135),"")</f>
        <v/>
      </c>
      <c r="Z135" t="str">
        <f ca="1">IFERROR(IF(0=LEN(ReferenceData!$Z$135),"",ReferenceData!$Z$135),"")</f>
        <v/>
      </c>
      <c r="AA135" t="str">
        <f ca="1">IFERROR(IF(0=LEN(ReferenceData!$AA$135),"",ReferenceData!$AA$135),"")</f>
        <v/>
      </c>
      <c r="AB135" t="str">
        <f ca="1">IFERROR(IF(0=LEN(ReferenceData!$AB$135),"",ReferenceData!$AB$135),"")</f>
        <v/>
      </c>
      <c r="AC135" t="str">
        <f ca="1">IFERROR(IF(0=LEN(ReferenceData!$AC$135),"",ReferenceData!$AC$135),"")</f>
        <v/>
      </c>
      <c r="AD135" t="str">
        <f ca="1">IFERROR(IF(0=LEN(ReferenceData!$AD$135),"",ReferenceData!$AD$135),"")</f>
        <v/>
      </c>
      <c r="AE135" t="str">
        <f ca="1">IFERROR(IF(0=LEN(ReferenceData!$AE$135),"",ReferenceData!$AE$135),"")</f>
        <v/>
      </c>
      <c r="AF135" t="str">
        <f ca="1">IFERROR(IF(0=LEN(ReferenceData!$AF$135),"",ReferenceData!$AF$135),"")</f>
        <v/>
      </c>
      <c r="AG135" t="str">
        <f ca="1">IFERROR(IF(0=LEN(ReferenceData!$AG$135),"",ReferenceData!$AG$135),"")</f>
        <v/>
      </c>
      <c r="AH135" t="str">
        <f ca="1">IFERROR(IF(0=LEN(ReferenceData!$AH$135),"",ReferenceData!$AH$135),"")</f>
        <v/>
      </c>
      <c r="AI135" t="str">
        <f ca="1">IFERROR(IF(0=LEN(ReferenceData!$AI$135),"",ReferenceData!$AI$135),"")</f>
        <v/>
      </c>
      <c r="AJ135" t="str">
        <f ca="1">IFERROR(IF(0=LEN(ReferenceData!$AJ$135),"",ReferenceData!$AJ$135),"")</f>
        <v/>
      </c>
      <c r="AK135" t="str">
        <f ca="1">IFERROR(IF(0=LEN(ReferenceData!$AK$135),"",ReferenceData!$AK$135),"")</f>
        <v/>
      </c>
      <c r="AL135" t="str">
        <f ca="1">IFERROR(IF(0=LEN(ReferenceData!$AL$135),"",ReferenceData!$AL$135),"")</f>
        <v/>
      </c>
      <c r="AM135" t="str">
        <f ca="1">IFERROR(IF(0=LEN(ReferenceData!$AM$135),"",ReferenceData!$AM$135),"")</f>
        <v/>
      </c>
      <c r="AN135" t="str">
        <f ca="1">IFERROR(IF(0=LEN(ReferenceData!$AN$135),"",ReferenceData!$AN$135),"")</f>
        <v/>
      </c>
      <c r="AO135" t="str">
        <f ca="1">IFERROR(IF(0=LEN(ReferenceData!$AO$135),"",ReferenceData!$AO$135),"")</f>
        <v/>
      </c>
      <c r="AP135" t="str">
        <f ca="1">IFERROR(IF(0=LEN(ReferenceData!$AP$135),"",ReferenceData!$AP$135),"")</f>
        <v/>
      </c>
      <c r="AQ135" t="str">
        <f ca="1">IFERROR(IF(0=LEN(ReferenceData!$AQ$135),"",ReferenceData!$AQ$135),"")</f>
        <v/>
      </c>
      <c r="AR135" t="str">
        <f ca="1">IFERROR(IF(0=LEN(ReferenceData!$AR$135),"",ReferenceData!$AR$135),"")</f>
        <v/>
      </c>
      <c r="AS135" t="str">
        <f ca="1">IFERROR(IF(0=LEN(ReferenceData!$AS$135),"",ReferenceData!$AS$135),"")</f>
        <v/>
      </c>
    </row>
    <row r="136" spans="1:45" x14ac:dyDescent="0.25">
      <c r="A136" t="str">
        <f>IFERROR(IF(0=LEN(ReferenceData!$A$136),"",ReferenceData!$A$136),"")</f>
        <v xml:space="preserve">        Chevrolet</v>
      </c>
      <c r="B136" t="str">
        <f>IFERROR(IF(0=LEN(ReferenceData!$B$136),"",ReferenceData!$B$136),"")</f>
        <v>MTLQQ US Equity</v>
      </c>
      <c r="C136" t="str">
        <f>IFERROR(IF(0=LEN(ReferenceData!$C$136),"",ReferenceData!$C$136),"")</f>
        <v/>
      </c>
      <c r="D136" t="str">
        <f>IFERROR(IF(0=LEN(ReferenceData!$D$136),"",ReferenceData!$D$136),"")</f>
        <v/>
      </c>
      <c r="E136" t="str">
        <f>IFERROR(IF(0=LEN(ReferenceData!$E$136),"",ReferenceData!$E$136),"")</f>
        <v>Expression</v>
      </c>
      <c r="F136" t="str">
        <f ca="1">IFERROR(IF(0=LEN(ReferenceData!$F$136),"",ReferenceData!$F$136),"")</f>
        <v/>
      </c>
      <c r="G136" t="str">
        <f ca="1">IFERROR(IF(0=LEN(ReferenceData!$G$136),"",ReferenceData!$G$136),"")</f>
        <v/>
      </c>
      <c r="H136" t="str">
        <f ca="1">IFERROR(IF(0=LEN(ReferenceData!$H$136),"",ReferenceData!$H$136),"")</f>
        <v/>
      </c>
      <c r="I136" t="str">
        <f ca="1">IFERROR(IF(0=LEN(ReferenceData!$I$136),"",ReferenceData!$I$136),"")</f>
        <v/>
      </c>
      <c r="J136" t="str">
        <f ca="1">IFERROR(IF(0=LEN(ReferenceData!$J$136),"",ReferenceData!$J$136),"")</f>
        <v/>
      </c>
      <c r="K136" t="str">
        <f ca="1">IFERROR(IF(0=LEN(ReferenceData!$K$136),"",ReferenceData!$K$136),"")</f>
        <v/>
      </c>
      <c r="L136" t="str">
        <f ca="1">IFERROR(IF(0=LEN(ReferenceData!$L$136),"",ReferenceData!$L$136),"")</f>
        <v/>
      </c>
      <c r="M136" t="str">
        <f ca="1">IFERROR(IF(0=LEN(ReferenceData!$M$136),"",ReferenceData!$M$136),"")</f>
        <v/>
      </c>
      <c r="N136" t="str">
        <f ca="1">IFERROR(IF(0=LEN(ReferenceData!$N$136),"",ReferenceData!$N$136),"")</f>
        <v/>
      </c>
      <c r="O136" t="str">
        <f ca="1">IFERROR(IF(0=LEN(ReferenceData!$O$136),"",ReferenceData!$O$136),"")</f>
        <v/>
      </c>
      <c r="P136" t="str">
        <f ca="1">IFERROR(IF(0=LEN(ReferenceData!$P$136),"",ReferenceData!$P$136),"")</f>
        <v/>
      </c>
      <c r="Q136" t="str">
        <f ca="1">IFERROR(IF(0=LEN(ReferenceData!$Q$136),"",ReferenceData!$Q$136),"")</f>
        <v/>
      </c>
      <c r="R136" t="str">
        <f ca="1">IFERROR(IF(0=LEN(ReferenceData!$R$136),"",ReferenceData!$R$136),"")</f>
        <v/>
      </c>
      <c r="S136" t="str">
        <f ca="1">IFERROR(IF(0=LEN(ReferenceData!$S$136),"",ReferenceData!$S$136),"")</f>
        <v/>
      </c>
      <c r="T136" t="str">
        <f ca="1">IFERROR(IF(0=LEN(ReferenceData!$T$136),"",ReferenceData!$T$136),"")</f>
        <v/>
      </c>
      <c r="U136" t="str">
        <f ca="1">IFERROR(IF(0=LEN(ReferenceData!$U$136),"",ReferenceData!$U$136),"")</f>
        <v/>
      </c>
      <c r="V136" t="str">
        <f ca="1">IFERROR(IF(0=LEN(ReferenceData!$V$136),"",ReferenceData!$V$136),"")</f>
        <v/>
      </c>
      <c r="W136" t="str">
        <f ca="1">IFERROR(IF(0=LEN(ReferenceData!$W$136),"",ReferenceData!$W$136),"")</f>
        <v/>
      </c>
      <c r="X136" t="str">
        <f ca="1">IFERROR(IF(0=LEN(ReferenceData!$X$136),"",ReferenceData!$X$136),"")</f>
        <v/>
      </c>
      <c r="Y136" t="str">
        <f ca="1">IFERROR(IF(0=LEN(ReferenceData!$Y$136),"",ReferenceData!$Y$136),"")</f>
        <v/>
      </c>
      <c r="Z136" t="str">
        <f ca="1">IFERROR(IF(0=LEN(ReferenceData!$Z$136),"",ReferenceData!$Z$136),"")</f>
        <v/>
      </c>
      <c r="AA136" t="str">
        <f ca="1">IFERROR(IF(0=LEN(ReferenceData!$AA$136),"",ReferenceData!$AA$136),"")</f>
        <v/>
      </c>
      <c r="AB136" t="str">
        <f ca="1">IFERROR(IF(0=LEN(ReferenceData!$AB$136),"",ReferenceData!$AB$136),"")</f>
        <v/>
      </c>
      <c r="AC136" t="str">
        <f ca="1">IFERROR(IF(0=LEN(ReferenceData!$AC$136),"",ReferenceData!$AC$136),"")</f>
        <v/>
      </c>
      <c r="AD136" t="str">
        <f ca="1">IFERROR(IF(0=LEN(ReferenceData!$AD$136),"",ReferenceData!$AD$136),"")</f>
        <v/>
      </c>
      <c r="AE136" t="str">
        <f ca="1">IFERROR(IF(0=LEN(ReferenceData!$AE$136),"",ReferenceData!$AE$136),"")</f>
        <v/>
      </c>
      <c r="AF136" t="str">
        <f ca="1">IFERROR(IF(0=LEN(ReferenceData!$AF$136),"",ReferenceData!$AF$136),"")</f>
        <v/>
      </c>
      <c r="AG136" t="str">
        <f ca="1">IFERROR(IF(0=LEN(ReferenceData!$AG$136),"",ReferenceData!$AG$136),"")</f>
        <v/>
      </c>
      <c r="AH136" t="str">
        <f ca="1">IFERROR(IF(0=LEN(ReferenceData!$AH$136),"",ReferenceData!$AH$136),"")</f>
        <v/>
      </c>
      <c r="AI136" t="str">
        <f ca="1">IFERROR(IF(0=LEN(ReferenceData!$AI$136),"",ReferenceData!$AI$136),"")</f>
        <v/>
      </c>
      <c r="AJ136" t="str">
        <f ca="1">IFERROR(IF(0=LEN(ReferenceData!$AJ$136),"",ReferenceData!$AJ$136),"")</f>
        <v/>
      </c>
      <c r="AK136" t="str">
        <f ca="1">IFERROR(IF(0=LEN(ReferenceData!$AK$136),"",ReferenceData!$AK$136),"")</f>
        <v/>
      </c>
      <c r="AL136" t="str">
        <f ca="1">IFERROR(IF(0=LEN(ReferenceData!$AL$136),"",ReferenceData!$AL$136),"")</f>
        <v/>
      </c>
      <c r="AM136" t="str">
        <f ca="1">IFERROR(IF(0=LEN(ReferenceData!$AM$136),"",ReferenceData!$AM$136),"")</f>
        <v/>
      </c>
      <c r="AN136" t="str">
        <f ca="1">IFERROR(IF(0=LEN(ReferenceData!$AN$136),"",ReferenceData!$AN$136),"")</f>
        <v/>
      </c>
      <c r="AO136" t="str">
        <f ca="1">IFERROR(IF(0=LEN(ReferenceData!$AO$136),"",ReferenceData!$AO$136),"")</f>
        <v/>
      </c>
      <c r="AP136" t="str">
        <f ca="1">IFERROR(IF(0=LEN(ReferenceData!$AP$136),"",ReferenceData!$AP$136),"")</f>
        <v/>
      </c>
      <c r="AQ136" t="str">
        <f ca="1">IFERROR(IF(0=LEN(ReferenceData!$AQ$136),"",ReferenceData!$AQ$136),"")</f>
        <v/>
      </c>
      <c r="AR136" t="str">
        <f ca="1">IFERROR(IF(0=LEN(ReferenceData!$AR$136),"",ReferenceData!$AR$136),"")</f>
        <v/>
      </c>
      <c r="AS136" t="str">
        <f ca="1">IFERROR(IF(0=LEN(ReferenceData!$AS$136),"",ReferenceData!$AS$136),"")</f>
        <v/>
      </c>
    </row>
    <row r="137" spans="1:45" x14ac:dyDescent="0.25">
      <c r="A137" t="str">
        <f>IFERROR(IF(0=LEN(ReferenceData!$A$137),"",ReferenceData!$A$137),"")</f>
        <v xml:space="preserve">    Volvo</v>
      </c>
      <c r="B137" t="str">
        <f>IFERROR(IF(0=LEN(ReferenceData!$B$137),"",ReferenceData!$B$137),"")</f>
        <v>VOLVB SS Equity</v>
      </c>
      <c r="C137" t="str">
        <f>IFERROR(IF(0=LEN(ReferenceData!$C$137),"",ReferenceData!$C$137),"")</f>
        <v/>
      </c>
      <c r="D137" t="str">
        <f>IFERROR(IF(0=LEN(ReferenceData!$D$137),"",ReferenceData!$D$137),"")</f>
        <v/>
      </c>
      <c r="E137" t="str">
        <f>IFERROR(IF(0=LEN(ReferenceData!$E$137),"",ReferenceData!$E$137),"")</f>
        <v>Sum</v>
      </c>
      <c r="F137" t="str">
        <f ca="1">IFERROR(IF(0=LEN(ReferenceData!$F$137),"",ReferenceData!$F$137),"")</f>
        <v/>
      </c>
      <c r="G137" t="str">
        <f ca="1">IFERROR(IF(0=LEN(ReferenceData!$G$137),"",ReferenceData!$G$137),"")</f>
        <v/>
      </c>
      <c r="H137" t="str">
        <f ca="1">IFERROR(IF(0=LEN(ReferenceData!$H$137),"",ReferenceData!$H$137),"")</f>
        <v/>
      </c>
      <c r="I137" t="str">
        <f ca="1">IFERROR(IF(0=LEN(ReferenceData!$I$137),"",ReferenceData!$I$137),"")</f>
        <v/>
      </c>
      <c r="J137" t="str">
        <f ca="1">IFERROR(IF(0=LEN(ReferenceData!$J$137),"",ReferenceData!$J$137),"")</f>
        <v/>
      </c>
      <c r="K137" t="str">
        <f ca="1">IFERROR(IF(0=LEN(ReferenceData!$K$137),"",ReferenceData!$K$137),"")</f>
        <v/>
      </c>
      <c r="L137" t="str">
        <f ca="1">IFERROR(IF(0=LEN(ReferenceData!$L$137),"",ReferenceData!$L$137),"")</f>
        <v/>
      </c>
      <c r="M137" t="str">
        <f ca="1">IFERROR(IF(0=LEN(ReferenceData!$M$137),"",ReferenceData!$M$137),"")</f>
        <v/>
      </c>
      <c r="N137" t="str">
        <f ca="1">IFERROR(IF(0=LEN(ReferenceData!$N$137),"",ReferenceData!$N$137),"")</f>
        <v/>
      </c>
      <c r="O137" t="str">
        <f ca="1">IFERROR(IF(0=LEN(ReferenceData!$O$137),"",ReferenceData!$O$137),"")</f>
        <v/>
      </c>
      <c r="P137" t="str">
        <f ca="1">IFERROR(IF(0=LEN(ReferenceData!$P$137),"",ReferenceData!$P$137),"")</f>
        <v/>
      </c>
      <c r="Q137" t="str">
        <f ca="1">IFERROR(IF(0=LEN(ReferenceData!$Q$137),"",ReferenceData!$Q$137),"")</f>
        <v/>
      </c>
      <c r="R137" t="str">
        <f ca="1">IFERROR(IF(0=LEN(ReferenceData!$R$137),"",ReferenceData!$R$137),"")</f>
        <v/>
      </c>
      <c r="S137" t="str">
        <f ca="1">IFERROR(IF(0=LEN(ReferenceData!$S$137),"",ReferenceData!$S$137),"")</f>
        <v/>
      </c>
      <c r="T137" t="str">
        <f ca="1">IFERROR(IF(0=LEN(ReferenceData!$T$137),"",ReferenceData!$T$137),"")</f>
        <v/>
      </c>
      <c r="U137" t="str">
        <f ca="1">IFERROR(IF(0=LEN(ReferenceData!$U$137),"",ReferenceData!$U$137),"")</f>
        <v/>
      </c>
      <c r="V137" t="str">
        <f ca="1">IFERROR(IF(0=LEN(ReferenceData!$V$137),"",ReferenceData!$V$137),"")</f>
        <v/>
      </c>
      <c r="W137" t="str">
        <f ca="1">IFERROR(IF(0=LEN(ReferenceData!$W$137),"",ReferenceData!$W$137),"")</f>
        <v/>
      </c>
      <c r="X137" t="str">
        <f ca="1">IFERROR(IF(0=LEN(ReferenceData!$X$137),"",ReferenceData!$X$137),"")</f>
        <v/>
      </c>
      <c r="Y137" t="str">
        <f ca="1">IFERROR(IF(0=LEN(ReferenceData!$Y$137),"",ReferenceData!$Y$137),"")</f>
        <v/>
      </c>
      <c r="Z137" t="str">
        <f ca="1">IFERROR(IF(0=LEN(ReferenceData!$Z$137),"",ReferenceData!$Z$137),"")</f>
        <v/>
      </c>
      <c r="AA137" t="str">
        <f ca="1">IFERROR(IF(0=LEN(ReferenceData!$AA$137),"",ReferenceData!$AA$137),"")</f>
        <v/>
      </c>
      <c r="AB137" t="str">
        <f ca="1">IFERROR(IF(0=LEN(ReferenceData!$AB$137),"",ReferenceData!$AB$137),"")</f>
        <v/>
      </c>
      <c r="AC137" t="str">
        <f ca="1">IFERROR(IF(0=LEN(ReferenceData!$AC$137),"",ReferenceData!$AC$137),"")</f>
        <v/>
      </c>
      <c r="AD137" t="str">
        <f ca="1">IFERROR(IF(0=LEN(ReferenceData!$AD$137),"",ReferenceData!$AD$137),"")</f>
        <v/>
      </c>
      <c r="AE137" t="str">
        <f ca="1">IFERROR(IF(0=LEN(ReferenceData!$AE$137),"",ReferenceData!$AE$137),"")</f>
        <v/>
      </c>
      <c r="AF137" t="str">
        <f ca="1">IFERROR(IF(0=LEN(ReferenceData!$AF$137),"",ReferenceData!$AF$137),"")</f>
        <v/>
      </c>
      <c r="AG137" t="str">
        <f ca="1">IFERROR(IF(0=LEN(ReferenceData!$AG$137),"",ReferenceData!$AG$137),"")</f>
        <v/>
      </c>
      <c r="AH137" t="str">
        <f ca="1">IFERROR(IF(0=LEN(ReferenceData!$AH$137),"",ReferenceData!$AH$137),"")</f>
        <v/>
      </c>
      <c r="AI137" t="str">
        <f ca="1">IFERROR(IF(0=LEN(ReferenceData!$AI$137),"",ReferenceData!$AI$137),"")</f>
        <v/>
      </c>
      <c r="AJ137" t="str">
        <f ca="1">IFERROR(IF(0=LEN(ReferenceData!$AJ$137),"",ReferenceData!$AJ$137),"")</f>
        <v/>
      </c>
      <c r="AK137" t="str">
        <f ca="1">IFERROR(IF(0=LEN(ReferenceData!$AK$137),"",ReferenceData!$AK$137),"")</f>
        <v/>
      </c>
      <c r="AL137" t="str">
        <f ca="1">IFERROR(IF(0=LEN(ReferenceData!$AL$137),"",ReferenceData!$AL$137),"")</f>
        <v/>
      </c>
      <c r="AM137" t="str">
        <f ca="1">IFERROR(IF(0=LEN(ReferenceData!$AM$137),"",ReferenceData!$AM$137),"")</f>
        <v/>
      </c>
      <c r="AN137" t="str">
        <f ca="1">IFERROR(IF(0=LEN(ReferenceData!$AN$137),"",ReferenceData!$AN$137),"")</f>
        <v/>
      </c>
      <c r="AO137" t="str">
        <f ca="1">IFERROR(IF(0=LEN(ReferenceData!$AO$137),"",ReferenceData!$AO$137),"")</f>
        <v/>
      </c>
      <c r="AP137" t="str">
        <f ca="1">IFERROR(IF(0=LEN(ReferenceData!$AP$137),"",ReferenceData!$AP$137),"")</f>
        <v/>
      </c>
      <c r="AQ137" t="str">
        <f ca="1">IFERROR(IF(0=LEN(ReferenceData!$AQ$137),"",ReferenceData!$AQ$137),"")</f>
        <v/>
      </c>
      <c r="AR137" t="str">
        <f ca="1">IFERROR(IF(0=LEN(ReferenceData!$AR$137),"",ReferenceData!$AR$137),"")</f>
        <v/>
      </c>
      <c r="AS137" t="str">
        <f ca="1">IFERROR(IF(0=LEN(ReferenceData!$AS$137),"",ReferenceData!$AS$137),"")</f>
        <v/>
      </c>
    </row>
    <row r="138" spans="1:45" x14ac:dyDescent="0.25">
      <c r="A138" t="str">
        <f>IFERROR(IF(0=LEN(ReferenceData!$A$138),"",ReferenceData!$A$138),"")</f>
        <v xml:space="preserve">        Mack</v>
      </c>
      <c r="B138" t="str">
        <f>IFERROR(IF(0=LEN(ReferenceData!$B$138),"",ReferenceData!$B$138),"")</f>
        <v>VOLVB SS Equity</v>
      </c>
      <c r="C138" t="str">
        <f>IFERROR(IF(0=LEN(ReferenceData!$C$138),"",ReferenceData!$C$138),"")</f>
        <v/>
      </c>
      <c r="D138" t="str">
        <f>IFERROR(IF(0=LEN(ReferenceData!$D$138),"",ReferenceData!$D$138),"")</f>
        <v/>
      </c>
      <c r="E138" t="str">
        <f>IFERROR(IF(0=LEN(ReferenceData!$E$138),"",ReferenceData!$E$138),"")</f>
        <v>Expression</v>
      </c>
      <c r="F138" t="str">
        <f ca="1">IFERROR(IF(0=LEN(ReferenceData!$F$138),"",ReferenceData!$F$138),"")</f>
        <v/>
      </c>
      <c r="G138" t="str">
        <f ca="1">IFERROR(IF(0=LEN(ReferenceData!$G$138),"",ReferenceData!$G$138),"")</f>
        <v/>
      </c>
      <c r="H138" t="str">
        <f ca="1">IFERROR(IF(0=LEN(ReferenceData!$H$138),"",ReferenceData!$H$138),"")</f>
        <v/>
      </c>
      <c r="I138" t="str">
        <f ca="1">IFERROR(IF(0=LEN(ReferenceData!$I$138),"",ReferenceData!$I$138),"")</f>
        <v/>
      </c>
      <c r="J138" t="str">
        <f ca="1">IFERROR(IF(0=LEN(ReferenceData!$J$138),"",ReferenceData!$J$138),"")</f>
        <v/>
      </c>
      <c r="K138" t="str">
        <f ca="1">IFERROR(IF(0=LEN(ReferenceData!$K$138),"",ReferenceData!$K$138),"")</f>
        <v/>
      </c>
      <c r="L138" t="str">
        <f ca="1">IFERROR(IF(0=LEN(ReferenceData!$L$138),"",ReferenceData!$L$138),"")</f>
        <v/>
      </c>
      <c r="M138" t="str">
        <f ca="1">IFERROR(IF(0=LEN(ReferenceData!$M$138),"",ReferenceData!$M$138),"")</f>
        <v/>
      </c>
      <c r="N138" t="str">
        <f ca="1">IFERROR(IF(0=LEN(ReferenceData!$N$138),"",ReferenceData!$N$138),"")</f>
        <v/>
      </c>
      <c r="O138" t="str">
        <f ca="1">IFERROR(IF(0=LEN(ReferenceData!$O$138),"",ReferenceData!$O$138),"")</f>
        <v/>
      </c>
      <c r="P138" t="str">
        <f ca="1">IFERROR(IF(0=LEN(ReferenceData!$P$138),"",ReferenceData!$P$138),"")</f>
        <v/>
      </c>
      <c r="Q138" t="str">
        <f ca="1">IFERROR(IF(0=LEN(ReferenceData!$Q$138),"",ReferenceData!$Q$138),"")</f>
        <v/>
      </c>
      <c r="R138" t="str">
        <f ca="1">IFERROR(IF(0=LEN(ReferenceData!$R$138),"",ReferenceData!$R$138),"")</f>
        <v/>
      </c>
      <c r="S138" t="str">
        <f ca="1">IFERROR(IF(0=LEN(ReferenceData!$S$138),"",ReferenceData!$S$138),"")</f>
        <v/>
      </c>
      <c r="T138" t="str">
        <f ca="1">IFERROR(IF(0=LEN(ReferenceData!$T$138),"",ReferenceData!$T$138),"")</f>
        <v/>
      </c>
      <c r="U138" t="str">
        <f ca="1">IFERROR(IF(0=LEN(ReferenceData!$U$138),"",ReferenceData!$U$138),"")</f>
        <v/>
      </c>
      <c r="V138" t="str">
        <f ca="1">IFERROR(IF(0=LEN(ReferenceData!$V$138),"",ReferenceData!$V$138),"")</f>
        <v/>
      </c>
      <c r="W138" t="str">
        <f ca="1">IFERROR(IF(0=LEN(ReferenceData!$W$138),"",ReferenceData!$W$138),"")</f>
        <v/>
      </c>
      <c r="X138" t="str">
        <f ca="1">IFERROR(IF(0=LEN(ReferenceData!$X$138),"",ReferenceData!$X$138),"")</f>
        <v/>
      </c>
      <c r="Y138" t="str">
        <f ca="1">IFERROR(IF(0=LEN(ReferenceData!$Y$138),"",ReferenceData!$Y$138),"")</f>
        <v/>
      </c>
      <c r="Z138" t="str">
        <f ca="1">IFERROR(IF(0=LEN(ReferenceData!$Z$138),"",ReferenceData!$Z$138),"")</f>
        <v/>
      </c>
      <c r="AA138" t="str">
        <f ca="1">IFERROR(IF(0=LEN(ReferenceData!$AA$138),"",ReferenceData!$AA$138),"")</f>
        <v/>
      </c>
      <c r="AB138" t="str">
        <f ca="1">IFERROR(IF(0=LEN(ReferenceData!$AB$138),"",ReferenceData!$AB$138),"")</f>
        <v/>
      </c>
      <c r="AC138" t="str">
        <f ca="1">IFERROR(IF(0=LEN(ReferenceData!$AC$138),"",ReferenceData!$AC$138),"")</f>
        <v/>
      </c>
      <c r="AD138" t="str">
        <f ca="1">IFERROR(IF(0=LEN(ReferenceData!$AD$138),"",ReferenceData!$AD$138),"")</f>
        <v/>
      </c>
      <c r="AE138" t="str">
        <f ca="1">IFERROR(IF(0=LEN(ReferenceData!$AE$138),"",ReferenceData!$AE$138),"")</f>
        <v/>
      </c>
      <c r="AF138" t="str">
        <f ca="1">IFERROR(IF(0=LEN(ReferenceData!$AF$138),"",ReferenceData!$AF$138),"")</f>
        <v/>
      </c>
      <c r="AG138" t="str">
        <f ca="1">IFERROR(IF(0=LEN(ReferenceData!$AG$138),"",ReferenceData!$AG$138),"")</f>
        <v/>
      </c>
      <c r="AH138" t="str">
        <f ca="1">IFERROR(IF(0=LEN(ReferenceData!$AH$138),"",ReferenceData!$AH$138),"")</f>
        <v/>
      </c>
      <c r="AI138" t="str">
        <f ca="1">IFERROR(IF(0=LEN(ReferenceData!$AI$138),"",ReferenceData!$AI$138),"")</f>
        <v/>
      </c>
      <c r="AJ138" t="str">
        <f ca="1">IFERROR(IF(0=LEN(ReferenceData!$AJ$138),"",ReferenceData!$AJ$138),"")</f>
        <v/>
      </c>
      <c r="AK138" t="str">
        <f ca="1">IFERROR(IF(0=LEN(ReferenceData!$AK$138),"",ReferenceData!$AK$138),"")</f>
        <v/>
      </c>
      <c r="AL138" t="str">
        <f ca="1">IFERROR(IF(0=LEN(ReferenceData!$AL$138),"",ReferenceData!$AL$138),"")</f>
        <v/>
      </c>
      <c r="AM138" t="str">
        <f ca="1">IFERROR(IF(0=LEN(ReferenceData!$AM$138),"",ReferenceData!$AM$138),"")</f>
        <v/>
      </c>
      <c r="AN138" t="str">
        <f ca="1">IFERROR(IF(0=LEN(ReferenceData!$AN$138),"",ReferenceData!$AN$138),"")</f>
        <v/>
      </c>
      <c r="AO138" t="str">
        <f ca="1">IFERROR(IF(0=LEN(ReferenceData!$AO$138),"",ReferenceData!$AO$138),"")</f>
        <v/>
      </c>
      <c r="AP138" t="str">
        <f ca="1">IFERROR(IF(0=LEN(ReferenceData!$AP$138),"",ReferenceData!$AP$138),"")</f>
        <v/>
      </c>
      <c r="AQ138" t="str">
        <f ca="1">IFERROR(IF(0=LEN(ReferenceData!$AQ$138),"",ReferenceData!$AQ$138),"")</f>
        <v/>
      </c>
      <c r="AR138" t="str">
        <f ca="1">IFERROR(IF(0=LEN(ReferenceData!$AR$138),"",ReferenceData!$AR$138),"")</f>
        <v/>
      </c>
      <c r="AS138" t="str">
        <f ca="1">IFERROR(IF(0=LEN(ReferenceData!$AS$138),"",ReferenceData!$AS$138),"")</f>
        <v/>
      </c>
    </row>
    <row r="139" spans="1:45" x14ac:dyDescent="0.25">
      <c r="A139" t="str">
        <f>IFERROR(IF(0=LEN(ReferenceData!$A$139),"",ReferenceData!$A$139),"")</f>
        <v>Mexico (Class 6-7)</v>
      </c>
      <c r="B139" t="str">
        <f>IFERROR(IF(0=LEN(ReferenceData!$B$139),"",ReferenceData!$B$139),"")</f>
        <v>TRCKMX6S Index</v>
      </c>
      <c r="C139" t="str">
        <f>IFERROR(IF(0=LEN(ReferenceData!$C$139),"",ReferenceData!$C$139),"")</f>
        <v/>
      </c>
      <c r="D139" t="str">
        <f>IFERROR(IF(0=LEN(ReferenceData!$D$139),"",ReferenceData!$D$139),"")</f>
        <v/>
      </c>
      <c r="E139" t="str">
        <f>IFERROR(IF(0=LEN(ReferenceData!$E$139),"",ReferenceData!$E$139),"")</f>
        <v>Sum</v>
      </c>
      <c r="F139">
        <f ca="1">IFERROR(IF(0=LEN(ReferenceData!$F$139),"",ReferenceData!$F$139),"")</f>
        <v>100</v>
      </c>
      <c r="G139">
        <f ca="1">IFERROR(IF(0=LEN(ReferenceData!$G$139),"",ReferenceData!$G$139),"")</f>
        <v>99.999999997999993</v>
      </c>
      <c r="H139">
        <f ca="1">IFERROR(IF(0=LEN(ReferenceData!$H$139),"",ReferenceData!$H$139),"")</f>
        <v>99.999999991999999</v>
      </c>
      <c r="I139">
        <f ca="1">IFERROR(IF(0=LEN(ReferenceData!$I$139),"",ReferenceData!$I$139),"")</f>
        <v>100</v>
      </c>
      <c r="J139">
        <f ca="1">IFERROR(IF(0=LEN(ReferenceData!$J$139),"",ReferenceData!$J$139),"")</f>
        <v>100.000000003</v>
      </c>
      <c r="K139">
        <f ca="1">IFERROR(IF(0=LEN(ReferenceData!$K$139),"",ReferenceData!$K$139),"")</f>
        <v>100.000000011</v>
      </c>
      <c r="L139">
        <f ca="1">IFERROR(IF(0=LEN(ReferenceData!$L$139),"",ReferenceData!$L$139),"")</f>
        <v>99.999999989000003</v>
      </c>
      <c r="M139">
        <f ca="1">IFERROR(IF(0=LEN(ReferenceData!$M$139),"",ReferenceData!$M$139),"")</f>
        <v>100.00000000400001</v>
      </c>
      <c r="N139">
        <f ca="1">IFERROR(IF(0=LEN(ReferenceData!$N$139),"",ReferenceData!$N$139),"")</f>
        <v>99.999999994000007</v>
      </c>
      <c r="O139">
        <f ca="1">IFERROR(IF(0=LEN(ReferenceData!$O$139),"",ReferenceData!$O$139),"")</f>
        <v>100</v>
      </c>
      <c r="P139">
        <f ca="1">IFERROR(IF(0=LEN(ReferenceData!$P$139),"",ReferenceData!$P$139),"")</f>
        <v>99.999999998000007</v>
      </c>
      <c r="Q139">
        <f ca="1">IFERROR(IF(0=LEN(ReferenceData!$Q$139),"",ReferenceData!$Q$139),"")</f>
        <v>99.999999993000003</v>
      </c>
      <c r="R139">
        <f ca="1">IFERROR(IF(0=LEN(ReferenceData!$R$139),"",ReferenceData!$R$139),"")</f>
        <v>99.999999990000006</v>
      </c>
      <c r="S139">
        <f ca="1">IFERROR(IF(0=LEN(ReferenceData!$S$139),"",ReferenceData!$S$139),"")</f>
        <v>100.00000000700001</v>
      </c>
      <c r="T139">
        <f ca="1">IFERROR(IF(0=LEN(ReferenceData!$T$139),"",ReferenceData!$T$139),"")</f>
        <v>100.00000000599999</v>
      </c>
      <c r="U139">
        <f ca="1">IFERROR(IF(0=LEN(ReferenceData!$U$139),"",ReferenceData!$U$139),"")</f>
        <v>100.00000000899999</v>
      </c>
      <c r="V139">
        <f ca="1">IFERROR(IF(0=LEN(ReferenceData!$V$139),"",ReferenceData!$V$139),"")</f>
        <v>99.999999992999989</v>
      </c>
      <c r="W139">
        <f ca="1">IFERROR(IF(0=LEN(ReferenceData!$W$139),"",ReferenceData!$W$139),"")</f>
        <v>100.000000005</v>
      </c>
      <c r="X139">
        <f ca="1">IFERROR(IF(0=LEN(ReferenceData!$X$139),"",ReferenceData!$X$139),"")</f>
        <v>99.999999999999986</v>
      </c>
      <c r="Y139">
        <f ca="1">IFERROR(IF(0=LEN(ReferenceData!$Y$139),"",ReferenceData!$Y$139),"")</f>
        <v>99.999999998000007</v>
      </c>
      <c r="Z139">
        <f ca="1">IFERROR(IF(0=LEN(ReferenceData!$Z$139),"",ReferenceData!$Z$139),"")</f>
        <v>99.999999998000021</v>
      </c>
      <c r="AA139">
        <f ca="1">IFERROR(IF(0=LEN(ReferenceData!$AA$139),"",ReferenceData!$AA$139),"")</f>
        <v>99.999999991999985</v>
      </c>
      <c r="AB139">
        <f ca="1">IFERROR(IF(0=LEN(ReferenceData!$AB$139),"",ReferenceData!$AB$139),"")</f>
        <v>100</v>
      </c>
      <c r="AC139">
        <f ca="1">IFERROR(IF(0=LEN(ReferenceData!$AC$139),"",ReferenceData!$AC$139),"")</f>
        <v>100.00000000800001</v>
      </c>
      <c r="AD139">
        <f ca="1">IFERROR(IF(0=LEN(ReferenceData!$AD$139),"",ReferenceData!$AD$139),"")</f>
        <v>99.999999998999996</v>
      </c>
      <c r="AE139">
        <f ca="1">IFERROR(IF(0=LEN(ReferenceData!$AE$139),"",ReferenceData!$AE$139),"")</f>
        <v>100.00000001100001</v>
      </c>
      <c r="AF139">
        <f ca="1">IFERROR(IF(0=LEN(ReferenceData!$AF$139),"",ReferenceData!$AF$139),"")</f>
        <v>100.000000001</v>
      </c>
      <c r="AG139">
        <f ca="1">IFERROR(IF(0=LEN(ReferenceData!$AG$139),"",ReferenceData!$AG$139),"")</f>
        <v>100.00000000099999</v>
      </c>
      <c r="AH139">
        <f ca="1">IFERROR(IF(0=LEN(ReferenceData!$AH$139),"",ReferenceData!$AH$139),"")</f>
        <v>100.000000007</v>
      </c>
      <c r="AI139">
        <f ca="1">IFERROR(IF(0=LEN(ReferenceData!$AI$139),"",ReferenceData!$AI$139),"")</f>
        <v>100.00000000299998</v>
      </c>
      <c r="AJ139">
        <f ca="1">IFERROR(IF(0=LEN(ReferenceData!$AJ$139),"",ReferenceData!$AJ$139),"")</f>
        <v>99.999999993000003</v>
      </c>
      <c r="AK139">
        <f ca="1">IFERROR(IF(0=LEN(ReferenceData!$AK$139),"",ReferenceData!$AK$139),"")</f>
        <v>100.00000000399999</v>
      </c>
      <c r="AL139">
        <f ca="1">IFERROR(IF(0=LEN(ReferenceData!$AL$139),"",ReferenceData!$AL$139),"")</f>
        <v>99.999999996</v>
      </c>
      <c r="AM139">
        <f ca="1">IFERROR(IF(0=LEN(ReferenceData!$AM$139),"",ReferenceData!$AM$139),"")</f>
        <v>100.00000000000001</v>
      </c>
      <c r="AN139">
        <f ca="1">IFERROR(IF(0=LEN(ReferenceData!$AN$139),"",ReferenceData!$AN$139),"")</f>
        <v>99.999999998999996</v>
      </c>
      <c r="AO139">
        <f ca="1">IFERROR(IF(0=LEN(ReferenceData!$AO$139),"",ReferenceData!$AO$139),"")</f>
        <v>99.999999989000003</v>
      </c>
      <c r="AP139">
        <f ca="1">IFERROR(IF(0=LEN(ReferenceData!$AP$139),"",ReferenceData!$AP$139),"")</f>
        <v>99.99999999100001</v>
      </c>
      <c r="AQ139">
        <f ca="1">IFERROR(IF(0=LEN(ReferenceData!$AQ$139),"",ReferenceData!$AQ$139),"")</f>
        <v>100.00000000800001</v>
      </c>
      <c r="AR139">
        <f ca="1">IFERROR(IF(0=LEN(ReferenceData!$AR$139),"",ReferenceData!$AR$139),"")</f>
        <v>99.999999997000003</v>
      </c>
      <c r="AS139">
        <f ca="1">IFERROR(IF(0=LEN(ReferenceData!$AS$139),"",ReferenceData!$AS$139),"")</f>
        <v>100.00000000000001</v>
      </c>
    </row>
    <row r="140" spans="1:45" x14ac:dyDescent="0.25">
      <c r="A140" t="str">
        <f>IFERROR(IF(0=LEN(ReferenceData!$A$140),"",ReferenceData!$A$140),"")</f>
        <v xml:space="preserve">    Daimler</v>
      </c>
      <c r="B140" t="str">
        <f>IFERROR(IF(0=LEN(ReferenceData!$B$140),"",ReferenceData!$B$140),"")</f>
        <v>DAI GR Equity</v>
      </c>
      <c r="C140" t="str">
        <f>IFERROR(IF(0=LEN(ReferenceData!$C$140),"",ReferenceData!$C$140),"")</f>
        <v/>
      </c>
      <c r="D140" t="str">
        <f>IFERROR(IF(0=LEN(ReferenceData!$D$140),"",ReferenceData!$D$140),"")</f>
        <v/>
      </c>
      <c r="E140" t="str">
        <f>IFERROR(IF(0=LEN(ReferenceData!$E$140),"",ReferenceData!$E$140),"")</f>
        <v>Sum</v>
      </c>
      <c r="F140">
        <f ca="1">IFERROR(IF(0=LEN(ReferenceData!$F$140),"",ReferenceData!$F$140),"")</f>
        <v>13.20754717</v>
      </c>
      <c r="G140">
        <f ca="1">IFERROR(IF(0=LEN(ReferenceData!$G$140),"",ReferenceData!$G$140),"")</f>
        <v>12.813370470000001</v>
      </c>
      <c r="H140">
        <f ca="1">IFERROR(IF(0=LEN(ReferenceData!$H$140),"",ReferenceData!$H$140),"")</f>
        <v>12.204234120000001</v>
      </c>
      <c r="I140">
        <f ca="1">IFERROR(IF(0=LEN(ReferenceData!$I$140),"",ReferenceData!$I$140),"")</f>
        <v>14.24418605</v>
      </c>
      <c r="J140">
        <f ca="1">IFERROR(IF(0=LEN(ReferenceData!$J$140),"",ReferenceData!$J$140),"")</f>
        <v>13.691275170000001</v>
      </c>
      <c r="K140">
        <f ca="1">IFERROR(IF(0=LEN(ReferenceData!$K$140),"",ReferenceData!$K$140),"")</f>
        <v>15.170278639999999</v>
      </c>
      <c r="L140">
        <f ca="1">IFERROR(IF(0=LEN(ReferenceData!$L$140),"",ReferenceData!$L$140),"")</f>
        <v>14.263565890000001</v>
      </c>
      <c r="M140">
        <f ca="1">IFERROR(IF(0=LEN(ReferenceData!$M$140),"",ReferenceData!$M$140),"")</f>
        <v>14.5183175</v>
      </c>
      <c r="N140">
        <f ca="1">IFERROR(IF(0=LEN(ReferenceData!$N$140),"",ReferenceData!$N$140),"")</f>
        <v>13.372093019999999</v>
      </c>
      <c r="O140">
        <f ca="1">IFERROR(IF(0=LEN(ReferenceData!$O$140),"",ReferenceData!$O$140),"")</f>
        <v>13.592233009999999</v>
      </c>
      <c r="P140">
        <f ca="1">IFERROR(IF(0=LEN(ReferenceData!$P$140),"",ReferenceData!$P$140),"")</f>
        <v>59.255429159999998</v>
      </c>
      <c r="Q140">
        <f ca="1">IFERROR(IF(0=LEN(ReferenceData!$Q$140),"",ReferenceData!$Q$140),"")</f>
        <v>62.369791660000004</v>
      </c>
      <c r="R140">
        <f ca="1">IFERROR(IF(0=LEN(ReferenceData!$R$140),"",ReferenceData!$R$140),"")</f>
        <v>54.36046511</v>
      </c>
      <c r="S140">
        <f ca="1">IFERROR(IF(0=LEN(ReferenceData!$S$140),"",ReferenceData!$S$140),"")</f>
        <v>52.68414482</v>
      </c>
      <c r="T140">
        <f ca="1">IFERROR(IF(0=LEN(ReferenceData!$T$140),"",ReferenceData!$T$140),"")</f>
        <v>62.386363639999999</v>
      </c>
      <c r="U140">
        <f ca="1">IFERROR(IF(0=LEN(ReferenceData!$U$140),"",ReferenceData!$U$140),"")</f>
        <v>58.722358729999996</v>
      </c>
      <c r="V140">
        <f ca="1">IFERROR(IF(0=LEN(ReferenceData!$V$140),"",ReferenceData!$V$140),"")</f>
        <v>64.971751409999996</v>
      </c>
      <c r="W140">
        <f ca="1">IFERROR(IF(0=LEN(ReferenceData!$W$140),"",ReferenceData!$W$140),"")</f>
        <v>58.796992490000001</v>
      </c>
      <c r="X140">
        <f ca="1">IFERROR(IF(0=LEN(ReferenceData!$X$140),"",ReferenceData!$X$140),"")</f>
        <v>56.25</v>
      </c>
      <c r="Y140">
        <f ca="1">IFERROR(IF(0=LEN(ReferenceData!$Y$140),"",ReferenceData!$Y$140),"")</f>
        <v>61.315789469999999</v>
      </c>
      <c r="Z140">
        <f ca="1">IFERROR(IF(0=LEN(ReferenceData!$Z$140),"",ReferenceData!$Z$140),"")</f>
        <v>57.807308970000001</v>
      </c>
      <c r="AA140">
        <f ca="1">IFERROR(IF(0=LEN(ReferenceData!$AA$140),"",ReferenceData!$AA$140),"")</f>
        <v>53.556485349999996</v>
      </c>
      <c r="AB140">
        <f ca="1">IFERROR(IF(0=LEN(ReferenceData!$AB$140),"",ReferenceData!$AB$140),"")</f>
        <v>51.475409839999998</v>
      </c>
      <c r="AC140">
        <f ca="1">IFERROR(IF(0=LEN(ReferenceData!$AC$140),"",ReferenceData!$AC$140),"")</f>
        <v>51.856946359999995</v>
      </c>
      <c r="AD140">
        <f ca="1">IFERROR(IF(0=LEN(ReferenceData!$AD$140),"",ReferenceData!$AD$140),"")</f>
        <v>50.718390810000002</v>
      </c>
      <c r="AE140">
        <f ca="1">IFERROR(IF(0=LEN(ReferenceData!$AE$140),"",ReferenceData!$AE$140),"")</f>
        <v>50.229007639999999</v>
      </c>
      <c r="AF140">
        <f ca="1">IFERROR(IF(0=LEN(ReferenceData!$AF$140),"",ReferenceData!$AF$140),"")</f>
        <v>51.007751940000006</v>
      </c>
      <c r="AG140">
        <f ca="1">IFERROR(IF(0=LEN(ReferenceData!$AG$140),"",ReferenceData!$AG$140),"")</f>
        <v>54.876273650000002</v>
      </c>
      <c r="AH140">
        <f ca="1">IFERROR(IF(0=LEN(ReferenceData!$AH$140),"",ReferenceData!$AH$140),"")</f>
        <v>55.364806869999995</v>
      </c>
      <c r="AI140">
        <f ca="1">IFERROR(IF(0=LEN(ReferenceData!$AI$140),"",ReferenceData!$AI$140),"")</f>
        <v>44.347826080000004</v>
      </c>
      <c r="AJ140">
        <f ca="1">IFERROR(IF(0=LEN(ReferenceData!$AJ$140),"",ReferenceData!$AJ$140),"")</f>
        <v>60.668380460000002</v>
      </c>
      <c r="AK140">
        <f ca="1">IFERROR(IF(0=LEN(ReferenceData!$AK$140),"",ReferenceData!$AK$140),"")</f>
        <v>48.116438359999997</v>
      </c>
      <c r="AL140">
        <f ca="1">IFERROR(IF(0=LEN(ReferenceData!$AL$140),"",ReferenceData!$AL$140),"")</f>
        <v>44.554455439999998</v>
      </c>
      <c r="AM140">
        <f ca="1">IFERROR(IF(0=LEN(ReferenceData!$AM$140),"",ReferenceData!$AM$140),"")</f>
        <v>49.586776860000001</v>
      </c>
      <c r="AN140">
        <f ca="1">IFERROR(IF(0=LEN(ReferenceData!$AN$140),"",ReferenceData!$AN$140),"")</f>
        <v>42.893401009999998</v>
      </c>
      <c r="AO140">
        <f ca="1">IFERROR(IF(0=LEN(ReferenceData!$AO$140),"",ReferenceData!$AO$140),"")</f>
        <v>42.837465559999998</v>
      </c>
      <c r="AP140">
        <f ca="1">IFERROR(IF(0=LEN(ReferenceData!$AP$140),"",ReferenceData!$AP$140),"")</f>
        <v>42.564802180000001</v>
      </c>
      <c r="AQ140">
        <f ca="1">IFERROR(IF(0=LEN(ReferenceData!$AQ$140),"",ReferenceData!$AQ$140),"")</f>
        <v>46.632124360000006</v>
      </c>
      <c r="AR140">
        <f ca="1">IFERROR(IF(0=LEN(ReferenceData!$AR$140),"",ReferenceData!$AR$140),"")</f>
        <v>64.04494382</v>
      </c>
      <c r="AS140">
        <f ca="1">IFERROR(IF(0=LEN(ReferenceData!$AS$140),"",ReferenceData!$AS$140),"")</f>
        <v>66.143106459999998</v>
      </c>
    </row>
    <row r="141" spans="1:45" x14ac:dyDescent="0.25">
      <c r="A141" t="str">
        <f>IFERROR(IF(0=LEN(ReferenceData!$A$141),"",ReferenceData!$A$141),"")</f>
        <v xml:space="preserve">        Freightliner</v>
      </c>
      <c r="B141" t="str">
        <f>IFERROR(IF(0=LEN(ReferenceData!$B$141),"",ReferenceData!$B$141),"")</f>
        <v>DAI GR Equity</v>
      </c>
      <c r="C141" t="str">
        <f>IFERROR(IF(0=LEN(ReferenceData!$C$141),"",ReferenceData!$C$141),"")</f>
        <v/>
      </c>
      <c r="D141" t="str">
        <f>IFERROR(IF(0=LEN(ReferenceData!$D$141),"",ReferenceData!$D$141),"")</f>
        <v/>
      </c>
      <c r="E141" t="str">
        <f>IFERROR(IF(0=LEN(ReferenceData!$E$141),"",ReferenceData!$E$141),"")</f>
        <v>Expression</v>
      </c>
      <c r="F141">
        <f ca="1">IFERROR(IF(0=LEN(ReferenceData!$F$141),"",ReferenceData!$F$141),"")</f>
        <v>13.20754717</v>
      </c>
      <c r="G141">
        <f ca="1">IFERROR(IF(0=LEN(ReferenceData!$G$141),"",ReferenceData!$G$141),"")</f>
        <v>12.813370470000001</v>
      </c>
      <c r="H141">
        <f ca="1">IFERROR(IF(0=LEN(ReferenceData!$H$141),"",ReferenceData!$H$141),"")</f>
        <v>12.204234120000001</v>
      </c>
      <c r="I141">
        <f ca="1">IFERROR(IF(0=LEN(ReferenceData!$I$141),"",ReferenceData!$I$141),"")</f>
        <v>14.24418605</v>
      </c>
      <c r="J141">
        <f ca="1">IFERROR(IF(0=LEN(ReferenceData!$J$141),"",ReferenceData!$J$141),"")</f>
        <v>13.691275170000001</v>
      </c>
      <c r="K141">
        <f ca="1">IFERROR(IF(0=LEN(ReferenceData!$K$141),"",ReferenceData!$K$141),"")</f>
        <v>15.170278639999999</v>
      </c>
      <c r="L141">
        <f ca="1">IFERROR(IF(0=LEN(ReferenceData!$L$141),"",ReferenceData!$L$141),"")</f>
        <v>14.263565890000001</v>
      </c>
      <c r="M141">
        <f ca="1">IFERROR(IF(0=LEN(ReferenceData!$M$141),"",ReferenceData!$M$141),"")</f>
        <v>14.5183175</v>
      </c>
      <c r="N141">
        <f ca="1">IFERROR(IF(0=LEN(ReferenceData!$N$141),"",ReferenceData!$N$141),"")</f>
        <v>13.372093019999999</v>
      </c>
      <c r="O141">
        <f ca="1">IFERROR(IF(0=LEN(ReferenceData!$O$141),"",ReferenceData!$O$141),"")</f>
        <v>13.592233009999999</v>
      </c>
      <c r="P141">
        <f ca="1">IFERROR(IF(0=LEN(ReferenceData!$P$141),"",ReferenceData!$P$141),"")</f>
        <v>14.47776629</v>
      </c>
      <c r="Q141">
        <f ca="1">IFERROR(IF(0=LEN(ReferenceData!$Q$141),"",ReferenceData!$Q$141),"")</f>
        <v>15.36458333</v>
      </c>
      <c r="R141">
        <f ca="1">IFERROR(IF(0=LEN(ReferenceData!$R$141),"",ReferenceData!$R$141),"")</f>
        <v>11.77325581</v>
      </c>
      <c r="S141">
        <f ca="1">IFERROR(IF(0=LEN(ReferenceData!$S$141),"",ReferenceData!$S$141),"")</f>
        <v>12.983770290000001</v>
      </c>
      <c r="T141">
        <f ca="1">IFERROR(IF(0=LEN(ReferenceData!$T$141),"",ReferenceData!$T$141),"")</f>
        <v>14.886363640000001</v>
      </c>
      <c r="U141">
        <f ca="1">IFERROR(IF(0=LEN(ReferenceData!$U$141),"",ReferenceData!$U$141),"")</f>
        <v>13.636363640000001</v>
      </c>
      <c r="V141">
        <f ca="1">IFERROR(IF(0=LEN(ReferenceData!$V$141),"",ReferenceData!$V$141),"")</f>
        <v>13.67231638</v>
      </c>
      <c r="W141">
        <f ca="1">IFERROR(IF(0=LEN(ReferenceData!$W$141),"",ReferenceData!$W$141),"")</f>
        <v>14.73684211</v>
      </c>
      <c r="X141">
        <f ca="1">IFERROR(IF(0=LEN(ReferenceData!$X$141),"",ReferenceData!$X$141),"")</f>
        <v>14.786585369999999</v>
      </c>
      <c r="Y141">
        <f ca="1">IFERROR(IF(0=LEN(ReferenceData!$Y$141),"",ReferenceData!$Y$141),"")</f>
        <v>12.89473684</v>
      </c>
      <c r="Z141">
        <f ca="1">IFERROR(IF(0=LEN(ReferenceData!$Z$141),"",ReferenceData!$Z$141),"")</f>
        <v>14.6179402</v>
      </c>
      <c r="AA141">
        <f ca="1">IFERROR(IF(0=LEN(ReferenceData!$AA$141),"",ReferenceData!$AA$141),"")</f>
        <v>14.22594142</v>
      </c>
      <c r="AB141">
        <f ca="1">IFERROR(IF(0=LEN(ReferenceData!$AB$141),"",ReferenceData!$AB$141),"")</f>
        <v>14.098360660000001</v>
      </c>
      <c r="AC141">
        <f ca="1">IFERROR(IF(0=LEN(ReferenceData!$AC$141),"",ReferenceData!$AC$141),"")</f>
        <v>14.16781293</v>
      </c>
      <c r="AD141">
        <f ca="1">IFERROR(IF(0=LEN(ReferenceData!$AD$141),"",ReferenceData!$AD$141),"")</f>
        <v>13.79310345</v>
      </c>
      <c r="AE141">
        <f ca="1">IFERROR(IF(0=LEN(ReferenceData!$AE$141),"",ReferenceData!$AE$141),"")</f>
        <v>13.74045802</v>
      </c>
      <c r="AF141">
        <f ca="1">IFERROR(IF(0=LEN(ReferenceData!$AF$141),"",ReferenceData!$AF$141),"")</f>
        <v>13.953488370000001</v>
      </c>
      <c r="AG141">
        <f ca="1">IFERROR(IF(0=LEN(ReferenceData!$AG$141),"",ReferenceData!$AG$141),"")</f>
        <v>13.10043668</v>
      </c>
      <c r="AH141">
        <f ca="1">IFERROR(IF(0=LEN(ReferenceData!$AH$141),"",ReferenceData!$AH$141),"")</f>
        <v>15.02145923</v>
      </c>
      <c r="AI141">
        <f ca="1">IFERROR(IF(0=LEN(ReferenceData!$AI$141),"",ReferenceData!$AI$141),"")</f>
        <v>10.60869565</v>
      </c>
      <c r="AJ141">
        <f ca="1">IFERROR(IF(0=LEN(ReferenceData!$AJ$141),"",ReferenceData!$AJ$141),"")</f>
        <v>30.077120820000001</v>
      </c>
      <c r="AK141">
        <f ca="1">IFERROR(IF(0=LEN(ReferenceData!$AK$141),"",ReferenceData!$AK$141),"")</f>
        <v>14.7260274</v>
      </c>
      <c r="AL141">
        <f ca="1">IFERROR(IF(0=LEN(ReferenceData!$AL$141),"",ReferenceData!$AL$141),"")</f>
        <v>19.471947190000002</v>
      </c>
      <c r="AM141">
        <f ca="1">IFERROR(IF(0=LEN(ReferenceData!$AM$141),"",ReferenceData!$AM$141),"")</f>
        <v>18.677685950000001</v>
      </c>
      <c r="AN141">
        <f ca="1">IFERROR(IF(0=LEN(ReferenceData!$AN$141),"",ReferenceData!$AN$141),"")</f>
        <v>14.720812179999999</v>
      </c>
      <c r="AO141">
        <f ca="1">IFERROR(IF(0=LEN(ReferenceData!$AO$141),"",ReferenceData!$AO$141),"")</f>
        <v>14.73829201</v>
      </c>
      <c r="AP141">
        <f ca="1">IFERROR(IF(0=LEN(ReferenceData!$AP$141),"",ReferenceData!$AP$141),"")</f>
        <v>14.597544340000001</v>
      </c>
      <c r="AQ141">
        <f ca="1">IFERROR(IF(0=LEN(ReferenceData!$AQ$141),"",ReferenceData!$AQ$141),"")</f>
        <v>11.053540590000001</v>
      </c>
      <c r="AR141">
        <f ca="1">IFERROR(IF(0=LEN(ReferenceData!$AR$141),"",ReferenceData!$AR$141),"")</f>
        <v>19.101123600000001</v>
      </c>
      <c r="AS141">
        <f ca="1">IFERROR(IF(0=LEN(ReferenceData!$AS$141),"",ReferenceData!$AS$141),"")</f>
        <v>22.513089010000002</v>
      </c>
    </row>
    <row r="142" spans="1:45" x14ac:dyDescent="0.25">
      <c r="A142" t="str">
        <f>IFERROR(IF(0=LEN(ReferenceData!$A$142),"",ReferenceData!$A$142),"")</f>
        <v xml:space="preserve">        Mercedes-Benz</v>
      </c>
      <c r="B142" t="str">
        <f>IFERROR(IF(0=LEN(ReferenceData!$B$142),"",ReferenceData!$B$142),"")</f>
        <v>DAI GR Equity</v>
      </c>
      <c r="C142" t="str">
        <f>IFERROR(IF(0=LEN(ReferenceData!$C$142),"",ReferenceData!$C$142),"")</f>
        <v/>
      </c>
      <c r="D142" t="str">
        <f>IFERROR(IF(0=LEN(ReferenceData!$D$142),"",ReferenceData!$D$142),"")</f>
        <v/>
      </c>
      <c r="E142" t="str">
        <f>IFERROR(IF(0=LEN(ReferenceData!$E$142),"",ReferenceData!$E$142),"")</f>
        <v>Expression</v>
      </c>
      <c r="F142" t="str">
        <f ca="1">IFERROR(IF(0=LEN(ReferenceData!$F$142),"",ReferenceData!$F$142),"")</f>
        <v/>
      </c>
      <c r="G142" t="str">
        <f ca="1">IFERROR(IF(0=LEN(ReferenceData!$G$142),"",ReferenceData!$G$142),"")</f>
        <v/>
      </c>
      <c r="H142" t="str">
        <f ca="1">IFERROR(IF(0=LEN(ReferenceData!$H$142),"",ReferenceData!$H$142),"")</f>
        <v/>
      </c>
      <c r="I142" t="str">
        <f ca="1">IFERROR(IF(0=LEN(ReferenceData!$I$142),"",ReferenceData!$I$142),"")</f>
        <v/>
      </c>
      <c r="J142" t="str">
        <f ca="1">IFERROR(IF(0=LEN(ReferenceData!$J$142),"",ReferenceData!$J$142),"")</f>
        <v/>
      </c>
      <c r="K142" t="str">
        <f ca="1">IFERROR(IF(0=LEN(ReferenceData!$K$142),"",ReferenceData!$K$142),"")</f>
        <v/>
      </c>
      <c r="L142" t="str">
        <f ca="1">IFERROR(IF(0=LEN(ReferenceData!$L$142),"",ReferenceData!$L$142),"")</f>
        <v/>
      </c>
      <c r="M142" t="str">
        <f ca="1">IFERROR(IF(0=LEN(ReferenceData!$M$142),"",ReferenceData!$M$142),"")</f>
        <v/>
      </c>
      <c r="N142" t="str">
        <f ca="1">IFERROR(IF(0=LEN(ReferenceData!$N$142),"",ReferenceData!$N$142),"")</f>
        <v/>
      </c>
      <c r="O142" t="str">
        <f ca="1">IFERROR(IF(0=LEN(ReferenceData!$O$142),"",ReferenceData!$O$142),"")</f>
        <v/>
      </c>
      <c r="P142">
        <f ca="1">IFERROR(IF(0=LEN(ReferenceData!$P$142),"",ReferenceData!$P$142),"")</f>
        <v>44.77766287</v>
      </c>
      <c r="Q142">
        <f ca="1">IFERROR(IF(0=LEN(ReferenceData!$Q$142),"",ReferenceData!$Q$142),"")</f>
        <v>47.005208330000002</v>
      </c>
      <c r="R142">
        <f ca="1">IFERROR(IF(0=LEN(ReferenceData!$R$142),"",ReferenceData!$R$142),"")</f>
        <v>42.587209299999998</v>
      </c>
      <c r="S142">
        <f ca="1">IFERROR(IF(0=LEN(ReferenceData!$S$142),"",ReferenceData!$S$142),"")</f>
        <v>39.700374529999998</v>
      </c>
      <c r="T142">
        <f ca="1">IFERROR(IF(0=LEN(ReferenceData!$T$142),"",ReferenceData!$T$142),"")</f>
        <v>47.5</v>
      </c>
      <c r="U142">
        <f ca="1">IFERROR(IF(0=LEN(ReferenceData!$U$142),"",ReferenceData!$U$142),"")</f>
        <v>45.085995089999997</v>
      </c>
      <c r="V142">
        <f ca="1">IFERROR(IF(0=LEN(ReferenceData!$V$142),"",ReferenceData!$V$142),"")</f>
        <v>51.299435029999998</v>
      </c>
      <c r="W142">
        <f ca="1">IFERROR(IF(0=LEN(ReferenceData!$W$142),"",ReferenceData!$W$142),"")</f>
        <v>44.060150380000003</v>
      </c>
      <c r="X142">
        <f ca="1">IFERROR(IF(0=LEN(ReferenceData!$X$142),"",ReferenceData!$X$142),"")</f>
        <v>41.463414630000003</v>
      </c>
      <c r="Y142">
        <f ca="1">IFERROR(IF(0=LEN(ReferenceData!$Y$142),"",ReferenceData!$Y$142),"")</f>
        <v>48.421052629999998</v>
      </c>
      <c r="Z142">
        <f ca="1">IFERROR(IF(0=LEN(ReferenceData!$Z$142),"",ReferenceData!$Z$142),"")</f>
        <v>43.189368770000002</v>
      </c>
      <c r="AA142">
        <f ca="1">IFERROR(IF(0=LEN(ReferenceData!$AA$142),"",ReferenceData!$AA$142),"")</f>
        <v>39.330543929999997</v>
      </c>
      <c r="AB142">
        <f ca="1">IFERROR(IF(0=LEN(ReferenceData!$AB$142),"",ReferenceData!$AB$142),"")</f>
        <v>37.37704918</v>
      </c>
      <c r="AC142">
        <f ca="1">IFERROR(IF(0=LEN(ReferenceData!$AC$142),"",ReferenceData!$AC$142),"")</f>
        <v>37.689133429999998</v>
      </c>
      <c r="AD142">
        <f ca="1">IFERROR(IF(0=LEN(ReferenceData!$AD$142),"",ReferenceData!$AD$142),"")</f>
        <v>36.925287359999999</v>
      </c>
      <c r="AE142">
        <f ca="1">IFERROR(IF(0=LEN(ReferenceData!$AE$142),"",ReferenceData!$AE$142),"")</f>
        <v>36.488549620000001</v>
      </c>
      <c r="AF142">
        <f ca="1">IFERROR(IF(0=LEN(ReferenceData!$AF$142),"",ReferenceData!$AF$142),"")</f>
        <v>37.054263570000003</v>
      </c>
      <c r="AG142">
        <f ca="1">IFERROR(IF(0=LEN(ReferenceData!$AG$142),"",ReferenceData!$AG$142),"")</f>
        <v>41.77583697</v>
      </c>
      <c r="AH142">
        <f ca="1">IFERROR(IF(0=LEN(ReferenceData!$AH$142),"",ReferenceData!$AH$142),"")</f>
        <v>40.343347639999998</v>
      </c>
      <c r="AI142">
        <f ca="1">IFERROR(IF(0=LEN(ReferenceData!$AI$142),"",ReferenceData!$AI$142),"")</f>
        <v>33.739130430000003</v>
      </c>
      <c r="AJ142">
        <f ca="1">IFERROR(IF(0=LEN(ReferenceData!$AJ$142),"",ReferenceData!$AJ$142),"")</f>
        <v>30.591259640000001</v>
      </c>
      <c r="AK142">
        <f ca="1">IFERROR(IF(0=LEN(ReferenceData!$AK$142),"",ReferenceData!$AK$142),"")</f>
        <v>33.390410959999997</v>
      </c>
      <c r="AL142">
        <f ca="1">IFERROR(IF(0=LEN(ReferenceData!$AL$142),"",ReferenceData!$AL$142),"")</f>
        <v>25.08250825</v>
      </c>
      <c r="AM142">
        <f ca="1">IFERROR(IF(0=LEN(ReferenceData!$AM$142),"",ReferenceData!$AM$142),"")</f>
        <v>30.90909091</v>
      </c>
      <c r="AN142">
        <f ca="1">IFERROR(IF(0=LEN(ReferenceData!$AN$142),"",ReferenceData!$AN$142),"")</f>
        <v>28.172588829999999</v>
      </c>
      <c r="AO142">
        <f ca="1">IFERROR(IF(0=LEN(ReferenceData!$AO$142),"",ReferenceData!$AO$142),"")</f>
        <v>28.09917355</v>
      </c>
      <c r="AP142">
        <f ca="1">IFERROR(IF(0=LEN(ReferenceData!$AP$142),"",ReferenceData!$AP$142),"")</f>
        <v>27.967257839999998</v>
      </c>
      <c r="AQ142">
        <f ca="1">IFERROR(IF(0=LEN(ReferenceData!$AQ$142),"",ReferenceData!$AQ$142),"")</f>
        <v>35.578583770000002</v>
      </c>
      <c r="AR142">
        <f ca="1">IFERROR(IF(0=LEN(ReferenceData!$AR$142),"",ReferenceData!$AR$142),"")</f>
        <v>44.943820219999999</v>
      </c>
      <c r="AS142">
        <f ca="1">IFERROR(IF(0=LEN(ReferenceData!$AS$142),"",ReferenceData!$AS$142),"")</f>
        <v>43.630017449999997</v>
      </c>
    </row>
    <row r="143" spans="1:45" x14ac:dyDescent="0.25">
      <c r="A143" t="str">
        <f>IFERROR(IF(0=LEN(ReferenceData!$A$143),"",ReferenceData!$A$143),"")</f>
        <v xml:space="preserve">        Sterling</v>
      </c>
      <c r="B143" t="str">
        <f>IFERROR(IF(0=LEN(ReferenceData!$B$143),"",ReferenceData!$B$143),"")</f>
        <v>DAI GR Equity</v>
      </c>
      <c r="C143" t="str">
        <f>IFERROR(IF(0=LEN(ReferenceData!$C$143),"",ReferenceData!$C$143),"")</f>
        <v/>
      </c>
      <c r="D143" t="str">
        <f>IFERROR(IF(0=LEN(ReferenceData!$D$143),"",ReferenceData!$D$143),"")</f>
        <v/>
      </c>
      <c r="E143" t="str">
        <f>IFERROR(IF(0=LEN(ReferenceData!$E$143),"",ReferenceData!$E$143),"")</f>
        <v>Expression</v>
      </c>
      <c r="F143" t="str">
        <f ca="1">IFERROR(IF(0=LEN(ReferenceData!$F$143),"",ReferenceData!$F$143),"")</f>
        <v/>
      </c>
      <c r="G143" t="str">
        <f ca="1">IFERROR(IF(0=LEN(ReferenceData!$G$143),"",ReferenceData!$G$143),"")</f>
        <v/>
      </c>
      <c r="H143" t="str">
        <f ca="1">IFERROR(IF(0=LEN(ReferenceData!$H$143),"",ReferenceData!$H$143),"")</f>
        <v/>
      </c>
      <c r="I143" t="str">
        <f ca="1">IFERROR(IF(0=LEN(ReferenceData!$I$143),"",ReferenceData!$I$143),"")</f>
        <v/>
      </c>
      <c r="J143" t="str">
        <f ca="1">IFERROR(IF(0=LEN(ReferenceData!$J$143),"",ReferenceData!$J$143),"")</f>
        <v/>
      </c>
      <c r="K143" t="str">
        <f ca="1">IFERROR(IF(0=LEN(ReferenceData!$K$143),"",ReferenceData!$K$143),"")</f>
        <v/>
      </c>
      <c r="L143" t="str">
        <f ca="1">IFERROR(IF(0=LEN(ReferenceData!$L$143),"",ReferenceData!$L$143),"")</f>
        <v/>
      </c>
      <c r="M143" t="str">
        <f ca="1">IFERROR(IF(0=LEN(ReferenceData!$M$143),"",ReferenceData!$M$143),"")</f>
        <v/>
      </c>
      <c r="N143" t="str">
        <f ca="1">IFERROR(IF(0=LEN(ReferenceData!$N$143),"",ReferenceData!$N$143),"")</f>
        <v/>
      </c>
      <c r="O143" t="str">
        <f ca="1">IFERROR(IF(0=LEN(ReferenceData!$O$143),"",ReferenceData!$O$143),"")</f>
        <v/>
      </c>
      <c r="P143" t="str">
        <f ca="1">IFERROR(IF(0=LEN(ReferenceData!$P$143),"",ReferenceData!$P$143),"")</f>
        <v/>
      </c>
      <c r="Q143" t="str">
        <f ca="1">IFERROR(IF(0=LEN(ReferenceData!$Q$143),"",ReferenceData!$Q$143),"")</f>
        <v/>
      </c>
      <c r="R143" t="str">
        <f ca="1">IFERROR(IF(0=LEN(ReferenceData!$R$143),"",ReferenceData!$R$143),"")</f>
        <v/>
      </c>
      <c r="S143" t="str">
        <f ca="1">IFERROR(IF(0=LEN(ReferenceData!$S$143),"",ReferenceData!$S$143),"")</f>
        <v/>
      </c>
      <c r="T143" t="str">
        <f ca="1">IFERROR(IF(0=LEN(ReferenceData!$T$143),"",ReferenceData!$T$143),"")</f>
        <v/>
      </c>
      <c r="U143" t="str">
        <f ca="1">IFERROR(IF(0=LEN(ReferenceData!$U$143),"",ReferenceData!$U$143),"")</f>
        <v/>
      </c>
      <c r="V143" t="str">
        <f ca="1">IFERROR(IF(0=LEN(ReferenceData!$V$143),"",ReferenceData!$V$143),"")</f>
        <v/>
      </c>
      <c r="W143" t="str">
        <f ca="1">IFERROR(IF(0=LEN(ReferenceData!$W$143),"",ReferenceData!$W$143),"")</f>
        <v/>
      </c>
      <c r="X143" t="str">
        <f ca="1">IFERROR(IF(0=LEN(ReferenceData!$X$143),"",ReferenceData!$X$143),"")</f>
        <v/>
      </c>
      <c r="Y143" t="str">
        <f ca="1">IFERROR(IF(0=LEN(ReferenceData!$Y$143),"",ReferenceData!$Y$143),"")</f>
        <v/>
      </c>
      <c r="Z143" t="str">
        <f ca="1">IFERROR(IF(0=LEN(ReferenceData!$Z$143),"",ReferenceData!$Z$143),"")</f>
        <v/>
      </c>
      <c r="AA143" t="str">
        <f ca="1">IFERROR(IF(0=LEN(ReferenceData!$AA$143),"",ReferenceData!$AA$143),"")</f>
        <v/>
      </c>
      <c r="AB143" t="str">
        <f ca="1">IFERROR(IF(0=LEN(ReferenceData!$AB$143),"",ReferenceData!$AB$143),"")</f>
        <v/>
      </c>
      <c r="AC143" t="str">
        <f ca="1">IFERROR(IF(0=LEN(ReferenceData!$AC$143),"",ReferenceData!$AC$143),"")</f>
        <v/>
      </c>
      <c r="AD143" t="str">
        <f ca="1">IFERROR(IF(0=LEN(ReferenceData!$AD$143),"",ReferenceData!$AD$143),"")</f>
        <v/>
      </c>
      <c r="AE143" t="str">
        <f ca="1">IFERROR(IF(0=LEN(ReferenceData!$AE$143),"",ReferenceData!$AE$143),"")</f>
        <v/>
      </c>
      <c r="AF143" t="str">
        <f ca="1">IFERROR(IF(0=LEN(ReferenceData!$AF$143),"",ReferenceData!$AF$143),"")</f>
        <v/>
      </c>
      <c r="AG143" t="str">
        <f ca="1">IFERROR(IF(0=LEN(ReferenceData!$AG$143),"",ReferenceData!$AG$143),"")</f>
        <v/>
      </c>
      <c r="AH143" t="str">
        <f ca="1">IFERROR(IF(0=LEN(ReferenceData!$AH$143),"",ReferenceData!$AH$143),"")</f>
        <v/>
      </c>
      <c r="AI143" t="str">
        <f ca="1">IFERROR(IF(0=LEN(ReferenceData!$AI$143),"",ReferenceData!$AI$143),"")</f>
        <v/>
      </c>
      <c r="AJ143" t="str">
        <f ca="1">IFERROR(IF(0=LEN(ReferenceData!$AJ$143),"",ReferenceData!$AJ$143),"")</f>
        <v/>
      </c>
      <c r="AK143" t="str">
        <f ca="1">IFERROR(IF(0=LEN(ReferenceData!$AK$143),"",ReferenceData!$AK$143),"")</f>
        <v/>
      </c>
      <c r="AL143" t="str">
        <f ca="1">IFERROR(IF(0=LEN(ReferenceData!$AL$143),"",ReferenceData!$AL$143),"")</f>
        <v/>
      </c>
      <c r="AM143" t="str">
        <f ca="1">IFERROR(IF(0=LEN(ReferenceData!$AM$143),"",ReferenceData!$AM$143),"")</f>
        <v/>
      </c>
      <c r="AN143" t="str">
        <f ca="1">IFERROR(IF(0=LEN(ReferenceData!$AN$143),"",ReferenceData!$AN$143),"")</f>
        <v/>
      </c>
      <c r="AO143" t="str">
        <f ca="1">IFERROR(IF(0=LEN(ReferenceData!$AO$143),"",ReferenceData!$AO$143),"")</f>
        <v/>
      </c>
      <c r="AP143" t="str">
        <f ca="1">IFERROR(IF(0=LEN(ReferenceData!$AP$143),"",ReferenceData!$AP$143),"")</f>
        <v/>
      </c>
      <c r="AQ143" t="str">
        <f ca="1">IFERROR(IF(0=LEN(ReferenceData!$AQ$143),"",ReferenceData!$AQ$143),"")</f>
        <v/>
      </c>
      <c r="AR143" t="str">
        <f ca="1">IFERROR(IF(0=LEN(ReferenceData!$AR$143),"",ReferenceData!$AR$143),"")</f>
        <v/>
      </c>
      <c r="AS143" t="str">
        <f ca="1">IFERROR(IF(0=LEN(ReferenceData!$AS$143),"",ReferenceData!$AS$143),"")</f>
        <v/>
      </c>
    </row>
    <row r="144" spans="1:45" x14ac:dyDescent="0.25">
      <c r="A144" t="str">
        <f>IFERROR(IF(0=LEN(ReferenceData!$A$144),"",ReferenceData!$A$144),"")</f>
        <v xml:space="preserve">    Navistar</v>
      </c>
      <c r="B144" t="str">
        <f>IFERROR(IF(0=LEN(ReferenceData!$B$144),"",ReferenceData!$B$144),"")</f>
        <v/>
      </c>
      <c r="C144" t="str">
        <f>IFERROR(IF(0=LEN(ReferenceData!$C$144),"",ReferenceData!$C$144),"")</f>
        <v/>
      </c>
      <c r="D144" t="str">
        <f>IFERROR(IF(0=LEN(ReferenceData!$D$144),"",ReferenceData!$D$144),"")</f>
        <v/>
      </c>
      <c r="E144" t="str">
        <f>IFERROR(IF(0=LEN(ReferenceData!$E$144),"",ReferenceData!$E$144),"")</f>
        <v>Sum</v>
      </c>
      <c r="F144">
        <f ca="1">IFERROR(IF(0=LEN(ReferenceData!$F$144),"",ReferenceData!$F$144),"")</f>
        <v>22.776280320000001</v>
      </c>
      <c r="G144">
        <f ca="1">IFERROR(IF(0=LEN(ReferenceData!$G$144),"",ReferenceData!$G$144),"")</f>
        <v>16.71309192</v>
      </c>
      <c r="H144">
        <f ca="1">IFERROR(IF(0=LEN(ReferenceData!$H$144),"",ReferenceData!$H$144),"")</f>
        <v>22.41594022</v>
      </c>
      <c r="I144">
        <f ca="1">IFERROR(IF(0=LEN(ReferenceData!$I$144),"",ReferenceData!$I$144),"")</f>
        <v>16.71511628</v>
      </c>
      <c r="J144">
        <f ca="1">IFERROR(IF(0=LEN(ReferenceData!$J$144),"",ReferenceData!$J$144),"")</f>
        <v>15.70469799</v>
      </c>
      <c r="K144">
        <f ca="1">IFERROR(IF(0=LEN(ReferenceData!$K$144),"",ReferenceData!$K$144),"")</f>
        <v>16.873065019999999</v>
      </c>
      <c r="L144">
        <f ca="1">IFERROR(IF(0=LEN(ReferenceData!$L$144),"",ReferenceData!$L$144),"")</f>
        <v>17.519379839999999</v>
      </c>
      <c r="M144">
        <f ca="1">IFERROR(IF(0=LEN(ReferenceData!$M$144),"",ReferenceData!$M$144),"")</f>
        <v>16.010854819999999</v>
      </c>
      <c r="N144">
        <f ca="1">IFERROR(IF(0=LEN(ReferenceData!$N$144),"",ReferenceData!$N$144),"")</f>
        <v>23.401162790000001</v>
      </c>
      <c r="O144">
        <f ca="1">IFERROR(IF(0=LEN(ReferenceData!$O$144),"",ReferenceData!$O$144),"")</f>
        <v>23.994452150000001</v>
      </c>
      <c r="P144">
        <f ca="1">IFERROR(IF(0=LEN(ReferenceData!$P$144),"",ReferenceData!$P$144),"")</f>
        <v>13.85729059</v>
      </c>
      <c r="Q144">
        <f ca="1">IFERROR(IF(0=LEN(ReferenceData!$Q$144),"",ReferenceData!$Q$144),"")</f>
        <v>10.28645833</v>
      </c>
      <c r="R144">
        <f ca="1">IFERROR(IF(0=LEN(ReferenceData!$R$144),"",ReferenceData!$R$144),"")</f>
        <v>21.802325580000002</v>
      </c>
      <c r="S144">
        <f ca="1">IFERROR(IF(0=LEN(ReferenceData!$S$144),"",ReferenceData!$S$144),"")</f>
        <v>24.59425718</v>
      </c>
      <c r="T144">
        <f ca="1">IFERROR(IF(0=LEN(ReferenceData!$T$144),"",ReferenceData!$T$144),"")</f>
        <v>17.386363639999999</v>
      </c>
      <c r="U144">
        <f ca="1">IFERROR(IF(0=LEN(ReferenceData!$U$144),"",ReferenceData!$U$144),"")</f>
        <v>22.358722360000002</v>
      </c>
      <c r="V144">
        <f ca="1">IFERROR(IF(0=LEN(ReferenceData!$V$144),"",ReferenceData!$V$144),"")</f>
        <v>17.74011299</v>
      </c>
      <c r="W144">
        <f ca="1">IFERROR(IF(0=LEN(ReferenceData!$W$144),"",ReferenceData!$W$144),"")</f>
        <v>15.4887218</v>
      </c>
      <c r="X144">
        <f ca="1">IFERROR(IF(0=LEN(ReferenceData!$X$144),"",ReferenceData!$X$144),"")</f>
        <v>18.445121950000001</v>
      </c>
      <c r="Y144">
        <f ca="1">IFERROR(IF(0=LEN(ReferenceData!$Y$144),"",ReferenceData!$Y$144),"")</f>
        <v>19.078947370000002</v>
      </c>
      <c r="Z144">
        <f ca="1">IFERROR(IF(0=LEN(ReferenceData!$Z$144),"",ReferenceData!$Z$144),"")</f>
        <v>20.764119600000001</v>
      </c>
      <c r="AA144">
        <f ca="1">IFERROR(IF(0=LEN(ReferenceData!$AA$144),"",ReferenceData!$AA$144),"")</f>
        <v>15.89958159</v>
      </c>
      <c r="AB144">
        <f ca="1">IFERROR(IF(0=LEN(ReferenceData!$AB$144),"",ReferenceData!$AB$144),"")</f>
        <v>15.6284153</v>
      </c>
      <c r="AC144">
        <f ca="1">IFERROR(IF(0=LEN(ReferenceData!$AC$144),"",ReferenceData!$AC$144),"")</f>
        <v>15.543328750000001</v>
      </c>
      <c r="AD144">
        <f ca="1">IFERROR(IF(0=LEN(ReferenceData!$AD$144),"",ReferenceData!$AD$144),"")</f>
        <v>16.091954019999999</v>
      </c>
      <c r="AE144">
        <f ca="1">IFERROR(IF(0=LEN(ReferenceData!$AE$144),"",ReferenceData!$AE$144),"")</f>
        <v>18.625954199999999</v>
      </c>
      <c r="AF144">
        <f ca="1">IFERROR(IF(0=LEN(ReferenceData!$AF$144),"",ReferenceData!$AF$144),"")</f>
        <v>13.953488370000001</v>
      </c>
      <c r="AG144">
        <f ca="1">IFERROR(IF(0=LEN(ReferenceData!$AG$144),"",ReferenceData!$AG$144),"")</f>
        <v>13.391557499999999</v>
      </c>
      <c r="AH144">
        <f ca="1">IFERROR(IF(0=LEN(ReferenceData!$AH$144),"",ReferenceData!$AH$144),"")</f>
        <v>15.45064378</v>
      </c>
      <c r="AI144">
        <f ca="1">IFERROR(IF(0=LEN(ReferenceData!$AI$144),"",ReferenceData!$AI$144),"")</f>
        <v>22.260869570000001</v>
      </c>
      <c r="AJ144">
        <f ca="1">IFERROR(IF(0=LEN(ReferenceData!$AJ$144),"",ReferenceData!$AJ$144),"")</f>
        <v>16.58097686</v>
      </c>
      <c r="AK144">
        <f ca="1">IFERROR(IF(0=LEN(ReferenceData!$AK$144),"",ReferenceData!$AK$144),"")</f>
        <v>11.98630137</v>
      </c>
      <c r="AL144">
        <f ca="1">IFERROR(IF(0=LEN(ReferenceData!$AL$144),"",ReferenceData!$AL$144),"")</f>
        <v>19.636963699999999</v>
      </c>
      <c r="AM144">
        <f ca="1">IFERROR(IF(0=LEN(ReferenceData!$AM$144),"",ReferenceData!$AM$144),"")</f>
        <v>12.231404960000001</v>
      </c>
      <c r="AN144">
        <f ca="1">IFERROR(IF(0=LEN(ReferenceData!$AN$144),"",ReferenceData!$AN$144),"")</f>
        <v>17.639593909999999</v>
      </c>
      <c r="AO144">
        <f ca="1">IFERROR(IF(0=LEN(ReferenceData!$AO$144),"",ReferenceData!$AO$144),"")</f>
        <v>17.355371900000002</v>
      </c>
      <c r="AP144">
        <f ca="1">IFERROR(IF(0=LEN(ReferenceData!$AP$144),"",ReferenceData!$AP$144),"")</f>
        <v>17.462482949999998</v>
      </c>
      <c r="AQ144">
        <f ca="1">IFERROR(IF(0=LEN(ReferenceData!$AQ$144),"",ReferenceData!$AQ$144),"")</f>
        <v>12.95336788</v>
      </c>
      <c r="AR144">
        <f ca="1">IFERROR(IF(0=LEN(ReferenceData!$AR$144),"",ReferenceData!$AR$144),"")</f>
        <v>15.89085072</v>
      </c>
      <c r="AS144">
        <f ca="1">IFERROR(IF(0=LEN(ReferenceData!$AS$144),"",ReferenceData!$AS$144),"")</f>
        <v>17.102966840000001</v>
      </c>
    </row>
    <row r="145" spans="1:45" x14ac:dyDescent="0.25">
      <c r="A145" t="str">
        <f>IFERROR(IF(0=LEN(ReferenceData!$A$145),"",ReferenceData!$A$145),"")</f>
        <v xml:space="preserve">        International</v>
      </c>
      <c r="B145" t="str">
        <f>IFERROR(IF(0=LEN(ReferenceData!$B$145),"",ReferenceData!$B$145),"")</f>
        <v>NAV US Equity</v>
      </c>
      <c r="C145" t="str">
        <f>IFERROR(IF(0=LEN(ReferenceData!$C$145),"",ReferenceData!$C$145),"")</f>
        <v/>
      </c>
      <c r="D145" t="str">
        <f>IFERROR(IF(0=LEN(ReferenceData!$D$145),"",ReferenceData!$D$145),"")</f>
        <v/>
      </c>
      <c r="E145" t="str">
        <f>IFERROR(IF(0=LEN(ReferenceData!$E$145),"",ReferenceData!$E$145),"")</f>
        <v>Expression</v>
      </c>
      <c r="F145">
        <f ca="1">IFERROR(IF(0=LEN(ReferenceData!$F$145),"",ReferenceData!$F$145),"")</f>
        <v>22.776280320000001</v>
      </c>
      <c r="G145">
        <f ca="1">IFERROR(IF(0=LEN(ReferenceData!$G$145),"",ReferenceData!$G$145),"")</f>
        <v>16.71309192</v>
      </c>
      <c r="H145">
        <f ca="1">IFERROR(IF(0=LEN(ReferenceData!$H$145),"",ReferenceData!$H$145),"")</f>
        <v>22.41594022</v>
      </c>
      <c r="I145">
        <f ca="1">IFERROR(IF(0=LEN(ReferenceData!$I$145),"",ReferenceData!$I$145),"")</f>
        <v>16.71511628</v>
      </c>
      <c r="J145">
        <f ca="1">IFERROR(IF(0=LEN(ReferenceData!$J$145),"",ReferenceData!$J$145),"")</f>
        <v>15.70469799</v>
      </c>
      <c r="K145">
        <f ca="1">IFERROR(IF(0=LEN(ReferenceData!$K$145),"",ReferenceData!$K$145),"")</f>
        <v>16.873065019999999</v>
      </c>
      <c r="L145">
        <f ca="1">IFERROR(IF(0=LEN(ReferenceData!$L$145),"",ReferenceData!$L$145),"")</f>
        <v>17.519379839999999</v>
      </c>
      <c r="M145">
        <f ca="1">IFERROR(IF(0=LEN(ReferenceData!$M$145),"",ReferenceData!$M$145),"")</f>
        <v>16.010854819999999</v>
      </c>
      <c r="N145">
        <f ca="1">IFERROR(IF(0=LEN(ReferenceData!$N$145),"",ReferenceData!$N$145),"")</f>
        <v>23.401162790000001</v>
      </c>
      <c r="O145">
        <f ca="1">IFERROR(IF(0=LEN(ReferenceData!$O$145),"",ReferenceData!$O$145),"")</f>
        <v>23.994452150000001</v>
      </c>
      <c r="P145">
        <f ca="1">IFERROR(IF(0=LEN(ReferenceData!$P$145),"",ReferenceData!$P$145),"")</f>
        <v>13.85729059</v>
      </c>
      <c r="Q145">
        <f ca="1">IFERROR(IF(0=LEN(ReferenceData!$Q$145),"",ReferenceData!$Q$145),"")</f>
        <v>10.28645833</v>
      </c>
      <c r="R145">
        <f ca="1">IFERROR(IF(0=LEN(ReferenceData!$R$145),"",ReferenceData!$R$145),"")</f>
        <v>21.802325580000002</v>
      </c>
      <c r="S145">
        <f ca="1">IFERROR(IF(0=LEN(ReferenceData!$S$145),"",ReferenceData!$S$145),"")</f>
        <v>24.59425718</v>
      </c>
      <c r="T145">
        <f ca="1">IFERROR(IF(0=LEN(ReferenceData!$T$145),"",ReferenceData!$T$145),"")</f>
        <v>17.386363639999999</v>
      </c>
      <c r="U145">
        <f ca="1">IFERROR(IF(0=LEN(ReferenceData!$U$145),"",ReferenceData!$U$145),"")</f>
        <v>22.358722360000002</v>
      </c>
      <c r="V145">
        <f ca="1">IFERROR(IF(0=LEN(ReferenceData!$V$145),"",ReferenceData!$V$145),"")</f>
        <v>17.74011299</v>
      </c>
      <c r="W145">
        <f ca="1">IFERROR(IF(0=LEN(ReferenceData!$W$145),"",ReferenceData!$W$145),"")</f>
        <v>15.4887218</v>
      </c>
      <c r="X145">
        <f ca="1">IFERROR(IF(0=LEN(ReferenceData!$X$145),"",ReferenceData!$X$145),"")</f>
        <v>18.445121950000001</v>
      </c>
      <c r="Y145">
        <f ca="1">IFERROR(IF(0=LEN(ReferenceData!$Y$145),"",ReferenceData!$Y$145),"")</f>
        <v>19.078947370000002</v>
      </c>
      <c r="Z145">
        <f ca="1">IFERROR(IF(0=LEN(ReferenceData!$Z$145),"",ReferenceData!$Z$145),"")</f>
        <v>20.764119600000001</v>
      </c>
      <c r="AA145">
        <f ca="1">IFERROR(IF(0=LEN(ReferenceData!$AA$145),"",ReferenceData!$AA$145),"")</f>
        <v>15.89958159</v>
      </c>
      <c r="AB145">
        <f ca="1">IFERROR(IF(0=LEN(ReferenceData!$AB$145),"",ReferenceData!$AB$145),"")</f>
        <v>15.6284153</v>
      </c>
      <c r="AC145">
        <f ca="1">IFERROR(IF(0=LEN(ReferenceData!$AC$145),"",ReferenceData!$AC$145),"")</f>
        <v>15.543328750000001</v>
      </c>
      <c r="AD145">
        <f ca="1">IFERROR(IF(0=LEN(ReferenceData!$AD$145),"",ReferenceData!$AD$145),"")</f>
        <v>16.091954019999999</v>
      </c>
      <c r="AE145">
        <f ca="1">IFERROR(IF(0=LEN(ReferenceData!$AE$145),"",ReferenceData!$AE$145),"")</f>
        <v>18.625954199999999</v>
      </c>
      <c r="AF145">
        <f ca="1">IFERROR(IF(0=LEN(ReferenceData!$AF$145),"",ReferenceData!$AF$145),"")</f>
        <v>13.953488370000001</v>
      </c>
      <c r="AG145">
        <f ca="1">IFERROR(IF(0=LEN(ReferenceData!$AG$145),"",ReferenceData!$AG$145),"")</f>
        <v>13.391557499999999</v>
      </c>
      <c r="AH145">
        <f ca="1">IFERROR(IF(0=LEN(ReferenceData!$AH$145),"",ReferenceData!$AH$145),"")</f>
        <v>15.45064378</v>
      </c>
      <c r="AI145">
        <f ca="1">IFERROR(IF(0=LEN(ReferenceData!$AI$145),"",ReferenceData!$AI$145),"")</f>
        <v>22.260869570000001</v>
      </c>
      <c r="AJ145">
        <f ca="1">IFERROR(IF(0=LEN(ReferenceData!$AJ$145),"",ReferenceData!$AJ$145),"")</f>
        <v>16.58097686</v>
      </c>
      <c r="AK145">
        <f ca="1">IFERROR(IF(0=LEN(ReferenceData!$AK$145),"",ReferenceData!$AK$145),"")</f>
        <v>11.98630137</v>
      </c>
      <c r="AL145">
        <f ca="1">IFERROR(IF(0=LEN(ReferenceData!$AL$145),"",ReferenceData!$AL$145),"")</f>
        <v>19.636963699999999</v>
      </c>
      <c r="AM145">
        <f ca="1">IFERROR(IF(0=LEN(ReferenceData!$AM$145),"",ReferenceData!$AM$145),"")</f>
        <v>12.231404960000001</v>
      </c>
      <c r="AN145">
        <f ca="1">IFERROR(IF(0=LEN(ReferenceData!$AN$145),"",ReferenceData!$AN$145),"")</f>
        <v>17.639593909999999</v>
      </c>
      <c r="AO145">
        <f ca="1">IFERROR(IF(0=LEN(ReferenceData!$AO$145),"",ReferenceData!$AO$145),"")</f>
        <v>17.355371900000002</v>
      </c>
      <c r="AP145">
        <f ca="1">IFERROR(IF(0=LEN(ReferenceData!$AP$145),"",ReferenceData!$AP$145),"")</f>
        <v>17.462482949999998</v>
      </c>
      <c r="AQ145">
        <f ca="1">IFERROR(IF(0=LEN(ReferenceData!$AQ$145),"",ReferenceData!$AQ$145),"")</f>
        <v>12.95336788</v>
      </c>
      <c r="AR145">
        <f ca="1">IFERROR(IF(0=LEN(ReferenceData!$AR$145),"",ReferenceData!$AR$145),"")</f>
        <v>15.89085072</v>
      </c>
      <c r="AS145">
        <f ca="1">IFERROR(IF(0=LEN(ReferenceData!$AS$145),"",ReferenceData!$AS$145),"")</f>
        <v>17.102966840000001</v>
      </c>
    </row>
    <row r="146" spans="1:45" x14ac:dyDescent="0.25">
      <c r="A146" t="str">
        <f>IFERROR(IF(0=LEN(ReferenceData!$A$146),"",ReferenceData!$A$146),"")</f>
        <v xml:space="preserve">    Isuzu</v>
      </c>
      <c r="B146" t="str">
        <f>IFERROR(IF(0=LEN(ReferenceData!$B$146),"",ReferenceData!$B$146),"")</f>
        <v>7202 JP Equity</v>
      </c>
      <c r="C146" t="str">
        <f>IFERROR(IF(0=LEN(ReferenceData!$C$146),"",ReferenceData!$C$146),"")</f>
        <v/>
      </c>
      <c r="D146" t="str">
        <f>IFERROR(IF(0=LEN(ReferenceData!$D$146),"",ReferenceData!$D$146),"")</f>
        <v/>
      </c>
      <c r="E146" t="str">
        <f>IFERROR(IF(0=LEN(ReferenceData!$E$146),"",ReferenceData!$E$146),"")</f>
        <v>Expression</v>
      </c>
      <c r="F146" t="str">
        <f ca="1">IFERROR(IF(0=LEN(ReferenceData!$F$146),"",ReferenceData!$F$146),"")</f>
        <v/>
      </c>
      <c r="G146">
        <f ca="1">IFERROR(IF(0=LEN(ReferenceData!$G$146),"",ReferenceData!$G$146),"")</f>
        <v>0</v>
      </c>
      <c r="H146">
        <f ca="1">IFERROR(IF(0=LEN(ReferenceData!$H$146),"",ReferenceData!$H$146),"")</f>
        <v>0</v>
      </c>
      <c r="I146">
        <f ca="1">IFERROR(IF(0=LEN(ReferenceData!$I$146),"",ReferenceData!$I$146),"")</f>
        <v>0</v>
      </c>
      <c r="J146">
        <f ca="1">IFERROR(IF(0=LEN(ReferenceData!$J$146),"",ReferenceData!$J$146),"")</f>
        <v>0</v>
      </c>
      <c r="K146">
        <f ca="1">IFERROR(IF(0=LEN(ReferenceData!$K$146),"",ReferenceData!$K$146),"")</f>
        <v>0</v>
      </c>
      <c r="L146">
        <f ca="1">IFERROR(IF(0=LEN(ReferenceData!$L$146),"",ReferenceData!$L$146),"")</f>
        <v>0</v>
      </c>
      <c r="M146">
        <f ca="1">IFERROR(IF(0=LEN(ReferenceData!$M$146),"",ReferenceData!$M$146),"")</f>
        <v>0</v>
      </c>
      <c r="N146">
        <f ca="1">IFERROR(IF(0=LEN(ReferenceData!$N$146),"",ReferenceData!$N$146),"")</f>
        <v>0</v>
      </c>
      <c r="O146">
        <f ca="1">IFERROR(IF(0=LEN(ReferenceData!$O$146),"",ReferenceData!$O$146),"")</f>
        <v>0</v>
      </c>
      <c r="P146">
        <f ca="1">IFERROR(IF(0=LEN(ReferenceData!$P$146),"",ReferenceData!$P$146),"")</f>
        <v>4.3433298860000003</v>
      </c>
      <c r="Q146">
        <f ca="1">IFERROR(IF(0=LEN(ReferenceData!$Q$146),"",ReferenceData!$Q$146),"")</f>
        <v>4.6875</v>
      </c>
      <c r="R146">
        <f ca="1">IFERROR(IF(0=LEN(ReferenceData!$R$146),"",ReferenceData!$R$146),"")</f>
        <v>2.7616279069999998</v>
      </c>
      <c r="S146">
        <f ca="1">IFERROR(IF(0=LEN(ReferenceData!$S$146),"",ReferenceData!$S$146),"")</f>
        <v>3.9950062420000001</v>
      </c>
      <c r="T146">
        <f ca="1">IFERROR(IF(0=LEN(ReferenceData!$T$146),"",ReferenceData!$T$146),"")</f>
        <v>4.3181818180000002</v>
      </c>
      <c r="U146">
        <f ca="1">IFERROR(IF(0=LEN(ReferenceData!$U$146),"",ReferenceData!$U$146),"")</f>
        <v>3.8083538080000001</v>
      </c>
      <c r="V146">
        <f ca="1">IFERROR(IF(0=LEN(ReferenceData!$V$146),"",ReferenceData!$V$146),"")</f>
        <v>2.937853107</v>
      </c>
      <c r="W146">
        <f ca="1">IFERROR(IF(0=LEN(ReferenceData!$W$146),"",ReferenceData!$W$146),"")</f>
        <v>4.661654135</v>
      </c>
      <c r="X146">
        <f ca="1">IFERROR(IF(0=LEN(ReferenceData!$X$146),"",ReferenceData!$X$146),"")</f>
        <v>5.0304878049999999</v>
      </c>
      <c r="Y146">
        <f ca="1">IFERROR(IF(0=LEN(ReferenceData!$Y$146),"",ReferenceData!$Y$146),"")</f>
        <v>2.763157895</v>
      </c>
      <c r="Z146">
        <f ca="1">IFERROR(IF(0=LEN(ReferenceData!$Z$146),"",ReferenceData!$Z$146),"")</f>
        <v>4.651162791</v>
      </c>
      <c r="AA146">
        <f ca="1">IFERROR(IF(0=LEN(ReferenceData!$AA$146),"",ReferenceData!$AA$146),"")</f>
        <v>4.8117154810000002</v>
      </c>
      <c r="AB146">
        <f ca="1">IFERROR(IF(0=LEN(ReferenceData!$AB$146),"",ReferenceData!$AB$146),"")</f>
        <v>10.273224040000001</v>
      </c>
      <c r="AC146">
        <f ca="1">IFERROR(IF(0=LEN(ReferenceData!$AC$146),"",ReferenceData!$AC$146),"")</f>
        <v>10.31636864</v>
      </c>
      <c r="AD146">
        <f ca="1">IFERROR(IF(0=LEN(ReferenceData!$AD$146),"",ReferenceData!$AD$146),"")</f>
        <v>10.05747126</v>
      </c>
      <c r="AE146">
        <f ca="1">IFERROR(IF(0=LEN(ReferenceData!$AE$146),"",ReferenceData!$AE$146),"")</f>
        <v>10.07633588</v>
      </c>
      <c r="AF146">
        <f ca="1">IFERROR(IF(0=LEN(ReferenceData!$AF$146),"",ReferenceData!$AF$146),"")</f>
        <v>10.23255814</v>
      </c>
      <c r="AG146">
        <f ca="1">IFERROR(IF(0=LEN(ReferenceData!$AG$146),"",ReferenceData!$AG$146),"")</f>
        <v>9.6069869000000008</v>
      </c>
      <c r="AH146">
        <f ca="1">IFERROR(IF(0=LEN(ReferenceData!$AH$146),"",ReferenceData!$AH$146),"")</f>
        <v>9.0128755359999992</v>
      </c>
      <c r="AI146">
        <f ca="1">IFERROR(IF(0=LEN(ReferenceData!$AI$146),"",ReferenceData!$AI$146),"")</f>
        <v>10.260869570000001</v>
      </c>
      <c r="AJ146">
        <f ca="1">IFERROR(IF(0=LEN(ReferenceData!$AJ$146),"",ReferenceData!$AJ$146),"")</f>
        <v>7.1979434449999999</v>
      </c>
      <c r="AK146">
        <f ca="1">IFERROR(IF(0=LEN(ReferenceData!$AK$146),"",ReferenceData!$AK$146),"")</f>
        <v>12.5</v>
      </c>
      <c r="AL146">
        <f ca="1">IFERROR(IF(0=LEN(ReferenceData!$AL$146),"",ReferenceData!$AL$146),"")</f>
        <v>11.22112211</v>
      </c>
      <c r="AM146">
        <f ca="1">IFERROR(IF(0=LEN(ReferenceData!$AM$146),"",ReferenceData!$AM$146),"")</f>
        <v>12.066115699999999</v>
      </c>
      <c r="AN146">
        <f ca="1">IFERROR(IF(0=LEN(ReferenceData!$AN$146),"",ReferenceData!$AN$146),"")</f>
        <v>12.690355329999999</v>
      </c>
      <c r="AO146">
        <f ca="1">IFERROR(IF(0=LEN(ReferenceData!$AO$146),"",ReferenceData!$AO$146),"")</f>
        <v>12.53443526</v>
      </c>
      <c r="AP146">
        <f ca="1">IFERROR(IF(0=LEN(ReferenceData!$AP$146),"",ReferenceData!$AP$146),"")</f>
        <v>12.82401091</v>
      </c>
      <c r="AQ146">
        <f ca="1">IFERROR(IF(0=LEN(ReferenceData!$AQ$146),"",ReferenceData!$AQ$146),"")</f>
        <v>4.835924007</v>
      </c>
      <c r="AR146">
        <f ca="1">IFERROR(IF(0=LEN(ReferenceData!$AR$146),"",ReferenceData!$AR$146),"")</f>
        <v>4.3338683790000001</v>
      </c>
      <c r="AS146">
        <f ca="1">IFERROR(IF(0=LEN(ReferenceData!$AS$146),"",ReferenceData!$AS$146),"")</f>
        <v>4.363001745</v>
      </c>
    </row>
    <row r="147" spans="1:45" x14ac:dyDescent="0.25">
      <c r="A147" t="str">
        <f>IFERROR(IF(0=LEN(ReferenceData!$A$147),"",ReferenceData!$A$147),"")</f>
        <v xml:space="preserve">    Hino</v>
      </c>
      <c r="B147" t="str">
        <f>IFERROR(IF(0=LEN(ReferenceData!$B$147),"",ReferenceData!$B$147),"")</f>
        <v>7205 JP Equity</v>
      </c>
      <c r="C147" t="str">
        <f>IFERROR(IF(0=LEN(ReferenceData!$C$147),"",ReferenceData!$C$147),"")</f>
        <v/>
      </c>
      <c r="D147" t="str">
        <f>IFERROR(IF(0=LEN(ReferenceData!$D$147),"",ReferenceData!$D$147),"")</f>
        <v/>
      </c>
      <c r="E147" t="str">
        <f>IFERROR(IF(0=LEN(ReferenceData!$E$147),"",ReferenceData!$E$147),"")</f>
        <v>Expression</v>
      </c>
      <c r="F147" t="str">
        <f ca="1">IFERROR(IF(0=LEN(ReferenceData!$F$147),"",ReferenceData!$F$147),"")</f>
        <v/>
      </c>
      <c r="G147" t="str">
        <f ca="1">IFERROR(IF(0=LEN(ReferenceData!$G$147),"",ReferenceData!$G$147),"")</f>
        <v/>
      </c>
      <c r="H147" t="str">
        <f ca="1">IFERROR(IF(0=LEN(ReferenceData!$H$147),"",ReferenceData!$H$147),"")</f>
        <v/>
      </c>
      <c r="I147" t="str">
        <f ca="1">IFERROR(IF(0=LEN(ReferenceData!$I$147),"",ReferenceData!$I$147),"")</f>
        <v/>
      </c>
      <c r="J147" t="str">
        <f ca="1">IFERROR(IF(0=LEN(ReferenceData!$J$147),"",ReferenceData!$J$147),"")</f>
        <v/>
      </c>
      <c r="K147" t="str">
        <f ca="1">IFERROR(IF(0=LEN(ReferenceData!$K$147),"",ReferenceData!$K$147),"")</f>
        <v/>
      </c>
      <c r="L147" t="str">
        <f ca="1">IFERROR(IF(0=LEN(ReferenceData!$L$147),"",ReferenceData!$L$147),"")</f>
        <v/>
      </c>
      <c r="M147" t="str">
        <f ca="1">IFERROR(IF(0=LEN(ReferenceData!$M$147),"",ReferenceData!$M$147),"")</f>
        <v/>
      </c>
      <c r="N147" t="str">
        <f ca="1">IFERROR(IF(0=LEN(ReferenceData!$N$147),"",ReferenceData!$N$147),"")</f>
        <v/>
      </c>
      <c r="O147" t="str">
        <f ca="1">IFERROR(IF(0=LEN(ReferenceData!$O$147),"",ReferenceData!$O$147),"")</f>
        <v/>
      </c>
      <c r="P147">
        <f ca="1">IFERROR(IF(0=LEN(ReferenceData!$P$147),"",ReferenceData!$P$147),"")</f>
        <v>12.40951396</v>
      </c>
      <c r="Q147">
        <f ca="1">IFERROR(IF(0=LEN(ReferenceData!$Q$147),"",ReferenceData!$Q$147),"")</f>
        <v>11.97916667</v>
      </c>
      <c r="R147">
        <f ca="1">IFERROR(IF(0=LEN(ReferenceData!$R$147),"",ReferenceData!$R$147),"")</f>
        <v>11.3372093</v>
      </c>
      <c r="S147">
        <f ca="1">IFERROR(IF(0=LEN(ReferenceData!$S$147),"",ReferenceData!$S$147),"")</f>
        <v>10.2372035</v>
      </c>
      <c r="T147">
        <f ca="1">IFERROR(IF(0=LEN(ReferenceData!$T$147),"",ReferenceData!$T$147),"")</f>
        <v>8.2954545450000001</v>
      </c>
      <c r="U147">
        <f ca="1">IFERROR(IF(0=LEN(ReferenceData!$U$147),"",ReferenceData!$U$147),"")</f>
        <v>7.4938574940000002</v>
      </c>
      <c r="V147">
        <f ca="1">IFERROR(IF(0=LEN(ReferenceData!$V$147),"",ReferenceData!$V$147),"")</f>
        <v>7.2316384180000002</v>
      </c>
      <c r="W147">
        <f ca="1">IFERROR(IF(0=LEN(ReferenceData!$W$147),"",ReferenceData!$W$147),"")</f>
        <v>11.42857143</v>
      </c>
      <c r="X147">
        <f ca="1">IFERROR(IF(0=LEN(ReferenceData!$X$147),"",ReferenceData!$X$147),"")</f>
        <v>11.43292683</v>
      </c>
      <c r="Y147">
        <f ca="1">IFERROR(IF(0=LEN(ReferenceData!$Y$147),"",ReferenceData!$Y$147),"")</f>
        <v>8.0263157889999999</v>
      </c>
      <c r="Z147">
        <f ca="1">IFERROR(IF(0=LEN(ReferenceData!$Z$147),"",ReferenceData!$Z$147),"")</f>
        <v>8.8039867110000003</v>
      </c>
      <c r="AA147">
        <f ca="1">IFERROR(IF(0=LEN(ReferenceData!$AA$147),"",ReferenceData!$AA$147),"")</f>
        <v>14.43514644</v>
      </c>
      <c r="AB147">
        <f ca="1">IFERROR(IF(0=LEN(ReferenceData!$AB$147),"",ReferenceData!$AB$147),"")</f>
        <v>7.5409836070000003</v>
      </c>
      <c r="AC147">
        <f ca="1">IFERROR(IF(0=LEN(ReferenceData!$AC$147),"",ReferenceData!$AC$147),"")</f>
        <v>7.5653370009999996</v>
      </c>
      <c r="AD147">
        <f ca="1">IFERROR(IF(0=LEN(ReferenceData!$AD$147),"",ReferenceData!$AD$147),"")</f>
        <v>7.3275862070000004</v>
      </c>
      <c r="AE147">
        <f ca="1">IFERROR(IF(0=LEN(ReferenceData!$AE$147),"",ReferenceData!$AE$147),"")</f>
        <v>7.3282442750000003</v>
      </c>
      <c r="AF147">
        <f ca="1">IFERROR(IF(0=LEN(ReferenceData!$AF$147),"",ReferenceData!$AF$147),"")</f>
        <v>7.4418604650000004</v>
      </c>
      <c r="AG147">
        <f ca="1">IFERROR(IF(0=LEN(ReferenceData!$AG$147),"",ReferenceData!$AG$147),"")</f>
        <v>6.9868995629999997</v>
      </c>
      <c r="AH147">
        <f ca="1">IFERROR(IF(0=LEN(ReferenceData!$AH$147),"",ReferenceData!$AH$147),"")</f>
        <v>6.5808297570000001</v>
      </c>
      <c r="AI147">
        <f ca="1">IFERROR(IF(0=LEN(ReferenceData!$AI$147),"",ReferenceData!$AI$147),"")</f>
        <v>7.3043478259999999</v>
      </c>
      <c r="AJ147">
        <f ca="1">IFERROR(IF(0=LEN(ReferenceData!$AJ$147),"",ReferenceData!$AJ$147),"")</f>
        <v>5.1413881750000003</v>
      </c>
      <c r="AK147">
        <f ca="1">IFERROR(IF(0=LEN(ReferenceData!$AK$147),"",ReferenceData!$AK$147),"")</f>
        <v>9.0753424660000004</v>
      </c>
      <c r="AL147">
        <f ca="1">IFERROR(IF(0=LEN(ReferenceData!$AL$147),"",ReferenceData!$AL$147),"")</f>
        <v>8.0858085810000002</v>
      </c>
      <c r="AM147">
        <f ca="1">IFERROR(IF(0=LEN(ReferenceData!$AM$147),"",ReferenceData!$AM$147),"")</f>
        <v>8.7603305789999997</v>
      </c>
      <c r="AN147">
        <f ca="1">IFERROR(IF(0=LEN(ReferenceData!$AN$147),"",ReferenceData!$AN$147),"")</f>
        <v>11.040609140000001</v>
      </c>
      <c r="AO147">
        <f ca="1">IFERROR(IF(0=LEN(ReferenceData!$AO$147),"",ReferenceData!$AO$147),"")</f>
        <v>11.157024789999999</v>
      </c>
      <c r="AP147">
        <f ca="1">IFERROR(IF(0=LEN(ReferenceData!$AP$147),"",ReferenceData!$AP$147),"")</f>
        <v>10.777626189999999</v>
      </c>
      <c r="AQ147">
        <f ca="1">IFERROR(IF(0=LEN(ReferenceData!$AQ$147),"",ReferenceData!$AQ$147),"")</f>
        <v>5.5267702940000003</v>
      </c>
      <c r="AR147">
        <f ca="1">IFERROR(IF(0=LEN(ReferenceData!$AR$147),"",ReferenceData!$AR$147),"")</f>
        <v>3.6918138040000001</v>
      </c>
      <c r="AS147">
        <f ca="1">IFERROR(IF(0=LEN(ReferenceData!$AS$147),"",ReferenceData!$AS$147),"")</f>
        <v>5.0610820240000001</v>
      </c>
    </row>
    <row r="148" spans="1:45" x14ac:dyDescent="0.25">
      <c r="A148" t="str">
        <f>IFERROR(IF(0=LEN(ReferenceData!$A$148),"",ReferenceData!$A$148),"")</f>
        <v xml:space="preserve">    Dina Camiones</v>
      </c>
      <c r="B148" t="str">
        <f>IFERROR(IF(0=LEN(ReferenceData!$B$148),"",ReferenceData!$B$148),"")</f>
        <v>8128757Z MM Equity</v>
      </c>
      <c r="C148" t="str">
        <f>IFERROR(IF(0=LEN(ReferenceData!$C$148),"",ReferenceData!$C$148),"")</f>
        <v/>
      </c>
      <c r="D148" t="str">
        <f>IFERROR(IF(0=LEN(ReferenceData!$D$148),"",ReferenceData!$D$148),"")</f>
        <v/>
      </c>
      <c r="E148" t="str">
        <f>IFERROR(IF(0=LEN(ReferenceData!$E$148),"",ReferenceData!$E$148),"")</f>
        <v>Expression</v>
      </c>
      <c r="F148" t="str">
        <f ca="1">IFERROR(IF(0=LEN(ReferenceData!$F$148),"",ReferenceData!$F$148),"")</f>
        <v/>
      </c>
      <c r="G148" t="str">
        <f ca="1">IFERROR(IF(0=LEN(ReferenceData!$G$148),"",ReferenceData!$G$148),"")</f>
        <v/>
      </c>
      <c r="H148" t="str">
        <f ca="1">IFERROR(IF(0=LEN(ReferenceData!$H$148),"",ReferenceData!$H$148),"")</f>
        <v/>
      </c>
      <c r="I148" t="str">
        <f ca="1">IFERROR(IF(0=LEN(ReferenceData!$I$148),"",ReferenceData!$I$148),"")</f>
        <v/>
      </c>
      <c r="J148" t="str">
        <f ca="1">IFERROR(IF(0=LEN(ReferenceData!$J$148),"",ReferenceData!$J$148),"")</f>
        <v/>
      </c>
      <c r="K148" t="str">
        <f ca="1">IFERROR(IF(0=LEN(ReferenceData!$K$148),"",ReferenceData!$K$148),"")</f>
        <v/>
      </c>
      <c r="L148" t="str">
        <f ca="1">IFERROR(IF(0=LEN(ReferenceData!$L$148),"",ReferenceData!$L$148),"")</f>
        <v/>
      </c>
      <c r="M148" t="str">
        <f ca="1">IFERROR(IF(0=LEN(ReferenceData!$M$148),"",ReferenceData!$M$148),"")</f>
        <v/>
      </c>
      <c r="N148" t="str">
        <f ca="1">IFERROR(IF(0=LEN(ReferenceData!$N$148),"",ReferenceData!$N$148),"")</f>
        <v/>
      </c>
      <c r="O148" t="str">
        <f ca="1">IFERROR(IF(0=LEN(ReferenceData!$O$148),"",ReferenceData!$O$148),"")</f>
        <v/>
      </c>
      <c r="P148">
        <f ca="1">IFERROR(IF(0=LEN(ReferenceData!$P$148),"",ReferenceData!$P$148),"")</f>
        <v>1.447776629</v>
      </c>
      <c r="Q148">
        <f ca="1">IFERROR(IF(0=LEN(ReferenceData!$Q$148),"",ReferenceData!$Q$148),"")</f>
        <v>1.5625</v>
      </c>
      <c r="R148">
        <f ca="1">IFERROR(IF(0=LEN(ReferenceData!$R$148),"",ReferenceData!$R$148),"")</f>
        <v>1.453488372</v>
      </c>
      <c r="S148">
        <f ca="1">IFERROR(IF(0=LEN(ReferenceData!$S$148),"",ReferenceData!$S$148),"")</f>
        <v>1.2484394510000001</v>
      </c>
      <c r="T148">
        <f ca="1">IFERROR(IF(0=LEN(ReferenceData!$T$148),"",ReferenceData!$T$148),"")</f>
        <v>1.5909090910000001</v>
      </c>
      <c r="U148">
        <f ca="1">IFERROR(IF(0=LEN(ReferenceData!$U$148),"",ReferenceData!$U$148),"")</f>
        <v>1.474201474</v>
      </c>
      <c r="V148">
        <f ca="1">IFERROR(IF(0=LEN(ReferenceData!$V$148),"",ReferenceData!$V$148),"")</f>
        <v>1.6949152540000001</v>
      </c>
      <c r="W148">
        <f ca="1">IFERROR(IF(0=LEN(ReferenceData!$W$148),"",ReferenceData!$W$148),"")</f>
        <v>1.5037593979999999</v>
      </c>
      <c r="X148">
        <f ca="1">IFERROR(IF(0=LEN(ReferenceData!$X$148),"",ReferenceData!$X$148),"")</f>
        <v>1.3719512199999999</v>
      </c>
      <c r="Y148">
        <f ca="1">IFERROR(IF(0=LEN(ReferenceData!$Y$148),"",ReferenceData!$Y$148),"")</f>
        <v>1.7105263159999999</v>
      </c>
      <c r="Z148">
        <f ca="1">IFERROR(IF(0=LEN(ReferenceData!$Z$148),"",ReferenceData!$Z$148),"")</f>
        <v>1.3289036540000001</v>
      </c>
      <c r="AA148">
        <f ca="1">IFERROR(IF(0=LEN(ReferenceData!$AA$148),"",ReferenceData!$AA$148),"")</f>
        <v>1.2552301260000001</v>
      </c>
      <c r="AB148">
        <f ca="1">IFERROR(IF(0=LEN(ReferenceData!$AB$148),"",ReferenceData!$AB$148),"")</f>
        <v>5.6830601090000004</v>
      </c>
      <c r="AC148">
        <f ca="1">IFERROR(IF(0=LEN(ReferenceData!$AC$148),"",ReferenceData!$AC$148),"")</f>
        <v>5.777166437</v>
      </c>
      <c r="AD148">
        <f ca="1">IFERROR(IF(0=LEN(ReferenceData!$AD$148),"",ReferenceData!$AD$148),"")</f>
        <v>5.603448276</v>
      </c>
      <c r="AE148">
        <f ca="1">IFERROR(IF(0=LEN(ReferenceData!$AE$148),"",ReferenceData!$AE$148),"")</f>
        <v>5.6488549619999997</v>
      </c>
      <c r="AF148">
        <f ca="1">IFERROR(IF(0=LEN(ReferenceData!$AF$148),"",ReferenceData!$AF$148),"")</f>
        <v>5.7364341090000002</v>
      </c>
      <c r="AG148">
        <f ca="1">IFERROR(IF(0=LEN(ReferenceData!$AG$148),"",ReferenceData!$AG$148),"")</f>
        <v>5.3857350799999999</v>
      </c>
      <c r="AH148">
        <f ca="1">IFERROR(IF(0=LEN(ReferenceData!$AH$148),"",ReferenceData!$AH$148),"")</f>
        <v>5.0071530759999998</v>
      </c>
      <c r="AI148">
        <f ca="1">IFERROR(IF(0=LEN(ReferenceData!$AI$148),"",ReferenceData!$AI$148),"")</f>
        <v>5.7391304349999999</v>
      </c>
      <c r="AJ148">
        <f ca="1">IFERROR(IF(0=LEN(ReferenceData!$AJ$148),"",ReferenceData!$AJ$148),"")</f>
        <v>3.9845758349999998</v>
      </c>
      <c r="AK148">
        <f ca="1">IFERROR(IF(0=LEN(ReferenceData!$AK$148),"",ReferenceData!$AK$148),"")</f>
        <v>6.8493150680000001</v>
      </c>
      <c r="AL148">
        <f ca="1">IFERROR(IF(0=LEN(ReferenceData!$AL$148),"",ReferenceData!$AL$148),"")</f>
        <v>6.2706270630000001</v>
      </c>
      <c r="AM148">
        <f ca="1">IFERROR(IF(0=LEN(ReferenceData!$AM$148),"",ReferenceData!$AM$148),"")</f>
        <v>6.6115702479999996</v>
      </c>
      <c r="AN148">
        <f ca="1">IFERROR(IF(0=LEN(ReferenceData!$AN$148),"",ReferenceData!$AN$148),"")</f>
        <v>2.284263959</v>
      </c>
      <c r="AO148">
        <f ca="1">IFERROR(IF(0=LEN(ReferenceData!$AO$148),"",ReferenceData!$AO$148),"")</f>
        <v>2.2038567489999998</v>
      </c>
      <c r="AP148">
        <f ca="1">IFERROR(IF(0=LEN(ReferenceData!$AP$148),"",ReferenceData!$AP$148),"")</f>
        <v>2.1828103680000002</v>
      </c>
      <c r="AQ148">
        <f ca="1">IFERROR(IF(0=LEN(ReferenceData!$AQ$148),"",ReferenceData!$AQ$148),"")</f>
        <v>22.107081170000001</v>
      </c>
      <c r="AR148">
        <f ca="1">IFERROR(IF(0=LEN(ReferenceData!$AR$148),"",ReferenceData!$AR$148),"")</f>
        <v>4.6548956659999998</v>
      </c>
      <c r="AS148">
        <f ca="1">IFERROR(IF(0=LEN(ReferenceData!$AS$148),"",ReferenceData!$AS$148),"")</f>
        <v>1.5706806280000001</v>
      </c>
    </row>
    <row r="149" spans="1:45" x14ac:dyDescent="0.25">
      <c r="A149" t="str">
        <f>IFERROR(IF(0=LEN(ReferenceData!$A$149),"",ReferenceData!$A$149),"")</f>
        <v xml:space="preserve">    PACCAR</v>
      </c>
      <c r="B149" t="str">
        <f>IFERROR(IF(0=LEN(ReferenceData!$B$149),"",ReferenceData!$B$149),"")</f>
        <v>PCAR US Equity</v>
      </c>
      <c r="C149" t="str">
        <f>IFERROR(IF(0=LEN(ReferenceData!$C$149),"",ReferenceData!$C$149),"")</f>
        <v/>
      </c>
      <c r="D149" t="str">
        <f>IFERROR(IF(0=LEN(ReferenceData!$D$149),"",ReferenceData!$D$149),"")</f>
        <v/>
      </c>
      <c r="E149" t="str">
        <f>IFERROR(IF(0=LEN(ReferenceData!$E$149),"",ReferenceData!$E$149),"")</f>
        <v>Sum</v>
      </c>
      <c r="F149">
        <f ca="1">IFERROR(IF(0=LEN(ReferenceData!$F$149),"",ReferenceData!$F$149),"")</f>
        <v>0.13477089</v>
      </c>
      <c r="G149">
        <f ca="1">IFERROR(IF(0=LEN(ReferenceData!$G$149),"",ReferenceData!$G$149),"")</f>
        <v>1.114206128</v>
      </c>
      <c r="H149">
        <f ca="1">IFERROR(IF(0=LEN(ReferenceData!$H$149),"",ReferenceData!$H$149),"")</f>
        <v>1.2453300119999999</v>
      </c>
      <c r="I149">
        <f ca="1">IFERROR(IF(0=LEN(ReferenceData!$I$149),"",ReferenceData!$I$149),"")</f>
        <v>1.0174418599999999</v>
      </c>
      <c r="J149">
        <f ca="1">IFERROR(IF(0=LEN(ReferenceData!$J$149),"",ReferenceData!$J$149),"")</f>
        <v>1.0738255029999999</v>
      </c>
      <c r="K149">
        <f ca="1">IFERROR(IF(0=LEN(ReferenceData!$K$149),"",ReferenceData!$K$149),"")</f>
        <v>1.083591331</v>
      </c>
      <c r="L149">
        <f ca="1">IFERROR(IF(0=LEN(ReferenceData!$L$149),"",ReferenceData!$L$149),"")</f>
        <v>0.46511627900000002</v>
      </c>
      <c r="M149">
        <f ca="1">IFERROR(IF(0=LEN(ReferenceData!$M$149),"",ReferenceData!$M$149),"")</f>
        <v>1.6282225239999999</v>
      </c>
      <c r="N149">
        <f ca="1">IFERROR(IF(0=LEN(ReferenceData!$N$149),"",ReferenceData!$N$149),"")</f>
        <v>0.29069767400000002</v>
      </c>
      <c r="O149">
        <f ca="1">IFERROR(IF(0=LEN(ReferenceData!$O$149),"",ReferenceData!$O$149),"")</f>
        <v>0.27739250999999998</v>
      </c>
      <c r="P149">
        <f ca="1">IFERROR(IF(0=LEN(ReferenceData!$P$149),"",ReferenceData!$P$149),"")</f>
        <v>0.82730093100000002</v>
      </c>
      <c r="Q149">
        <f ca="1">IFERROR(IF(0=LEN(ReferenceData!$Q$149),"",ReferenceData!$Q$149),"")</f>
        <v>1.6927083329999999</v>
      </c>
      <c r="R149">
        <f ca="1">IFERROR(IF(0=LEN(ReferenceData!$R$149),"",ReferenceData!$R$149),"")</f>
        <v>0.72674418600000001</v>
      </c>
      <c r="S149">
        <f ca="1">IFERROR(IF(0=LEN(ReferenceData!$S$149),"",ReferenceData!$S$149),"")</f>
        <v>0.99875156099999995</v>
      </c>
      <c r="T149">
        <f ca="1">IFERROR(IF(0=LEN(ReferenceData!$T$149),"",ReferenceData!$T$149),"")</f>
        <v>1.4772727269999999</v>
      </c>
      <c r="U149">
        <f ca="1">IFERROR(IF(0=LEN(ReferenceData!$U$149),"",ReferenceData!$U$149),"")</f>
        <v>1.9656019659999999</v>
      </c>
      <c r="V149">
        <f ca="1">IFERROR(IF(0=LEN(ReferenceData!$V$149),"",ReferenceData!$V$149),"")</f>
        <v>1.0169491530000001</v>
      </c>
      <c r="W149">
        <f ca="1">IFERROR(IF(0=LEN(ReferenceData!$W$149),"",ReferenceData!$W$149),"")</f>
        <v>1.203007519</v>
      </c>
      <c r="X149">
        <f ca="1">IFERROR(IF(0=LEN(ReferenceData!$X$149),"",ReferenceData!$X$149),"")</f>
        <v>0.76219512199999995</v>
      </c>
      <c r="Y149">
        <f ca="1">IFERROR(IF(0=LEN(ReferenceData!$Y$149),"",ReferenceData!$Y$149),"")</f>
        <v>1.9736842109999999</v>
      </c>
      <c r="Z149">
        <f ca="1">IFERROR(IF(0=LEN(ReferenceData!$Z$149),"",ReferenceData!$Z$149),"")</f>
        <v>1.661129568</v>
      </c>
      <c r="AA149">
        <f ca="1">IFERROR(IF(0=LEN(ReferenceData!$AA$149),"",ReferenceData!$AA$149),"")</f>
        <v>0.83682008399999996</v>
      </c>
      <c r="AB149">
        <f ca="1">IFERROR(IF(0=LEN(ReferenceData!$AB$149),"",ReferenceData!$AB$149),"")</f>
        <v>1.3114754099999999</v>
      </c>
      <c r="AC149">
        <f ca="1">IFERROR(IF(0=LEN(ReferenceData!$AC$149),"",ReferenceData!$AC$149),"")</f>
        <v>0.82530949099999995</v>
      </c>
      <c r="AD149">
        <f ca="1">IFERROR(IF(0=LEN(ReferenceData!$AD$149),"",ReferenceData!$AD$149),"")</f>
        <v>2.2988505749999999</v>
      </c>
      <c r="AE149">
        <f ca="1">IFERROR(IF(0=LEN(ReferenceData!$AE$149),"",ReferenceData!$AE$149),"")</f>
        <v>0.15267175599999999</v>
      </c>
      <c r="AF149">
        <f ca="1">IFERROR(IF(0=LEN(ReferenceData!$AF$149),"",ReferenceData!$AF$149),"")</f>
        <v>3.5658914730000002</v>
      </c>
      <c r="AG149">
        <f ca="1">IFERROR(IF(0=LEN(ReferenceData!$AG$149),"",ReferenceData!$AG$149),"")</f>
        <v>2.1834061139999998</v>
      </c>
      <c r="AH149">
        <f ca="1">IFERROR(IF(0=LEN(ReferenceData!$AH$149),"",ReferenceData!$AH$149),"")</f>
        <v>1.4306151650000001</v>
      </c>
      <c r="AI149">
        <f ca="1">IFERROR(IF(0=LEN(ReferenceData!$AI$149),"",ReferenceData!$AI$149),"")</f>
        <v>2.0869565219999999</v>
      </c>
      <c r="AJ149">
        <f ca="1">IFERROR(IF(0=LEN(ReferenceData!$AJ$149),"",ReferenceData!$AJ$149),"")</f>
        <v>0.77120822600000005</v>
      </c>
      <c r="AK149">
        <f ca="1">IFERROR(IF(0=LEN(ReferenceData!$AK$149),"",ReferenceData!$AK$149),"")</f>
        <v>1.712328767</v>
      </c>
      <c r="AL149">
        <f ca="1">IFERROR(IF(0=LEN(ReferenceData!$AL$149),"",ReferenceData!$AL$149),"")</f>
        <v>1.320132013</v>
      </c>
      <c r="AM149">
        <f ca="1">IFERROR(IF(0=LEN(ReferenceData!$AM$149),"",ReferenceData!$AM$149),"")</f>
        <v>1.3223140499999999</v>
      </c>
      <c r="AN149">
        <f ca="1">IFERROR(IF(0=LEN(ReferenceData!$AN$149),"",ReferenceData!$AN$149),"")</f>
        <v>4.060913706</v>
      </c>
      <c r="AO149">
        <f ca="1">IFERROR(IF(0=LEN(ReferenceData!$AO$149),"",ReferenceData!$AO$149),"")</f>
        <v>3.9944903580000002</v>
      </c>
      <c r="AP149">
        <f ca="1">IFERROR(IF(0=LEN(ReferenceData!$AP$149),"",ReferenceData!$AP$149),"")</f>
        <v>3.9563437929999998</v>
      </c>
      <c r="AQ149">
        <f ca="1">IFERROR(IF(0=LEN(ReferenceData!$AQ$149),"",ReferenceData!$AQ$149),"")</f>
        <v>3.1088082899999998</v>
      </c>
      <c r="AR149">
        <f ca="1">IFERROR(IF(0=LEN(ReferenceData!$AR$149),"",ReferenceData!$AR$149),"")</f>
        <v>3.2102728730000001</v>
      </c>
      <c r="AS149">
        <f ca="1">IFERROR(IF(0=LEN(ReferenceData!$AS$149),"",ReferenceData!$AS$149),"")</f>
        <v>2.4432809770000001</v>
      </c>
    </row>
    <row r="150" spans="1:45" x14ac:dyDescent="0.25">
      <c r="A150" t="str">
        <f>IFERROR(IF(0=LEN(ReferenceData!$A$150),"",ReferenceData!$A$150),"")</f>
        <v xml:space="preserve">        Kenworth</v>
      </c>
      <c r="B150" t="str">
        <f>IFERROR(IF(0=LEN(ReferenceData!$B$150),"",ReferenceData!$B$150),"")</f>
        <v>PCAR US Equity</v>
      </c>
      <c r="C150" t="str">
        <f>IFERROR(IF(0=LEN(ReferenceData!$C$150),"",ReferenceData!$C$150),"")</f>
        <v/>
      </c>
      <c r="D150" t="str">
        <f>IFERROR(IF(0=LEN(ReferenceData!$D$150),"",ReferenceData!$D$150),"")</f>
        <v/>
      </c>
      <c r="E150" t="str">
        <f>IFERROR(IF(0=LEN(ReferenceData!$E$150),"",ReferenceData!$E$150),"")</f>
        <v>Expression</v>
      </c>
      <c r="F150">
        <f ca="1">IFERROR(IF(0=LEN(ReferenceData!$F$150),"",ReferenceData!$F$150),"")</f>
        <v>0.13477089</v>
      </c>
      <c r="G150">
        <f ca="1">IFERROR(IF(0=LEN(ReferenceData!$G$150),"",ReferenceData!$G$150),"")</f>
        <v>1.114206128</v>
      </c>
      <c r="H150">
        <f ca="1">IFERROR(IF(0=LEN(ReferenceData!$H$150),"",ReferenceData!$H$150),"")</f>
        <v>1.2453300119999999</v>
      </c>
      <c r="I150">
        <f ca="1">IFERROR(IF(0=LEN(ReferenceData!$I$150),"",ReferenceData!$I$150),"")</f>
        <v>1.0174418599999999</v>
      </c>
      <c r="J150">
        <f ca="1">IFERROR(IF(0=LEN(ReferenceData!$J$150),"",ReferenceData!$J$150),"")</f>
        <v>1.0738255029999999</v>
      </c>
      <c r="K150">
        <f ca="1">IFERROR(IF(0=LEN(ReferenceData!$K$150),"",ReferenceData!$K$150),"")</f>
        <v>1.083591331</v>
      </c>
      <c r="L150">
        <f ca="1">IFERROR(IF(0=LEN(ReferenceData!$L$150),"",ReferenceData!$L$150),"")</f>
        <v>0.46511627900000002</v>
      </c>
      <c r="M150">
        <f ca="1">IFERROR(IF(0=LEN(ReferenceData!$M$150),"",ReferenceData!$M$150),"")</f>
        <v>1.6282225239999999</v>
      </c>
      <c r="N150">
        <f ca="1">IFERROR(IF(0=LEN(ReferenceData!$N$150),"",ReferenceData!$N$150),"")</f>
        <v>0.29069767400000002</v>
      </c>
      <c r="O150">
        <f ca="1">IFERROR(IF(0=LEN(ReferenceData!$O$150),"",ReferenceData!$O$150),"")</f>
        <v>0.27739250999999998</v>
      </c>
      <c r="P150">
        <f ca="1">IFERROR(IF(0=LEN(ReferenceData!$P$150),"",ReferenceData!$P$150),"")</f>
        <v>0.82730093100000002</v>
      </c>
      <c r="Q150">
        <f ca="1">IFERROR(IF(0=LEN(ReferenceData!$Q$150),"",ReferenceData!$Q$150),"")</f>
        <v>1.6927083329999999</v>
      </c>
      <c r="R150">
        <f ca="1">IFERROR(IF(0=LEN(ReferenceData!$R$150),"",ReferenceData!$R$150),"")</f>
        <v>0.72674418600000001</v>
      </c>
      <c r="S150">
        <f ca="1">IFERROR(IF(0=LEN(ReferenceData!$S$150),"",ReferenceData!$S$150),"")</f>
        <v>0.99875156099999995</v>
      </c>
      <c r="T150">
        <f ca="1">IFERROR(IF(0=LEN(ReferenceData!$T$150),"",ReferenceData!$T$150),"")</f>
        <v>1.4772727269999999</v>
      </c>
      <c r="U150">
        <f ca="1">IFERROR(IF(0=LEN(ReferenceData!$U$150),"",ReferenceData!$U$150),"")</f>
        <v>1.9656019659999999</v>
      </c>
      <c r="V150">
        <f ca="1">IFERROR(IF(0=LEN(ReferenceData!$V$150),"",ReferenceData!$V$150),"")</f>
        <v>1.0169491530000001</v>
      </c>
      <c r="W150">
        <f ca="1">IFERROR(IF(0=LEN(ReferenceData!$W$150),"",ReferenceData!$W$150),"")</f>
        <v>1.203007519</v>
      </c>
      <c r="X150">
        <f ca="1">IFERROR(IF(0=LEN(ReferenceData!$X$150),"",ReferenceData!$X$150),"")</f>
        <v>0.76219512199999995</v>
      </c>
      <c r="Y150">
        <f ca="1">IFERROR(IF(0=LEN(ReferenceData!$Y$150),"",ReferenceData!$Y$150),"")</f>
        <v>1.9736842109999999</v>
      </c>
      <c r="Z150">
        <f ca="1">IFERROR(IF(0=LEN(ReferenceData!$Z$150),"",ReferenceData!$Z$150),"")</f>
        <v>1.661129568</v>
      </c>
      <c r="AA150">
        <f ca="1">IFERROR(IF(0=LEN(ReferenceData!$AA$150),"",ReferenceData!$AA$150),"")</f>
        <v>0.83682008399999996</v>
      </c>
      <c r="AB150">
        <f ca="1">IFERROR(IF(0=LEN(ReferenceData!$AB$150),"",ReferenceData!$AB$150),"")</f>
        <v>1.3114754099999999</v>
      </c>
      <c r="AC150">
        <f ca="1">IFERROR(IF(0=LEN(ReferenceData!$AC$150),"",ReferenceData!$AC$150),"")</f>
        <v>0.82530949099999995</v>
      </c>
      <c r="AD150">
        <f ca="1">IFERROR(IF(0=LEN(ReferenceData!$AD$150),"",ReferenceData!$AD$150),"")</f>
        <v>2.2988505749999999</v>
      </c>
      <c r="AE150">
        <f ca="1">IFERROR(IF(0=LEN(ReferenceData!$AE$150),"",ReferenceData!$AE$150),"")</f>
        <v>0.15267175599999999</v>
      </c>
      <c r="AF150">
        <f ca="1">IFERROR(IF(0=LEN(ReferenceData!$AF$150),"",ReferenceData!$AF$150),"")</f>
        <v>3.5658914730000002</v>
      </c>
      <c r="AG150">
        <f ca="1">IFERROR(IF(0=LEN(ReferenceData!$AG$150),"",ReferenceData!$AG$150),"")</f>
        <v>2.1834061139999998</v>
      </c>
      <c r="AH150">
        <f ca="1">IFERROR(IF(0=LEN(ReferenceData!$AH$150),"",ReferenceData!$AH$150),"")</f>
        <v>1.4306151650000001</v>
      </c>
      <c r="AI150">
        <f ca="1">IFERROR(IF(0=LEN(ReferenceData!$AI$150),"",ReferenceData!$AI$150),"")</f>
        <v>2.0869565219999999</v>
      </c>
      <c r="AJ150">
        <f ca="1">IFERROR(IF(0=LEN(ReferenceData!$AJ$150),"",ReferenceData!$AJ$150),"")</f>
        <v>0.77120822600000005</v>
      </c>
      <c r="AK150">
        <f ca="1">IFERROR(IF(0=LEN(ReferenceData!$AK$150),"",ReferenceData!$AK$150),"")</f>
        <v>1.712328767</v>
      </c>
      <c r="AL150">
        <f ca="1">IFERROR(IF(0=LEN(ReferenceData!$AL$150),"",ReferenceData!$AL$150),"")</f>
        <v>1.320132013</v>
      </c>
      <c r="AM150">
        <f ca="1">IFERROR(IF(0=LEN(ReferenceData!$AM$150),"",ReferenceData!$AM$150),"")</f>
        <v>1.3223140499999999</v>
      </c>
      <c r="AN150">
        <f ca="1">IFERROR(IF(0=LEN(ReferenceData!$AN$150),"",ReferenceData!$AN$150),"")</f>
        <v>4.060913706</v>
      </c>
      <c r="AO150">
        <f ca="1">IFERROR(IF(0=LEN(ReferenceData!$AO$150),"",ReferenceData!$AO$150),"")</f>
        <v>3.9944903580000002</v>
      </c>
      <c r="AP150">
        <f ca="1">IFERROR(IF(0=LEN(ReferenceData!$AP$150),"",ReferenceData!$AP$150),"")</f>
        <v>3.9563437929999998</v>
      </c>
      <c r="AQ150">
        <f ca="1">IFERROR(IF(0=LEN(ReferenceData!$AQ$150),"",ReferenceData!$AQ$150),"")</f>
        <v>3.1088082899999998</v>
      </c>
      <c r="AR150">
        <f ca="1">IFERROR(IF(0=LEN(ReferenceData!$AR$150),"",ReferenceData!$AR$150),"")</f>
        <v>3.2102728730000001</v>
      </c>
      <c r="AS150">
        <f ca="1">IFERROR(IF(0=LEN(ReferenceData!$AS$150),"",ReferenceData!$AS$150),"")</f>
        <v>2.4432809770000001</v>
      </c>
    </row>
    <row r="151" spans="1:45" x14ac:dyDescent="0.25">
      <c r="A151" t="str">
        <f>IFERROR(IF(0=LEN(ReferenceData!$A$151),"",ReferenceData!$A$151),"")</f>
        <v xml:space="preserve">    Volvo</v>
      </c>
      <c r="B151" t="str">
        <f>IFERROR(IF(0=LEN(ReferenceData!$B$151),"",ReferenceData!$B$151),"")</f>
        <v>VOLVB SS Equity</v>
      </c>
      <c r="C151" t="str">
        <f>IFERROR(IF(0=LEN(ReferenceData!$C$151),"",ReferenceData!$C$151),"")</f>
        <v/>
      </c>
      <c r="D151" t="str">
        <f>IFERROR(IF(0=LEN(ReferenceData!$D$151),"",ReferenceData!$D$151),"")</f>
        <v/>
      </c>
      <c r="E151" t="str">
        <f>IFERROR(IF(0=LEN(ReferenceData!$E$151),"",ReferenceData!$E$151),"")</f>
        <v>Sum</v>
      </c>
      <c r="F151" t="str">
        <f ca="1">IFERROR(IF(0=LEN(ReferenceData!$F$151),"",ReferenceData!$F$151),"")</f>
        <v/>
      </c>
      <c r="G151" t="str">
        <f ca="1">IFERROR(IF(0=LEN(ReferenceData!$G$151),"",ReferenceData!$G$151),"")</f>
        <v/>
      </c>
      <c r="H151" t="str">
        <f ca="1">IFERROR(IF(0=LEN(ReferenceData!$H$151),"",ReferenceData!$H$151),"")</f>
        <v/>
      </c>
      <c r="I151" t="str">
        <f ca="1">IFERROR(IF(0=LEN(ReferenceData!$I$151),"",ReferenceData!$I$151),"")</f>
        <v/>
      </c>
      <c r="J151" t="str">
        <f ca="1">IFERROR(IF(0=LEN(ReferenceData!$J$151),"",ReferenceData!$J$151),"")</f>
        <v/>
      </c>
      <c r="K151" t="str">
        <f ca="1">IFERROR(IF(0=LEN(ReferenceData!$K$151),"",ReferenceData!$K$151),"")</f>
        <v/>
      </c>
      <c r="L151" t="str">
        <f ca="1">IFERROR(IF(0=LEN(ReferenceData!$L$151),"",ReferenceData!$L$151),"")</f>
        <v/>
      </c>
      <c r="M151" t="str">
        <f ca="1">IFERROR(IF(0=LEN(ReferenceData!$M$151),"",ReferenceData!$M$151),"")</f>
        <v/>
      </c>
      <c r="N151" t="str">
        <f ca="1">IFERROR(IF(0=LEN(ReferenceData!$N$151),"",ReferenceData!$N$151),"")</f>
        <v/>
      </c>
      <c r="O151" t="str">
        <f ca="1">IFERROR(IF(0=LEN(ReferenceData!$O$151),"",ReferenceData!$O$151),"")</f>
        <v/>
      </c>
      <c r="P151" t="str">
        <f ca="1">IFERROR(IF(0=LEN(ReferenceData!$P$151),"",ReferenceData!$P$151),"")</f>
        <v/>
      </c>
      <c r="Q151" t="str">
        <f ca="1">IFERROR(IF(0=LEN(ReferenceData!$Q$151),"",ReferenceData!$Q$151),"")</f>
        <v/>
      </c>
      <c r="R151" t="str">
        <f ca="1">IFERROR(IF(0=LEN(ReferenceData!$R$151),"",ReferenceData!$R$151),"")</f>
        <v/>
      </c>
      <c r="S151" t="str">
        <f ca="1">IFERROR(IF(0=LEN(ReferenceData!$S$151),"",ReferenceData!$S$151),"")</f>
        <v/>
      </c>
      <c r="T151" t="str">
        <f ca="1">IFERROR(IF(0=LEN(ReferenceData!$T$151),"",ReferenceData!$T$151),"")</f>
        <v/>
      </c>
      <c r="U151" t="str">
        <f ca="1">IFERROR(IF(0=LEN(ReferenceData!$U$151),"",ReferenceData!$U$151),"")</f>
        <v/>
      </c>
      <c r="V151" t="str">
        <f ca="1">IFERROR(IF(0=LEN(ReferenceData!$V$151),"",ReferenceData!$V$151),"")</f>
        <v/>
      </c>
      <c r="W151" t="str">
        <f ca="1">IFERROR(IF(0=LEN(ReferenceData!$W$151),"",ReferenceData!$W$151),"")</f>
        <v/>
      </c>
      <c r="X151" t="str">
        <f ca="1">IFERROR(IF(0=LEN(ReferenceData!$X$151),"",ReferenceData!$X$151),"")</f>
        <v/>
      </c>
      <c r="Y151" t="str">
        <f ca="1">IFERROR(IF(0=LEN(ReferenceData!$Y$151),"",ReferenceData!$Y$151),"")</f>
        <v/>
      </c>
      <c r="Z151" t="str">
        <f ca="1">IFERROR(IF(0=LEN(ReferenceData!$Z$151),"",ReferenceData!$Z$151),"")</f>
        <v/>
      </c>
      <c r="AA151" t="str">
        <f ca="1">IFERROR(IF(0=LEN(ReferenceData!$AA$151),"",ReferenceData!$AA$151),"")</f>
        <v/>
      </c>
      <c r="AB151" t="str">
        <f ca="1">IFERROR(IF(0=LEN(ReferenceData!$AB$151),"",ReferenceData!$AB$151),"")</f>
        <v/>
      </c>
      <c r="AC151" t="str">
        <f ca="1">IFERROR(IF(0=LEN(ReferenceData!$AC$151),"",ReferenceData!$AC$151),"")</f>
        <v/>
      </c>
      <c r="AD151" t="str">
        <f ca="1">IFERROR(IF(0=LEN(ReferenceData!$AD$151),"",ReferenceData!$AD$151),"")</f>
        <v/>
      </c>
      <c r="AE151" t="str">
        <f ca="1">IFERROR(IF(0=LEN(ReferenceData!$AE$151),"",ReferenceData!$AE$151),"")</f>
        <v/>
      </c>
      <c r="AF151" t="str">
        <f ca="1">IFERROR(IF(0=LEN(ReferenceData!$AF$151),"",ReferenceData!$AF$151),"")</f>
        <v/>
      </c>
      <c r="AG151" t="str">
        <f ca="1">IFERROR(IF(0=LEN(ReferenceData!$AG$151),"",ReferenceData!$AG$151),"")</f>
        <v/>
      </c>
      <c r="AH151" t="str">
        <f ca="1">IFERROR(IF(0=LEN(ReferenceData!$AH$151),"",ReferenceData!$AH$151),"")</f>
        <v/>
      </c>
      <c r="AI151" t="str">
        <f ca="1">IFERROR(IF(0=LEN(ReferenceData!$AI$151),"",ReferenceData!$AI$151),"")</f>
        <v/>
      </c>
      <c r="AJ151" t="str">
        <f ca="1">IFERROR(IF(0=LEN(ReferenceData!$AJ$151),"",ReferenceData!$AJ$151),"")</f>
        <v/>
      </c>
      <c r="AK151" t="str">
        <f ca="1">IFERROR(IF(0=LEN(ReferenceData!$AK$151),"",ReferenceData!$AK$151),"")</f>
        <v/>
      </c>
      <c r="AL151" t="str">
        <f ca="1">IFERROR(IF(0=LEN(ReferenceData!$AL$151),"",ReferenceData!$AL$151),"")</f>
        <v/>
      </c>
      <c r="AM151" t="str">
        <f ca="1">IFERROR(IF(0=LEN(ReferenceData!$AM$151),"",ReferenceData!$AM$151),"")</f>
        <v/>
      </c>
      <c r="AN151" t="str">
        <f ca="1">IFERROR(IF(0=LEN(ReferenceData!$AN$151),"",ReferenceData!$AN$151),"")</f>
        <v/>
      </c>
      <c r="AO151" t="str">
        <f ca="1">IFERROR(IF(0=LEN(ReferenceData!$AO$151),"",ReferenceData!$AO$151),"")</f>
        <v/>
      </c>
      <c r="AP151" t="str">
        <f ca="1">IFERROR(IF(0=LEN(ReferenceData!$AP$151),"",ReferenceData!$AP$151),"")</f>
        <v/>
      </c>
      <c r="AQ151" t="str">
        <f ca="1">IFERROR(IF(0=LEN(ReferenceData!$AQ$151),"",ReferenceData!$AQ$151),"")</f>
        <v/>
      </c>
      <c r="AR151" t="str">
        <f ca="1">IFERROR(IF(0=LEN(ReferenceData!$AR$151),"",ReferenceData!$AR$151),"")</f>
        <v/>
      </c>
      <c r="AS151" t="str">
        <f ca="1">IFERROR(IF(0=LEN(ReferenceData!$AS$151),"",ReferenceData!$AS$151),"")</f>
        <v/>
      </c>
    </row>
    <row r="152" spans="1:45" x14ac:dyDescent="0.25">
      <c r="A152" t="str">
        <f>IFERROR(IF(0=LEN(ReferenceData!$A$152),"",ReferenceData!$A$152),"")</f>
        <v xml:space="preserve">        Volvo Truck</v>
      </c>
      <c r="B152" t="str">
        <f>IFERROR(IF(0=LEN(ReferenceData!$B$152),"",ReferenceData!$B$152),"")</f>
        <v>VOLVB SS Equity</v>
      </c>
      <c r="C152" t="str">
        <f>IFERROR(IF(0=LEN(ReferenceData!$C$152),"",ReferenceData!$C$152),"")</f>
        <v/>
      </c>
      <c r="D152" t="str">
        <f>IFERROR(IF(0=LEN(ReferenceData!$D$152),"",ReferenceData!$D$152),"")</f>
        <v/>
      </c>
      <c r="E152" t="str">
        <f>IFERROR(IF(0=LEN(ReferenceData!$E$152),"",ReferenceData!$E$152),"")</f>
        <v>Expression</v>
      </c>
      <c r="F152" t="str">
        <f ca="1">IFERROR(IF(0=LEN(ReferenceData!$F$152),"",ReferenceData!$F$152),"")</f>
        <v/>
      </c>
      <c r="G152" t="str">
        <f ca="1">IFERROR(IF(0=LEN(ReferenceData!$G$152),"",ReferenceData!$G$152),"")</f>
        <v/>
      </c>
      <c r="H152" t="str">
        <f ca="1">IFERROR(IF(0=LEN(ReferenceData!$H$152),"",ReferenceData!$H$152),"")</f>
        <v/>
      </c>
      <c r="I152" t="str">
        <f ca="1">IFERROR(IF(0=LEN(ReferenceData!$I$152),"",ReferenceData!$I$152),"")</f>
        <v/>
      </c>
      <c r="J152" t="str">
        <f ca="1">IFERROR(IF(0=LEN(ReferenceData!$J$152),"",ReferenceData!$J$152),"")</f>
        <v/>
      </c>
      <c r="K152" t="str">
        <f ca="1">IFERROR(IF(0=LEN(ReferenceData!$K$152),"",ReferenceData!$K$152),"")</f>
        <v/>
      </c>
      <c r="L152" t="str">
        <f ca="1">IFERROR(IF(0=LEN(ReferenceData!$L$152),"",ReferenceData!$L$152),"")</f>
        <v/>
      </c>
      <c r="M152" t="str">
        <f ca="1">IFERROR(IF(0=LEN(ReferenceData!$M$152),"",ReferenceData!$M$152),"")</f>
        <v/>
      </c>
      <c r="N152" t="str">
        <f ca="1">IFERROR(IF(0=LEN(ReferenceData!$N$152),"",ReferenceData!$N$152),"")</f>
        <v/>
      </c>
      <c r="O152" t="str">
        <f ca="1">IFERROR(IF(0=LEN(ReferenceData!$O$152),"",ReferenceData!$O$152),"")</f>
        <v/>
      </c>
      <c r="P152" t="str">
        <f ca="1">IFERROR(IF(0=LEN(ReferenceData!$P$152),"",ReferenceData!$P$152),"")</f>
        <v/>
      </c>
      <c r="Q152" t="str">
        <f ca="1">IFERROR(IF(0=LEN(ReferenceData!$Q$152),"",ReferenceData!$Q$152),"")</f>
        <v/>
      </c>
      <c r="R152" t="str">
        <f ca="1">IFERROR(IF(0=LEN(ReferenceData!$R$152),"",ReferenceData!$R$152),"")</f>
        <v/>
      </c>
      <c r="S152" t="str">
        <f ca="1">IFERROR(IF(0=LEN(ReferenceData!$S$152),"",ReferenceData!$S$152),"")</f>
        <v/>
      </c>
      <c r="T152" t="str">
        <f ca="1">IFERROR(IF(0=LEN(ReferenceData!$T$152),"",ReferenceData!$T$152),"")</f>
        <v/>
      </c>
      <c r="U152" t="str">
        <f ca="1">IFERROR(IF(0=LEN(ReferenceData!$U$152),"",ReferenceData!$U$152),"")</f>
        <v/>
      </c>
      <c r="V152" t="str">
        <f ca="1">IFERROR(IF(0=LEN(ReferenceData!$V$152),"",ReferenceData!$V$152),"")</f>
        <v/>
      </c>
      <c r="W152" t="str">
        <f ca="1">IFERROR(IF(0=LEN(ReferenceData!$W$152),"",ReferenceData!$W$152),"")</f>
        <v/>
      </c>
      <c r="X152" t="str">
        <f ca="1">IFERROR(IF(0=LEN(ReferenceData!$X$152),"",ReferenceData!$X$152),"")</f>
        <v/>
      </c>
      <c r="Y152" t="str">
        <f ca="1">IFERROR(IF(0=LEN(ReferenceData!$Y$152),"",ReferenceData!$Y$152),"")</f>
        <v/>
      </c>
      <c r="Z152" t="str">
        <f ca="1">IFERROR(IF(0=LEN(ReferenceData!$Z$152),"",ReferenceData!$Z$152),"")</f>
        <v/>
      </c>
      <c r="AA152" t="str">
        <f ca="1">IFERROR(IF(0=LEN(ReferenceData!$AA$152),"",ReferenceData!$AA$152),"")</f>
        <v/>
      </c>
      <c r="AB152" t="str">
        <f ca="1">IFERROR(IF(0=LEN(ReferenceData!$AB$152),"",ReferenceData!$AB$152),"")</f>
        <v/>
      </c>
      <c r="AC152" t="str">
        <f ca="1">IFERROR(IF(0=LEN(ReferenceData!$AC$152),"",ReferenceData!$AC$152),"")</f>
        <v/>
      </c>
      <c r="AD152" t="str">
        <f ca="1">IFERROR(IF(0=LEN(ReferenceData!$AD$152),"",ReferenceData!$AD$152),"")</f>
        <v/>
      </c>
      <c r="AE152" t="str">
        <f ca="1">IFERROR(IF(0=LEN(ReferenceData!$AE$152),"",ReferenceData!$AE$152),"")</f>
        <v/>
      </c>
      <c r="AF152" t="str">
        <f ca="1">IFERROR(IF(0=LEN(ReferenceData!$AF$152),"",ReferenceData!$AF$152),"")</f>
        <v/>
      </c>
      <c r="AG152" t="str">
        <f ca="1">IFERROR(IF(0=LEN(ReferenceData!$AG$152),"",ReferenceData!$AG$152),"")</f>
        <v/>
      </c>
      <c r="AH152" t="str">
        <f ca="1">IFERROR(IF(0=LEN(ReferenceData!$AH$152),"",ReferenceData!$AH$152),"")</f>
        <v/>
      </c>
      <c r="AI152" t="str">
        <f ca="1">IFERROR(IF(0=LEN(ReferenceData!$AI$152),"",ReferenceData!$AI$152),"")</f>
        <v/>
      </c>
      <c r="AJ152" t="str">
        <f ca="1">IFERROR(IF(0=LEN(ReferenceData!$AJ$152),"",ReferenceData!$AJ$152),"")</f>
        <v/>
      </c>
      <c r="AK152" t="str">
        <f ca="1">IFERROR(IF(0=LEN(ReferenceData!$AK$152),"",ReferenceData!$AK$152),"")</f>
        <v/>
      </c>
      <c r="AL152" t="str">
        <f ca="1">IFERROR(IF(0=LEN(ReferenceData!$AL$152),"",ReferenceData!$AL$152),"")</f>
        <v/>
      </c>
      <c r="AM152" t="str">
        <f ca="1">IFERROR(IF(0=LEN(ReferenceData!$AM$152),"",ReferenceData!$AM$152),"")</f>
        <v/>
      </c>
      <c r="AN152" t="str">
        <f ca="1">IFERROR(IF(0=LEN(ReferenceData!$AN$152),"",ReferenceData!$AN$152),"")</f>
        <v/>
      </c>
      <c r="AO152" t="str">
        <f ca="1">IFERROR(IF(0=LEN(ReferenceData!$AO$152),"",ReferenceData!$AO$152),"")</f>
        <v/>
      </c>
      <c r="AP152" t="str">
        <f ca="1">IFERROR(IF(0=LEN(ReferenceData!$AP$152),"",ReferenceData!$AP$152),"")</f>
        <v/>
      </c>
      <c r="AQ152" t="str">
        <f ca="1">IFERROR(IF(0=LEN(ReferenceData!$AQ$152),"",ReferenceData!$AQ$152),"")</f>
        <v/>
      </c>
      <c r="AR152" t="str">
        <f ca="1">IFERROR(IF(0=LEN(ReferenceData!$AR$152),"",ReferenceData!$AR$152),"")</f>
        <v/>
      </c>
      <c r="AS152" t="str">
        <f ca="1">IFERROR(IF(0=LEN(ReferenceData!$AS$152),"",ReferenceData!$AS$152),"")</f>
        <v/>
      </c>
    </row>
    <row r="153" spans="1:45" x14ac:dyDescent="0.25">
      <c r="A153" t="str">
        <f>IFERROR(IF(0=LEN(ReferenceData!$A$153),"",ReferenceData!$A$153),"")</f>
        <v xml:space="preserve">    General Motors</v>
      </c>
      <c r="B153" t="str">
        <f>IFERROR(IF(0=LEN(ReferenceData!$B$153),"",ReferenceData!$B$153),"")</f>
        <v>MTLQQ US Equity</v>
      </c>
      <c r="C153" t="str">
        <f>IFERROR(IF(0=LEN(ReferenceData!$C$153),"",ReferenceData!$C$153),"")</f>
        <v/>
      </c>
      <c r="D153" t="str">
        <f>IFERROR(IF(0=LEN(ReferenceData!$D$153),"",ReferenceData!$D$153),"")</f>
        <v/>
      </c>
      <c r="E153" t="str">
        <f>IFERROR(IF(0=LEN(ReferenceData!$E$153),"",ReferenceData!$E$153),"")</f>
        <v>Sum</v>
      </c>
      <c r="F153" t="str">
        <f ca="1">IFERROR(IF(0=LEN(ReferenceData!$F$153),"",ReferenceData!$F$153),"")</f>
        <v/>
      </c>
      <c r="G153" t="str">
        <f ca="1">IFERROR(IF(0=LEN(ReferenceData!$G$153),"",ReferenceData!$G$153),"")</f>
        <v/>
      </c>
      <c r="H153" t="str">
        <f ca="1">IFERROR(IF(0=LEN(ReferenceData!$H$153),"",ReferenceData!$H$153),"")</f>
        <v/>
      </c>
      <c r="I153" t="str">
        <f ca="1">IFERROR(IF(0=LEN(ReferenceData!$I$153),"",ReferenceData!$I$153),"")</f>
        <v/>
      </c>
      <c r="J153" t="str">
        <f ca="1">IFERROR(IF(0=LEN(ReferenceData!$J$153),"",ReferenceData!$J$153),"")</f>
        <v/>
      </c>
      <c r="K153" t="str">
        <f ca="1">IFERROR(IF(0=LEN(ReferenceData!$K$153),"",ReferenceData!$K$153),"")</f>
        <v/>
      </c>
      <c r="L153" t="str">
        <f ca="1">IFERROR(IF(0=LEN(ReferenceData!$L$153),"",ReferenceData!$L$153),"")</f>
        <v/>
      </c>
      <c r="M153" t="str">
        <f ca="1">IFERROR(IF(0=LEN(ReferenceData!$M$153),"",ReferenceData!$M$153),"")</f>
        <v/>
      </c>
      <c r="N153" t="str">
        <f ca="1">IFERROR(IF(0=LEN(ReferenceData!$N$153),"",ReferenceData!$N$153),"")</f>
        <v/>
      </c>
      <c r="O153" t="str">
        <f ca="1">IFERROR(IF(0=LEN(ReferenceData!$O$153),"",ReferenceData!$O$153),"")</f>
        <v/>
      </c>
      <c r="P153" t="str">
        <f ca="1">IFERROR(IF(0=LEN(ReferenceData!$P$153),"",ReferenceData!$P$153),"")</f>
        <v/>
      </c>
      <c r="Q153" t="str">
        <f ca="1">IFERROR(IF(0=LEN(ReferenceData!$Q$153),"",ReferenceData!$Q$153),"")</f>
        <v/>
      </c>
      <c r="R153" t="str">
        <f ca="1">IFERROR(IF(0=LEN(ReferenceData!$R$153),"",ReferenceData!$R$153),"")</f>
        <v/>
      </c>
      <c r="S153" t="str">
        <f ca="1">IFERROR(IF(0=LEN(ReferenceData!$S$153),"",ReferenceData!$S$153),"")</f>
        <v/>
      </c>
      <c r="T153" t="str">
        <f ca="1">IFERROR(IF(0=LEN(ReferenceData!$T$153),"",ReferenceData!$T$153),"")</f>
        <v/>
      </c>
      <c r="U153" t="str">
        <f ca="1">IFERROR(IF(0=LEN(ReferenceData!$U$153),"",ReferenceData!$U$153),"")</f>
        <v/>
      </c>
      <c r="V153" t="str">
        <f ca="1">IFERROR(IF(0=LEN(ReferenceData!$V$153),"",ReferenceData!$V$153),"")</f>
        <v/>
      </c>
      <c r="W153" t="str">
        <f ca="1">IFERROR(IF(0=LEN(ReferenceData!$W$153),"",ReferenceData!$W$153),"")</f>
        <v/>
      </c>
      <c r="X153" t="str">
        <f ca="1">IFERROR(IF(0=LEN(ReferenceData!$X$153),"",ReferenceData!$X$153),"")</f>
        <v/>
      </c>
      <c r="Y153" t="str">
        <f ca="1">IFERROR(IF(0=LEN(ReferenceData!$Y$153),"",ReferenceData!$Y$153),"")</f>
        <v/>
      </c>
      <c r="Z153" t="str">
        <f ca="1">IFERROR(IF(0=LEN(ReferenceData!$Z$153),"",ReferenceData!$Z$153),"")</f>
        <v/>
      </c>
      <c r="AA153" t="str">
        <f ca="1">IFERROR(IF(0=LEN(ReferenceData!$AA$153),"",ReferenceData!$AA$153),"")</f>
        <v/>
      </c>
      <c r="AB153" t="str">
        <f ca="1">IFERROR(IF(0=LEN(ReferenceData!$AB$153),"",ReferenceData!$AB$153),"")</f>
        <v/>
      </c>
      <c r="AC153" t="str">
        <f ca="1">IFERROR(IF(0=LEN(ReferenceData!$AC$153),"",ReferenceData!$AC$153),"")</f>
        <v/>
      </c>
      <c r="AD153" t="str">
        <f ca="1">IFERROR(IF(0=LEN(ReferenceData!$AD$153),"",ReferenceData!$AD$153),"")</f>
        <v/>
      </c>
      <c r="AE153" t="str">
        <f ca="1">IFERROR(IF(0=LEN(ReferenceData!$AE$153),"",ReferenceData!$AE$153),"")</f>
        <v/>
      </c>
      <c r="AF153" t="str">
        <f ca="1">IFERROR(IF(0=LEN(ReferenceData!$AF$153),"",ReferenceData!$AF$153),"")</f>
        <v/>
      </c>
      <c r="AG153" t="str">
        <f ca="1">IFERROR(IF(0=LEN(ReferenceData!$AG$153),"",ReferenceData!$AG$153),"")</f>
        <v/>
      </c>
      <c r="AH153" t="str">
        <f ca="1">IFERROR(IF(0=LEN(ReferenceData!$AH$153),"",ReferenceData!$AH$153),"")</f>
        <v/>
      </c>
      <c r="AI153" t="str">
        <f ca="1">IFERROR(IF(0=LEN(ReferenceData!$AI$153),"",ReferenceData!$AI$153),"")</f>
        <v/>
      </c>
      <c r="AJ153" t="str">
        <f ca="1">IFERROR(IF(0=LEN(ReferenceData!$AJ$153),"",ReferenceData!$AJ$153),"")</f>
        <v/>
      </c>
      <c r="AK153" t="str">
        <f ca="1">IFERROR(IF(0=LEN(ReferenceData!$AK$153),"",ReferenceData!$AK$153),"")</f>
        <v/>
      </c>
      <c r="AL153" t="str">
        <f ca="1">IFERROR(IF(0=LEN(ReferenceData!$AL$153),"",ReferenceData!$AL$153),"")</f>
        <v/>
      </c>
      <c r="AM153" t="str">
        <f ca="1">IFERROR(IF(0=LEN(ReferenceData!$AM$153),"",ReferenceData!$AM$153),"")</f>
        <v/>
      </c>
      <c r="AN153" t="str">
        <f ca="1">IFERROR(IF(0=LEN(ReferenceData!$AN$153),"",ReferenceData!$AN$153),"")</f>
        <v/>
      </c>
      <c r="AO153" t="str">
        <f ca="1">IFERROR(IF(0=LEN(ReferenceData!$AO$153),"",ReferenceData!$AO$153),"")</f>
        <v/>
      </c>
      <c r="AP153" t="str">
        <f ca="1">IFERROR(IF(0=LEN(ReferenceData!$AP$153),"",ReferenceData!$AP$153),"")</f>
        <v/>
      </c>
      <c r="AQ153" t="str">
        <f ca="1">IFERROR(IF(0=LEN(ReferenceData!$AQ$153),"",ReferenceData!$AQ$153),"")</f>
        <v/>
      </c>
      <c r="AR153" t="str">
        <f ca="1">IFERROR(IF(0=LEN(ReferenceData!$AR$153),"",ReferenceData!$AR$153),"")</f>
        <v/>
      </c>
      <c r="AS153" t="str">
        <f ca="1">IFERROR(IF(0=LEN(ReferenceData!$AS$153),"",ReferenceData!$AS$153),"")</f>
        <v/>
      </c>
    </row>
    <row r="154" spans="1:45" x14ac:dyDescent="0.25">
      <c r="A154" t="str">
        <f>IFERROR(IF(0=LEN(ReferenceData!$A$154),"",ReferenceData!$A$154),"")</f>
        <v xml:space="preserve">        Chevrolet</v>
      </c>
      <c r="B154" t="str">
        <f>IFERROR(IF(0=LEN(ReferenceData!$B$154),"",ReferenceData!$B$154),"")</f>
        <v>MTLQQ US Equity</v>
      </c>
      <c r="C154" t="str">
        <f>IFERROR(IF(0=LEN(ReferenceData!$C$154),"",ReferenceData!$C$154),"")</f>
        <v/>
      </c>
      <c r="D154" t="str">
        <f>IFERROR(IF(0=LEN(ReferenceData!$D$154),"",ReferenceData!$D$154),"")</f>
        <v/>
      </c>
      <c r="E154" t="str">
        <f>IFERROR(IF(0=LEN(ReferenceData!$E$154),"",ReferenceData!$E$154),"")</f>
        <v>Expression</v>
      </c>
      <c r="F154" t="str">
        <f ca="1">IFERROR(IF(0=LEN(ReferenceData!$F$154),"",ReferenceData!$F$154),"")</f>
        <v/>
      </c>
      <c r="G154" t="str">
        <f ca="1">IFERROR(IF(0=LEN(ReferenceData!$G$154),"",ReferenceData!$G$154),"")</f>
        <v/>
      </c>
      <c r="H154" t="str">
        <f ca="1">IFERROR(IF(0=LEN(ReferenceData!$H$154),"",ReferenceData!$H$154),"")</f>
        <v/>
      </c>
      <c r="I154" t="str">
        <f ca="1">IFERROR(IF(0=LEN(ReferenceData!$I$154),"",ReferenceData!$I$154),"")</f>
        <v/>
      </c>
      <c r="J154" t="str">
        <f ca="1">IFERROR(IF(0=LEN(ReferenceData!$J$154),"",ReferenceData!$J$154),"")</f>
        <v/>
      </c>
      <c r="K154" t="str">
        <f ca="1">IFERROR(IF(0=LEN(ReferenceData!$K$154),"",ReferenceData!$K$154),"")</f>
        <v/>
      </c>
      <c r="L154" t="str">
        <f ca="1">IFERROR(IF(0=LEN(ReferenceData!$L$154),"",ReferenceData!$L$154),"")</f>
        <v/>
      </c>
      <c r="M154" t="str">
        <f ca="1">IFERROR(IF(0=LEN(ReferenceData!$M$154),"",ReferenceData!$M$154),"")</f>
        <v/>
      </c>
      <c r="N154" t="str">
        <f ca="1">IFERROR(IF(0=LEN(ReferenceData!$N$154),"",ReferenceData!$N$154),"")</f>
        <v/>
      </c>
      <c r="O154" t="str">
        <f ca="1">IFERROR(IF(0=LEN(ReferenceData!$O$154),"",ReferenceData!$O$154),"")</f>
        <v/>
      </c>
      <c r="P154" t="str">
        <f ca="1">IFERROR(IF(0=LEN(ReferenceData!$P$154),"",ReferenceData!$P$154),"")</f>
        <v/>
      </c>
      <c r="Q154" t="str">
        <f ca="1">IFERROR(IF(0=LEN(ReferenceData!$Q$154),"",ReferenceData!$Q$154),"")</f>
        <v/>
      </c>
      <c r="R154" t="str">
        <f ca="1">IFERROR(IF(0=LEN(ReferenceData!$R$154),"",ReferenceData!$R$154),"")</f>
        <v/>
      </c>
      <c r="S154" t="str">
        <f ca="1">IFERROR(IF(0=LEN(ReferenceData!$S$154),"",ReferenceData!$S$154),"")</f>
        <v/>
      </c>
      <c r="T154" t="str">
        <f ca="1">IFERROR(IF(0=LEN(ReferenceData!$T$154),"",ReferenceData!$T$154),"")</f>
        <v/>
      </c>
      <c r="U154" t="str">
        <f ca="1">IFERROR(IF(0=LEN(ReferenceData!$U$154),"",ReferenceData!$U$154),"")</f>
        <v/>
      </c>
      <c r="V154" t="str">
        <f ca="1">IFERROR(IF(0=LEN(ReferenceData!$V$154),"",ReferenceData!$V$154),"")</f>
        <v/>
      </c>
      <c r="W154" t="str">
        <f ca="1">IFERROR(IF(0=LEN(ReferenceData!$W$154),"",ReferenceData!$W$154),"")</f>
        <v/>
      </c>
      <c r="X154" t="str">
        <f ca="1">IFERROR(IF(0=LEN(ReferenceData!$X$154),"",ReferenceData!$X$154),"")</f>
        <v/>
      </c>
      <c r="Y154" t="str">
        <f ca="1">IFERROR(IF(0=LEN(ReferenceData!$Y$154),"",ReferenceData!$Y$154),"")</f>
        <v/>
      </c>
      <c r="Z154" t="str">
        <f ca="1">IFERROR(IF(0=LEN(ReferenceData!$Z$154),"",ReferenceData!$Z$154),"")</f>
        <v/>
      </c>
      <c r="AA154" t="str">
        <f ca="1">IFERROR(IF(0=LEN(ReferenceData!$AA$154),"",ReferenceData!$AA$154),"")</f>
        <v/>
      </c>
      <c r="AB154" t="str">
        <f ca="1">IFERROR(IF(0=LEN(ReferenceData!$AB$154),"",ReferenceData!$AB$154),"")</f>
        <v/>
      </c>
      <c r="AC154" t="str">
        <f ca="1">IFERROR(IF(0=LEN(ReferenceData!$AC$154),"",ReferenceData!$AC$154),"")</f>
        <v/>
      </c>
      <c r="AD154" t="str">
        <f ca="1">IFERROR(IF(0=LEN(ReferenceData!$AD$154),"",ReferenceData!$AD$154),"")</f>
        <v/>
      </c>
      <c r="AE154" t="str">
        <f ca="1">IFERROR(IF(0=LEN(ReferenceData!$AE$154),"",ReferenceData!$AE$154),"")</f>
        <v/>
      </c>
      <c r="AF154" t="str">
        <f ca="1">IFERROR(IF(0=LEN(ReferenceData!$AF$154),"",ReferenceData!$AF$154),"")</f>
        <v/>
      </c>
      <c r="AG154" t="str">
        <f ca="1">IFERROR(IF(0=LEN(ReferenceData!$AG$154),"",ReferenceData!$AG$154),"")</f>
        <v/>
      </c>
      <c r="AH154" t="str">
        <f ca="1">IFERROR(IF(0=LEN(ReferenceData!$AH$154),"",ReferenceData!$AH$154),"")</f>
        <v/>
      </c>
      <c r="AI154" t="str">
        <f ca="1">IFERROR(IF(0=LEN(ReferenceData!$AI$154),"",ReferenceData!$AI$154),"")</f>
        <v/>
      </c>
      <c r="AJ154" t="str">
        <f ca="1">IFERROR(IF(0=LEN(ReferenceData!$AJ$154),"",ReferenceData!$AJ$154),"")</f>
        <v/>
      </c>
      <c r="AK154" t="str">
        <f ca="1">IFERROR(IF(0=LEN(ReferenceData!$AK$154),"",ReferenceData!$AK$154),"")</f>
        <v/>
      </c>
      <c r="AL154" t="str">
        <f ca="1">IFERROR(IF(0=LEN(ReferenceData!$AL$154),"",ReferenceData!$AL$154),"")</f>
        <v/>
      </c>
      <c r="AM154" t="str">
        <f ca="1">IFERROR(IF(0=LEN(ReferenceData!$AM$154),"",ReferenceData!$AM$154),"")</f>
        <v/>
      </c>
      <c r="AN154" t="str">
        <f ca="1">IFERROR(IF(0=LEN(ReferenceData!$AN$154),"",ReferenceData!$AN$154),"")</f>
        <v/>
      </c>
      <c r="AO154" t="str">
        <f ca="1">IFERROR(IF(0=LEN(ReferenceData!$AO$154),"",ReferenceData!$AO$154),"")</f>
        <v/>
      </c>
      <c r="AP154" t="str">
        <f ca="1">IFERROR(IF(0=LEN(ReferenceData!$AP$154),"",ReferenceData!$AP$154),"")</f>
        <v/>
      </c>
      <c r="AQ154" t="str">
        <f ca="1">IFERROR(IF(0=LEN(ReferenceData!$AQ$154),"",ReferenceData!$AQ$154),"")</f>
        <v/>
      </c>
      <c r="AR154" t="str">
        <f ca="1">IFERROR(IF(0=LEN(ReferenceData!$AR$154),"",ReferenceData!$AR$154),"")</f>
        <v/>
      </c>
      <c r="AS154" t="str">
        <f ca="1">IFERROR(IF(0=LEN(ReferenceData!$AS$154),"",ReferenceData!$AS$154),"")</f>
        <v/>
      </c>
    </row>
    <row r="155" spans="1:45" x14ac:dyDescent="0.25">
      <c r="A155" t="str">
        <f>IFERROR(IF(0=LEN(ReferenceData!$A$155),"",ReferenceData!$A$155),"")</f>
        <v xml:space="preserve">    Scania</v>
      </c>
      <c r="B155" t="str">
        <f>IFERROR(IF(0=LEN(ReferenceData!$B$155),"",ReferenceData!$B$155),"")</f>
        <v>SCVB SS Equity</v>
      </c>
      <c r="C155" t="str">
        <f>IFERROR(IF(0=LEN(ReferenceData!$C$155),"",ReferenceData!$C$155),"")</f>
        <v/>
      </c>
      <c r="D155" t="str">
        <f>IFERROR(IF(0=LEN(ReferenceData!$D$155),"",ReferenceData!$D$155),"")</f>
        <v/>
      </c>
      <c r="E155" t="str">
        <f>IFERROR(IF(0=LEN(ReferenceData!$E$155),"",ReferenceData!$E$155),"")</f>
        <v>Expression</v>
      </c>
      <c r="F155" t="str">
        <f ca="1">IFERROR(IF(0=LEN(ReferenceData!$F$155),"",ReferenceData!$F$155),"")</f>
        <v/>
      </c>
      <c r="G155" t="str">
        <f ca="1">IFERROR(IF(0=LEN(ReferenceData!$G$155),"",ReferenceData!$G$155),"")</f>
        <v/>
      </c>
      <c r="H155" t="str">
        <f ca="1">IFERROR(IF(0=LEN(ReferenceData!$H$155),"",ReferenceData!$H$155),"")</f>
        <v/>
      </c>
      <c r="I155" t="str">
        <f ca="1">IFERROR(IF(0=LEN(ReferenceData!$I$155),"",ReferenceData!$I$155),"")</f>
        <v/>
      </c>
      <c r="J155" t="str">
        <f ca="1">IFERROR(IF(0=LEN(ReferenceData!$J$155),"",ReferenceData!$J$155),"")</f>
        <v/>
      </c>
      <c r="K155" t="str">
        <f ca="1">IFERROR(IF(0=LEN(ReferenceData!$K$155),"",ReferenceData!$K$155),"")</f>
        <v/>
      </c>
      <c r="L155" t="str">
        <f ca="1">IFERROR(IF(0=LEN(ReferenceData!$L$155),"",ReferenceData!$L$155),"")</f>
        <v/>
      </c>
      <c r="M155" t="str">
        <f ca="1">IFERROR(IF(0=LEN(ReferenceData!$M$155),"",ReferenceData!$M$155),"")</f>
        <v/>
      </c>
      <c r="N155" t="str">
        <f ca="1">IFERROR(IF(0=LEN(ReferenceData!$N$155),"",ReferenceData!$N$155),"")</f>
        <v/>
      </c>
      <c r="O155" t="str">
        <f ca="1">IFERROR(IF(0=LEN(ReferenceData!$O$155),"",ReferenceData!$O$155),"")</f>
        <v/>
      </c>
      <c r="P155" t="str">
        <f ca="1">IFERROR(IF(0=LEN(ReferenceData!$P$155),"",ReferenceData!$P$155),"")</f>
        <v/>
      </c>
      <c r="Q155" t="str">
        <f ca="1">IFERROR(IF(0=LEN(ReferenceData!$Q$155),"",ReferenceData!$Q$155),"")</f>
        <v/>
      </c>
      <c r="R155" t="str">
        <f ca="1">IFERROR(IF(0=LEN(ReferenceData!$R$155),"",ReferenceData!$R$155),"")</f>
        <v/>
      </c>
      <c r="S155" t="str">
        <f ca="1">IFERROR(IF(0=LEN(ReferenceData!$S$155),"",ReferenceData!$S$155),"")</f>
        <v/>
      </c>
      <c r="T155" t="str">
        <f ca="1">IFERROR(IF(0=LEN(ReferenceData!$T$155),"",ReferenceData!$T$155),"")</f>
        <v/>
      </c>
      <c r="U155" t="str">
        <f ca="1">IFERROR(IF(0=LEN(ReferenceData!$U$155),"",ReferenceData!$U$155),"")</f>
        <v/>
      </c>
      <c r="V155" t="str">
        <f ca="1">IFERROR(IF(0=LEN(ReferenceData!$V$155),"",ReferenceData!$V$155),"")</f>
        <v/>
      </c>
      <c r="W155" t="str">
        <f ca="1">IFERROR(IF(0=LEN(ReferenceData!$W$155),"",ReferenceData!$W$155),"")</f>
        <v/>
      </c>
      <c r="X155" t="str">
        <f ca="1">IFERROR(IF(0=LEN(ReferenceData!$X$155),"",ReferenceData!$X$155),"")</f>
        <v/>
      </c>
      <c r="Y155" t="str">
        <f ca="1">IFERROR(IF(0=LEN(ReferenceData!$Y$155),"",ReferenceData!$Y$155),"")</f>
        <v/>
      </c>
      <c r="Z155" t="str">
        <f ca="1">IFERROR(IF(0=LEN(ReferenceData!$Z$155),"",ReferenceData!$Z$155),"")</f>
        <v/>
      </c>
      <c r="AA155" t="str">
        <f ca="1">IFERROR(IF(0=LEN(ReferenceData!$AA$155),"",ReferenceData!$AA$155),"")</f>
        <v/>
      </c>
      <c r="AB155" t="str">
        <f ca="1">IFERROR(IF(0=LEN(ReferenceData!$AB$155),"",ReferenceData!$AB$155),"")</f>
        <v/>
      </c>
      <c r="AC155" t="str">
        <f ca="1">IFERROR(IF(0=LEN(ReferenceData!$AC$155),"",ReferenceData!$AC$155),"")</f>
        <v/>
      </c>
      <c r="AD155" t="str">
        <f ca="1">IFERROR(IF(0=LEN(ReferenceData!$AD$155),"",ReferenceData!$AD$155),"")</f>
        <v/>
      </c>
      <c r="AE155" t="str">
        <f ca="1">IFERROR(IF(0=LEN(ReferenceData!$AE$155),"",ReferenceData!$AE$155),"")</f>
        <v/>
      </c>
      <c r="AF155" t="str">
        <f ca="1">IFERROR(IF(0=LEN(ReferenceData!$AF$155),"",ReferenceData!$AF$155),"")</f>
        <v/>
      </c>
      <c r="AG155" t="str">
        <f ca="1">IFERROR(IF(0=LEN(ReferenceData!$AG$155),"",ReferenceData!$AG$155),"")</f>
        <v/>
      </c>
      <c r="AH155" t="str">
        <f ca="1">IFERROR(IF(0=LEN(ReferenceData!$AH$155),"",ReferenceData!$AH$155),"")</f>
        <v/>
      </c>
      <c r="AI155" t="str">
        <f ca="1">IFERROR(IF(0=LEN(ReferenceData!$AI$155),"",ReferenceData!$AI$155),"")</f>
        <v/>
      </c>
      <c r="AJ155" t="str">
        <f ca="1">IFERROR(IF(0=LEN(ReferenceData!$AJ$155),"",ReferenceData!$AJ$155),"")</f>
        <v/>
      </c>
      <c r="AK155" t="str">
        <f ca="1">IFERROR(IF(0=LEN(ReferenceData!$AK$155),"",ReferenceData!$AK$155),"")</f>
        <v/>
      </c>
      <c r="AL155" t="str">
        <f ca="1">IFERROR(IF(0=LEN(ReferenceData!$AL$155),"",ReferenceData!$AL$155),"")</f>
        <v/>
      </c>
      <c r="AM155" t="str">
        <f ca="1">IFERROR(IF(0=LEN(ReferenceData!$AM$155),"",ReferenceData!$AM$155),"")</f>
        <v/>
      </c>
      <c r="AN155" t="str">
        <f ca="1">IFERROR(IF(0=LEN(ReferenceData!$AN$155),"",ReferenceData!$AN$155),"")</f>
        <v/>
      </c>
      <c r="AO155" t="str">
        <f ca="1">IFERROR(IF(0=LEN(ReferenceData!$AO$155),"",ReferenceData!$AO$155),"")</f>
        <v/>
      </c>
      <c r="AP155" t="str">
        <f ca="1">IFERROR(IF(0=LEN(ReferenceData!$AP$155),"",ReferenceData!$AP$155),"")</f>
        <v/>
      </c>
      <c r="AQ155" t="str">
        <f ca="1">IFERROR(IF(0=LEN(ReferenceData!$AQ$155),"",ReferenceData!$AQ$155),"")</f>
        <v/>
      </c>
      <c r="AR155" t="str">
        <f ca="1">IFERROR(IF(0=LEN(ReferenceData!$AR$155),"",ReferenceData!$AR$155),"")</f>
        <v/>
      </c>
      <c r="AS155" t="str">
        <f ca="1">IFERROR(IF(0=LEN(ReferenceData!$AS$155),"",ReferenceData!$AS$155),"")</f>
        <v/>
      </c>
    </row>
    <row r="156" spans="1:45" x14ac:dyDescent="0.25">
      <c r="A156" t="str">
        <f>IFERROR(IF(0=LEN(ReferenceData!$A$156),"",ReferenceData!$A$156),"")</f>
        <v xml:space="preserve">    MAN</v>
      </c>
      <c r="B156" t="str">
        <f>IFERROR(IF(0=LEN(ReferenceData!$B$156),"",ReferenceData!$B$156),"")</f>
        <v>VOW GR Equity</v>
      </c>
      <c r="C156" t="str">
        <f>IFERROR(IF(0=LEN(ReferenceData!$C$156),"",ReferenceData!$C$156),"")</f>
        <v/>
      </c>
      <c r="D156" t="str">
        <f>IFERROR(IF(0=LEN(ReferenceData!$D$156),"",ReferenceData!$D$156),"")</f>
        <v/>
      </c>
      <c r="E156" t="str">
        <f>IFERROR(IF(0=LEN(ReferenceData!$E$156),"",ReferenceData!$E$156),"")</f>
        <v>Sum</v>
      </c>
      <c r="F156" t="str">
        <f ca="1">IFERROR(IF(0=LEN(ReferenceData!$F$156),"",ReferenceData!$F$156),"")</f>
        <v/>
      </c>
      <c r="G156" t="str">
        <f ca="1">IFERROR(IF(0=LEN(ReferenceData!$G$156),"",ReferenceData!$G$156),"")</f>
        <v/>
      </c>
      <c r="H156" t="str">
        <f ca="1">IFERROR(IF(0=LEN(ReferenceData!$H$156),"",ReferenceData!$H$156),"")</f>
        <v/>
      </c>
      <c r="I156" t="str">
        <f ca="1">IFERROR(IF(0=LEN(ReferenceData!$I$156),"",ReferenceData!$I$156),"")</f>
        <v/>
      </c>
      <c r="J156" t="str">
        <f ca="1">IFERROR(IF(0=LEN(ReferenceData!$J$156),"",ReferenceData!$J$156),"")</f>
        <v/>
      </c>
      <c r="K156" t="str">
        <f ca="1">IFERROR(IF(0=LEN(ReferenceData!$K$156),"",ReferenceData!$K$156),"")</f>
        <v/>
      </c>
      <c r="L156" t="str">
        <f ca="1">IFERROR(IF(0=LEN(ReferenceData!$L$156),"",ReferenceData!$L$156),"")</f>
        <v/>
      </c>
      <c r="M156" t="str">
        <f ca="1">IFERROR(IF(0=LEN(ReferenceData!$M$156),"",ReferenceData!$M$156),"")</f>
        <v/>
      </c>
      <c r="N156" t="str">
        <f ca="1">IFERROR(IF(0=LEN(ReferenceData!$N$156),"",ReferenceData!$N$156),"")</f>
        <v/>
      </c>
      <c r="O156" t="str">
        <f ca="1">IFERROR(IF(0=LEN(ReferenceData!$O$156),"",ReferenceData!$O$156),"")</f>
        <v/>
      </c>
      <c r="P156">
        <f ca="1">IFERROR(IF(0=LEN(ReferenceData!$P$156),"",ReferenceData!$P$156),"")</f>
        <v>7.8593588419999998</v>
      </c>
      <c r="Q156">
        <f ca="1">IFERROR(IF(0=LEN(ReferenceData!$Q$156),"",ReferenceData!$Q$156),"")</f>
        <v>7.421875</v>
      </c>
      <c r="R156">
        <f ca="1">IFERROR(IF(0=LEN(ReferenceData!$R$156),"",ReferenceData!$R$156),"")</f>
        <v>7.5581395349999996</v>
      </c>
      <c r="S156">
        <f ca="1">IFERROR(IF(0=LEN(ReferenceData!$S$156),"",ReferenceData!$S$156),"")</f>
        <v>6.2421972529999996</v>
      </c>
      <c r="T156">
        <f ca="1">IFERROR(IF(0=LEN(ReferenceData!$T$156),"",ReferenceData!$T$156),"")</f>
        <v>4.5454545450000001</v>
      </c>
      <c r="U156">
        <f ca="1">IFERROR(IF(0=LEN(ReferenceData!$U$156),"",ReferenceData!$U$156),"")</f>
        <v>4.1769041769999999</v>
      </c>
      <c r="V156">
        <f ca="1">IFERROR(IF(0=LEN(ReferenceData!$V$156),"",ReferenceData!$V$156),"")</f>
        <v>4.4067796609999998</v>
      </c>
      <c r="W156">
        <f ca="1">IFERROR(IF(0=LEN(ReferenceData!$W$156),"",ReferenceData!$W$156),"")</f>
        <v>6.9172932329999997</v>
      </c>
      <c r="X156">
        <f ca="1">IFERROR(IF(0=LEN(ReferenceData!$X$156),"",ReferenceData!$X$156),"")</f>
        <v>6.7073170729999996</v>
      </c>
      <c r="Y156">
        <f ca="1">IFERROR(IF(0=LEN(ReferenceData!$Y$156),"",ReferenceData!$Y$156),"")</f>
        <v>5.1315789470000004</v>
      </c>
      <c r="Z156">
        <f ca="1">IFERROR(IF(0=LEN(ReferenceData!$Z$156),"",ReferenceData!$Z$156),"")</f>
        <v>4.9833887040000002</v>
      </c>
      <c r="AA156">
        <f ca="1">IFERROR(IF(0=LEN(ReferenceData!$AA$156),"",ReferenceData!$AA$156),"")</f>
        <v>9.2050209209999991</v>
      </c>
      <c r="AB156">
        <f ca="1">IFERROR(IF(0=LEN(ReferenceData!$AB$156),"",ReferenceData!$AB$156),"")</f>
        <v>8.0874316939999993</v>
      </c>
      <c r="AC156">
        <f ca="1">IFERROR(IF(0=LEN(ReferenceData!$AC$156),"",ReferenceData!$AC$156),"")</f>
        <v>8.1155433289999994</v>
      </c>
      <c r="AD156">
        <f ca="1">IFERROR(IF(0=LEN(ReferenceData!$AD$156),"",ReferenceData!$AD$156),"")</f>
        <v>7.9022988510000003</v>
      </c>
      <c r="AE156">
        <f ca="1">IFERROR(IF(0=LEN(ReferenceData!$AE$156),"",ReferenceData!$AE$156),"")</f>
        <v>7.938931298</v>
      </c>
      <c r="AF156">
        <f ca="1">IFERROR(IF(0=LEN(ReferenceData!$AF$156),"",ReferenceData!$AF$156),"")</f>
        <v>8.0620155039999997</v>
      </c>
      <c r="AG156">
        <f ca="1">IFERROR(IF(0=LEN(ReferenceData!$AG$156),"",ReferenceData!$AG$156),"")</f>
        <v>7.5691411940000002</v>
      </c>
      <c r="AH156">
        <f ca="1">IFERROR(IF(0=LEN(ReferenceData!$AH$156),"",ReferenceData!$AH$156),"")</f>
        <v>7.153075823</v>
      </c>
      <c r="AI156">
        <f ca="1">IFERROR(IF(0=LEN(ReferenceData!$AI$156),"",ReferenceData!$AI$156),"")</f>
        <v>8</v>
      </c>
      <c r="AJ156">
        <f ca="1">IFERROR(IF(0=LEN(ReferenceData!$AJ$156),"",ReferenceData!$AJ$156),"")</f>
        <v>5.6555269920000004</v>
      </c>
      <c r="AK156">
        <f ca="1">IFERROR(IF(0=LEN(ReferenceData!$AK$156),"",ReferenceData!$AK$156),"")</f>
        <v>9.7602739730000003</v>
      </c>
      <c r="AL156">
        <f ca="1">IFERROR(IF(0=LEN(ReferenceData!$AL$156),"",ReferenceData!$AL$156),"")</f>
        <v>8.9108910889999997</v>
      </c>
      <c r="AM156">
        <f ca="1">IFERROR(IF(0=LEN(ReferenceData!$AM$156),"",ReferenceData!$AM$156),"")</f>
        <v>9.4214876029999992</v>
      </c>
      <c r="AN156">
        <f ca="1">IFERROR(IF(0=LEN(ReferenceData!$AN$156),"",ReferenceData!$AN$156),"")</f>
        <v>9.3908629440000002</v>
      </c>
      <c r="AO156">
        <f ca="1">IFERROR(IF(0=LEN(ReferenceData!$AO$156),"",ReferenceData!$AO$156),"")</f>
        <v>9.9173553719999994</v>
      </c>
      <c r="AP156">
        <f ca="1">IFERROR(IF(0=LEN(ReferenceData!$AP$156),"",ReferenceData!$AP$156),"")</f>
        <v>10.2319236</v>
      </c>
      <c r="AQ156">
        <f ca="1">IFERROR(IF(0=LEN(ReferenceData!$AQ$156),"",ReferenceData!$AQ$156),"")</f>
        <v>4.835924007</v>
      </c>
      <c r="AR156">
        <f ca="1">IFERROR(IF(0=LEN(ReferenceData!$AR$156),"",ReferenceData!$AR$156),"")</f>
        <v>4.1733547350000002</v>
      </c>
      <c r="AS156">
        <f ca="1">IFERROR(IF(0=LEN(ReferenceData!$AS$156),"",ReferenceData!$AS$156),"")</f>
        <v>3.315881326</v>
      </c>
    </row>
    <row r="157" spans="1:45" x14ac:dyDescent="0.25">
      <c r="A157" t="str">
        <f>IFERROR(IF(0=LEN(ReferenceData!$A$157),"",ReferenceData!$A$157),"")</f>
        <v xml:space="preserve">        MAN</v>
      </c>
      <c r="B157" t="str">
        <f>IFERROR(IF(0=LEN(ReferenceData!$B$157),"",ReferenceData!$B$157),"")</f>
        <v>VOW GR Equity</v>
      </c>
      <c r="C157" t="str">
        <f>IFERROR(IF(0=LEN(ReferenceData!$C$157),"",ReferenceData!$C$157),"")</f>
        <v/>
      </c>
      <c r="D157" t="str">
        <f>IFERROR(IF(0=LEN(ReferenceData!$D$157),"",ReferenceData!$D$157),"")</f>
        <v/>
      </c>
      <c r="E157" t="str">
        <f>IFERROR(IF(0=LEN(ReferenceData!$E$157),"",ReferenceData!$E$157),"")</f>
        <v>Expression</v>
      </c>
      <c r="F157" t="str">
        <f ca="1">IFERROR(IF(0=LEN(ReferenceData!$F$157),"",ReferenceData!$F$157),"")</f>
        <v/>
      </c>
      <c r="G157" t="str">
        <f ca="1">IFERROR(IF(0=LEN(ReferenceData!$G$157),"",ReferenceData!$G$157),"")</f>
        <v/>
      </c>
      <c r="H157" t="str">
        <f ca="1">IFERROR(IF(0=LEN(ReferenceData!$H$157),"",ReferenceData!$H$157),"")</f>
        <v/>
      </c>
      <c r="I157" t="str">
        <f ca="1">IFERROR(IF(0=LEN(ReferenceData!$I$157),"",ReferenceData!$I$157),"")</f>
        <v/>
      </c>
      <c r="J157" t="str">
        <f ca="1">IFERROR(IF(0=LEN(ReferenceData!$J$157),"",ReferenceData!$J$157),"")</f>
        <v/>
      </c>
      <c r="K157" t="str">
        <f ca="1">IFERROR(IF(0=LEN(ReferenceData!$K$157),"",ReferenceData!$K$157),"")</f>
        <v/>
      </c>
      <c r="L157" t="str">
        <f ca="1">IFERROR(IF(0=LEN(ReferenceData!$L$157),"",ReferenceData!$L$157),"")</f>
        <v/>
      </c>
      <c r="M157" t="str">
        <f ca="1">IFERROR(IF(0=LEN(ReferenceData!$M$157),"",ReferenceData!$M$157),"")</f>
        <v/>
      </c>
      <c r="N157" t="str">
        <f ca="1">IFERROR(IF(0=LEN(ReferenceData!$N$157),"",ReferenceData!$N$157),"")</f>
        <v/>
      </c>
      <c r="O157" t="str">
        <f ca="1">IFERROR(IF(0=LEN(ReferenceData!$O$157),"",ReferenceData!$O$157),"")</f>
        <v/>
      </c>
      <c r="P157" t="str">
        <f ca="1">IFERROR(IF(0=LEN(ReferenceData!$P$157),"",ReferenceData!$P$157),"")</f>
        <v/>
      </c>
      <c r="Q157" t="str">
        <f ca="1">IFERROR(IF(0=LEN(ReferenceData!$Q$157),"",ReferenceData!$Q$157),"")</f>
        <v/>
      </c>
      <c r="R157" t="str">
        <f ca="1">IFERROR(IF(0=LEN(ReferenceData!$R$157),"",ReferenceData!$R$157),"")</f>
        <v/>
      </c>
      <c r="S157" t="str">
        <f ca="1">IFERROR(IF(0=LEN(ReferenceData!$S$157),"",ReferenceData!$S$157),"")</f>
        <v/>
      </c>
      <c r="T157" t="str">
        <f ca="1">IFERROR(IF(0=LEN(ReferenceData!$T$157),"",ReferenceData!$T$157),"")</f>
        <v/>
      </c>
      <c r="U157" t="str">
        <f ca="1">IFERROR(IF(0=LEN(ReferenceData!$U$157),"",ReferenceData!$U$157),"")</f>
        <v/>
      </c>
      <c r="V157" t="str">
        <f ca="1">IFERROR(IF(0=LEN(ReferenceData!$V$157),"",ReferenceData!$V$157),"")</f>
        <v/>
      </c>
      <c r="W157" t="str">
        <f ca="1">IFERROR(IF(0=LEN(ReferenceData!$W$157),"",ReferenceData!$W$157),"")</f>
        <v/>
      </c>
      <c r="X157" t="str">
        <f ca="1">IFERROR(IF(0=LEN(ReferenceData!$X$157),"",ReferenceData!$X$157),"")</f>
        <v/>
      </c>
      <c r="Y157" t="str">
        <f ca="1">IFERROR(IF(0=LEN(ReferenceData!$Y$157),"",ReferenceData!$Y$157),"")</f>
        <v/>
      </c>
      <c r="Z157" t="str">
        <f ca="1">IFERROR(IF(0=LEN(ReferenceData!$Z$157),"",ReferenceData!$Z$157),"")</f>
        <v/>
      </c>
      <c r="AA157" t="str">
        <f ca="1">IFERROR(IF(0=LEN(ReferenceData!$AA$157),"",ReferenceData!$AA$157),"")</f>
        <v/>
      </c>
      <c r="AB157" t="str">
        <f ca="1">IFERROR(IF(0=LEN(ReferenceData!$AB$157),"",ReferenceData!$AB$157),"")</f>
        <v/>
      </c>
      <c r="AC157" t="str">
        <f ca="1">IFERROR(IF(0=LEN(ReferenceData!$AC$157),"",ReferenceData!$AC$157),"")</f>
        <v/>
      </c>
      <c r="AD157" t="str">
        <f ca="1">IFERROR(IF(0=LEN(ReferenceData!$AD$157),"",ReferenceData!$AD$157),"")</f>
        <v/>
      </c>
      <c r="AE157" t="str">
        <f ca="1">IFERROR(IF(0=LEN(ReferenceData!$AE$157),"",ReferenceData!$AE$157),"")</f>
        <v/>
      </c>
      <c r="AF157" t="str">
        <f ca="1">IFERROR(IF(0=LEN(ReferenceData!$AF$157),"",ReferenceData!$AF$157),"")</f>
        <v/>
      </c>
      <c r="AG157" t="str">
        <f ca="1">IFERROR(IF(0=LEN(ReferenceData!$AG$157),"",ReferenceData!$AG$157),"")</f>
        <v/>
      </c>
      <c r="AH157" t="str">
        <f ca="1">IFERROR(IF(0=LEN(ReferenceData!$AH$157),"",ReferenceData!$AH$157),"")</f>
        <v/>
      </c>
      <c r="AI157" t="str">
        <f ca="1">IFERROR(IF(0=LEN(ReferenceData!$AI$157),"",ReferenceData!$AI$157),"")</f>
        <v/>
      </c>
      <c r="AJ157" t="str">
        <f ca="1">IFERROR(IF(0=LEN(ReferenceData!$AJ$157),"",ReferenceData!$AJ$157),"")</f>
        <v/>
      </c>
      <c r="AK157" t="str">
        <f ca="1">IFERROR(IF(0=LEN(ReferenceData!$AK$157),"",ReferenceData!$AK$157),"")</f>
        <v/>
      </c>
      <c r="AL157" t="str">
        <f ca="1">IFERROR(IF(0=LEN(ReferenceData!$AL$157),"",ReferenceData!$AL$157),"")</f>
        <v/>
      </c>
      <c r="AM157" t="str">
        <f ca="1">IFERROR(IF(0=LEN(ReferenceData!$AM$157),"",ReferenceData!$AM$157),"")</f>
        <v/>
      </c>
      <c r="AN157" t="str">
        <f ca="1">IFERROR(IF(0=LEN(ReferenceData!$AN$157),"",ReferenceData!$AN$157),"")</f>
        <v/>
      </c>
      <c r="AO157" t="str">
        <f ca="1">IFERROR(IF(0=LEN(ReferenceData!$AO$157),"",ReferenceData!$AO$157),"")</f>
        <v/>
      </c>
      <c r="AP157" t="str">
        <f ca="1">IFERROR(IF(0=LEN(ReferenceData!$AP$157),"",ReferenceData!$AP$157),"")</f>
        <v/>
      </c>
      <c r="AQ157" t="str">
        <f ca="1">IFERROR(IF(0=LEN(ReferenceData!$AQ$157),"",ReferenceData!$AQ$157),"")</f>
        <v/>
      </c>
      <c r="AR157" t="str">
        <f ca="1">IFERROR(IF(0=LEN(ReferenceData!$AR$157),"",ReferenceData!$AR$157),"")</f>
        <v/>
      </c>
      <c r="AS157" t="str">
        <f ca="1">IFERROR(IF(0=LEN(ReferenceData!$AS$157),"",ReferenceData!$AS$157),"")</f>
        <v/>
      </c>
    </row>
    <row r="158" spans="1:45" x14ac:dyDescent="0.25">
      <c r="A158" t="str">
        <f>IFERROR(IF(0=LEN(ReferenceData!$A$158),"",ReferenceData!$A$158),"")</f>
        <v xml:space="preserve">        Volkswagen Truck &amp; Bus</v>
      </c>
      <c r="B158" t="str">
        <f>IFERROR(IF(0=LEN(ReferenceData!$B$158),"",ReferenceData!$B$158),"")</f>
        <v>VOW GR Equity</v>
      </c>
      <c r="C158" t="str">
        <f>IFERROR(IF(0=LEN(ReferenceData!$C$158),"",ReferenceData!$C$158),"")</f>
        <v/>
      </c>
      <c r="D158" t="str">
        <f>IFERROR(IF(0=LEN(ReferenceData!$D$158),"",ReferenceData!$D$158),"")</f>
        <v/>
      </c>
      <c r="E158" t="str">
        <f>IFERROR(IF(0=LEN(ReferenceData!$E$158),"",ReferenceData!$E$158),"")</f>
        <v>Expression</v>
      </c>
      <c r="F158" t="str">
        <f ca="1">IFERROR(IF(0=LEN(ReferenceData!$F$158),"",ReferenceData!$F$158),"")</f>
        <v/>
      </c>
      <c r="G158" t="str">
        <f ca="1">IFERROR(IF(0=LEN(ReferenceData!$G$158),"",ReferenceData!$G$158),"")</f>
        <v/>
      </c>
      <c r="H158" t="str">
        <f ca="1">IFERROR(IF(0=LEN(ReferenceData!$H$158),"",ReferenceData!$H$158),"")</f>
        <v/>
      </c>
      <c r="I158" t="str">
        <f ca="1">IFERROR(IF(0=LEN(ReferenceData!$I$158),"",ReferenceData!$I$158),"")</f>
        <v/>
      </c>
      <c r="J158" t="str">
        <f ca="1">IFERROR(IF(0=LEN(ReferenceData!$J$158),"",ReferenceData!$J$158),"")</f>
        <v/>
      </c>
      <c r="K158" t="str">
        <f ca="1">IFERROR(IF(0=LEN(ReferenceData!$K$158),"",ReferenceData!$K$158),"")</f>
        <v/>
      </c>
      <c r="L158" t="str">
        <f ca="1">IFERROR(IF(0=LEN(ReferenceData!$L$158),"",ReferenceData!$L$158),"")</f>
        <v/>
      </c>
      <c r="M158" t="str">
        <f ca="1">IFERROR(IF(0=LEN(ReferenceData!$M$158),"",ReferenceData!$M$158),"")</f>
        <v/>
      </c>
      <c r="N158" t="str">
        <f ca="1">IFERROR(IF(0=LEN(ReferenceData!$N$158),"",ReferenceData!$N$158),"")</f>
        <v/>
      </c>
      <c r="O158" t="str">
        <f ca="1">IFERROR(IF(0=LEN(ReferenceData!$O$158),"",ReferenceData!$O$158),"")</f>
        <v/>
      </c>
      <c r="P158">
        <f ca="1">IFERROR(IF(0=LEN(ReferenceData!$P$158),"",ReferenceData!$P$158),"")</f>
        <v>7.8593588419999998</v>
      </c>
      <c r="Q158">
        <f ca="1">IFERROR(IF(0=LEN(ReferenceData!$Q$158),"",ReferenceData!$Q$158),"")</f>
        <v>7.421875</v>
      </c>
      <c r="R158">
        <f ca="1">IFERROR(IF(0=LEN(ReferenceData!$R$158),"",ReferenceData!$R$158),"")</f>
        <v>7.5581395349999996</v>
      </c>
      <c r="S158">
        <f ca="1">IFERROR(IF(0=LEN(ReferenceData!$S$158),"",ReferenceData!$S$158),"")</f>
        <v>6.2421972529999996</v>
      </c>
      <c r="T158">
        <f ca="1">IFERROR(IF(0=LEN(ReferenceData!$T$158),"",ReferenceData!$T$158),"")</f>
        <v>4.5454545450000001</v>
      </c>
      <c r="U158">
        <f ca="1">IFERROR(IF(0=LEN(ReferenceData!$U$158),"",ReferenceData!$U$158),"")</f>
        <v>4.1769041769999999</v>
      </c>
      <c r="V158">
        <f ca="1">IFERROR(IF(0=LEN(ReferenceData!$V$158),"",ReferenceData!$V$158),"")</f>
        <v>4.4067796609999998</v>
      </c>
      <c r="W158">
        <f ca="1">IFERROR(IF(0=LEN(ReferenceData!$W$158),"",ReferenceData!$W$158),"")</f>
        <v>6.9172932329999997</v>
      </c>
      <c r="X158">
        <f ca="1">IFERROR(IF(0=LEN(ReferenceData!$X$158),"",ReferenceData!$X$158),"")</f>
        <v>6.7073170729999996</v>
      </c>
      <c r="Y158">
        <f ca="1">IFERROR(IF(0=LEN(ReferenceData!$Y$158),"",ReferenceData!$Y$158),"")</f>
        <v>5.1315789470000004</v>
      </c>
      <c r="Z158">
        <f ca="1">IFERROR(IF(0=LEN(ReferenceData!$Z$158),"",ReferenceData!$Z$158),"")</f>
        <v>4.9833887040000002</v>
      </c>
      <c r="AA158">
        <f ca="1">IFERROR(IF(0=LEN(ReferenceData!$AA$158),"",ReferenceData!$AA$158),"")</f>
        <v>9.2050209209999991</v>
      </c>
      <c r="AB158">
        <f ca="1">IFERROR(IF(0=LEN(ReferenceData!$AB$158),"",ReferenceData!$AB$158),"")</f>
        <v>8.0874316939999993</v>
      </c>
      <c r="AC158">
        <f ca="1">IFERROR(IF(0=LEN(ReferenceData!$AC$158),"",ReferenceData!$AC$158),"")</f>
        <v>8.1155433289999994</v>
      </c>
      <c r="AD158">
        <f ca="1">IFERROR(IF(0=LEN(ReferenceData!$AD$158),"",ReferenceData!$AD$158),"")</f>
        <v>7.9022988510000003</v>
      </c>
      <c r="AE158">
        <f ca="1">IFERROR(IF(0=LEN(ReferenceData!$AE$158),"",ReferenceData!$AE$158),"")</f>
        <v>7.938931298</v>
      </c>
      <c r="AF158">
        <f ca="1">IFERROR(IF(0=LEN(ReferenceData!$AF$158),"",ReferenceData!$AF$158),"")</f>
        <v>8.0620155039999997</v>
      </c>
      <c r="AG158">
        <f ca="1">IFERROR(IF(0=LEN(ReferenceData!$AG$158),"",ReferenceData!$AG$158),"")</f>
        <v>7.5691411940000002</v>
      </c>
      <c r="AH158">
        <f ca="1">IFERROR(IF(0=LEN(ReferenceData!$AH$158),"",ReferenceData!$AH$158),"")</f>
        <v>7.153075823</v>
      </c>
      <c r="AI158">
        <f ca="1">IFERROR(IF(0=LEN(ReferenceData!$AI$158),"",ReferenceData!$AI$158),"")</f>
        <v>8</v>
      </c>
      <c r="AJ158">
        <f ca="1">IFERROR(IF(0=LEN(ReferenceData!$AJ$158),"",ReferenceData!$AJ$158),"")</f>
        <v>5.6555269920000004</v>
      </c>
      <c r="AK158">
        <f ca="1">IFERROR(IF(0=LEN(ReferenceData!$AK$158),"",ReferenceData!$AK$158),"")</f>
        <v>9.7602739730000003</v>
      </c>
      <c r="AL158">
        <f ca="1">IFERROR(IF(0=LEN(ReferenceData!$AL$158),"",ReferenceData!$AL$158),"")</f>
        <v>8.9108910889999997</v>
      </c>
      <c r="AM158">
        <f ca="1">IFERROR(IF(0=LEN(ReferenceData!$AM$158),"",ReferenceData!$AM$158),"")</f>
        <v>9.4214876029999992</v>
      </c>
      <c r="AN158">
        <f ca="1">IFERROR(IF(0=LEN(ReferenceData!$AN$158),"",ReferenceData!$AN$158),"")</f>
        <v>9.3908629440000002</v>
      </c>
      <c r="AO158">
        <f ca="1">IFERROR(IF(0=LEN(ReferenceData!$AO$158),"",ReferenceData!$AO$158),"")</f>
        <v>9.9173553719999994</v>
      </c>
      <c r="AP158">
        <f ca="1">IFERROR(IF(0=LEN(ReferenceData!$AP$158),"",ReferenceData!$AP$158),"")</f>
        <v>10.2319236</v>
      </c>
      <c r="AQ158">
        <f ca="1">IFERROR(IF(0=LEN(ReferenceData!$AQ$158),"",ReferenceData!$AQ$158),"")</f>
        <v>4.835924007</v>
      </c>
      <c r="AR158">
        <f ca="1">IFERROR(IF(0=LEN(ReferenceData!$AR$158),"",ReferenceData!$AR$158),"")</f>
        <v>4.1733547350000002</v>
      </c>
      <c r="AS158">
        <f ca="1">IFERROR(IF(0=LEN(ReferenceData!$AS$158),"",ReferenceData!$AS$158),"")</f>
        <v>3.315881326</v>
      </c>
    </row>
    <row r="159" spans="1:45" x14ac:dyDescent="0.25">
      <c r="A159" t="str">
        <f>IFERROR(IF(0=LEN(ReferenceData!$A$159),"",ReferenceData!$A$159),"")</f>
        <v xml:space="preserve">    Other</v>
      </c>
      <c r="B159" t="str">
        <f>IFERROR(IF(0=LEN(ReferenceData!$B$159),"",ReferenceData!$B$159),"")</f>
        <v>SCVB SS Equity</v>
      </c>
      <c r="C159" t="str">
        <f>IFERROR(IF(0=LEN(ReferenceData!$C$159),"",ReferenceData!$C$159),"")</f>
        <v/>
      </c>
      <c r="D159" t="str">
        <f>IFERROR(IF(0=LEN(ReferenceData!$D$159),"",ReferenceData!$D$159),"")</f>
        <v/>
      </c>
      <c r="E159" t="str">
        <f>IFERROR(IF(0=LEN(ReferenceData!$E$159),"",ReferenceData!$E$159),"")</f>
        <v>Expression</v>
      </c>
      <c r="F159" t="str">
        <f ca="1">IFERROR(IF(0=LEN(ReferenceData!$F$159),"",ReferenceData!$F$159),"")</f>
        <v/>
      </c>
      <c r="G159" t="str">
        <f ca="1">IFERROR(IF(0=LEN(ReferenceData!$G$159),"",ReferenceData!$G$159),"")</f>
        <v/>
      </c>
      <c r="H159" t="str">
        <f ca="1">IFERROR(IF(0=LEN(ReferenceData!$H$159),"",ReferenceData!$H$159),"")</f>
        <v/>
      </c>
      <c r="I159" t="str">
        <f ca="1">IFERROR(IF(0=LEN(ReferenceData!$I$159),"",ReferenceData!$I$159),"")</f>
        <v/>
      </c>
      <c r="J159" t="str">
        <f ca="1">IFERROR(IF(0=LEN(ReferenceData!$J$159),"",ReferenceData!$J$159),"")</f>
        <v/>
      </c>
      <c r="K159" t="str">
        <f ca="1">IFERROR(IF(0=LEN(ReferenceData!$K$159),"",ReferenceData!$K$159),"")</f>
        <v/>
      </c>
      <c r="L159" t="str">
        <f ca="1">IFERROR(IF(0=LEN(ReferenceData!$L$159),"",ReferenceData!$L$159),"")</f>
        <v/>
      </c>
      <c r="M159" t="str">
        <f ca="1">IFERROR(IF(0=LEN(ReferenceData!$M$159),"",ReferenceData!$M$159),"")</f>
        <v/>
      </c>
      <c r="N159" t="str">
        <f ca="1">IFERROR(IF(0=LEN(ReferenceData!$N$159),"",ReferenceData!$N$159),"")</f>
        <v/>
      </c>
      <c r="O159" t="str">
        <f ca="1">IFERROR(IF(0=LEN(ReferenceData!$O$159),"",ReferenceData!$O$159),"")</f>
        <v/>
      </c>
      <c r="P159" t="str">
        <f ca="1">IFERROR(IF(0=LEN(ReferenceData!$P$159),"",ReferenceData!$P$159),"")</f>
        <v/>
      </c>
      <c r="Q159" t="str">
        <f ca="1">IFERROR(IF(0=LEN(ReferenceData!$Q$159),"",ReferenceData!$Q$159),"")</f>
        <v/>
      </c>
      <c r="R159" t="str">
        <f ca="1">IFERROR(IF(0=LEN(ReferenceData!$R$159),"",ReferenceData!$R$159),"")</f>
        <v/>
      </c>
      <c r="S159" t="str">
        <f ca="1">IFERROR(IF(0=LEN(ReferenceData!$S$159),"",ReferenceData!$S$159),"")</f>
        <v/>
      </c>
      <c r="T159" t="str">
        <f ca="1">IFERROR(IF(0=LEN(ReferenceData!$T$159),"",ReferenceData!$T$159),"")</f>
        <v/>
      </c>
      <c r="U159" t="str">
        <f ca="1">IFERROR(IF(0=LEN(ReferenceData!$U$159),"",ReferenceData!$U$159),"")</f>
        <v/>
      </c>
      <c r="V159" t="str">
        <f ca="1">IFERROR(IF(0=LEN(ReferenceData!$V$159),"",ReferenceData!$V$159),"")</f>
        <v/>
      </c>
      <c r="W159" t="str">
        <f ca="1">IFERROR(IF(0=LEN(ReferenceData!$W$159),"",ReferenceData!$W$159),"")</f>
        <v/>
      </c>
      <c r="X159" t="str">
        <f ca="1">IFERROR(IF(0=LEN(ReferenceData!$X$159),"",ReferenceData!$X$159),"")</f>
        <v/>
      </c>
      <c r="Y159" t="str">
        <f ca="1">IFERROR(IF(0=LEN(ReferenceData!$Y$159),"",ReferenceData!$Y$159),"")</f>
        <v/>
      </c>
      <c r="Z159" t="str">
        <f ca="1">IFERROR(IF(0=LEN(ReferenceData!$Z$159),"",ReferenceData!$Z$159),"")</f>
        <v/>
      </c>
      <c r="AA159" t="str">
        <f ca="1">IFERROR(IF(0=LEN(ReferenceData!$AA$159),"",ReferenceData!$AA$159),"")</f>
        <v/>
      </c>
      <c r="AB159" t="str">
        <f ca="1">IFERROR(IF(0=LEN(ReferenceData!$AB$159),"",ReferenceData!$AB$159),"")</f>
        <v/>
      </c>
      <c r="AC159" t="str">
        <f ca="1">IFERROR(IF(0=LEN(ReferenceData!$AC$159),"",ReferenceData!$AC$159),"")</f>
        <v/>
      </c>
      <c r="AD159" t="str">
        <f ca="1">IFERROR(IF(0=LEN(ReferenceData!$AD$159),"",ReferenceData!$AD$159),"")</f>
        <v/>
      </c>
      <c r="AE159" t="str">
        <f ca="1">IFERROR(IF(0=LEN(ReferenceData!$AE$159),"",ReferenceData!$AE$159),"")</f>
        <v/>
      </c>
      <c r="AF159" t="str">
        <f ca="1">IFERROR(IF(0=LEN(ReferenceData!$AF$159),"",ReferenceData!$AF$159),"")</f>
        <v/>
      </c>
      <c r="AG159" t="str">
        <f ca="1">IFERROR(IF(0=LEN(ReferenceData!$AG$159),"",ReferenceData!$AG$159),"")</f>
        <v/>
      </c>
      <c r="AH159" t="str">
        <f ca="1">IFERROR(IF(0=LEN(ReferenceData!$AH$159),"",ReferenceData!$AH$159),"")</f>
        <v/>
      </c>
      <c r="AI159" t="str">
        <f ca="1">IFERROR(IF(0=LEN(ReferenceData!$AI$159),"",ReferenceData!$AI$159),"")</f>
        <v/>
      </c>
      <c r="AJ159" t="str">
        <f ca="1">IFERROR(IF(0=LEN(ReferenceData!$AJ$159),"",ReferenceData!$AJ$159),"")</f>
        <v/>
      </c>
      <c r="AK159" t="str">
        <f ca="1">IFERROR(IF(0=LEN(ReferenceData!$AK$159),"",ReferenceData!$AK$159),"")</f>
        <v/>
      </c>
      <c r="AL159" t="str">
        <f ca="1">IFERROR(IF(0=LEN(ReferenceData!$AL$159),"",ReferenceData!$AL$159),"")</f>
        <v/>
      </c>
      <c r="AM159" t="str">
        <f ca="1">IFERROR(IF(0=LEN(ReferenceData!$AM$159),"",ReferenceData!$AM$159),"")</f>
        <v/>
      </c>
      <c r="AN159" t="str">
        <f ca="1">IFERROR(IF(0=LEN(ReferenceData!$AN$159),"",ReferenceData!$AN$159),"")</f>
        <v/>
      </c>
      <c r="AO159" t="str">
        <f ca="1">IFERROR(IF(0=LEN(ReferenceData!$AO$159),"",ReferenceData!$AO$159),"")</f>
        <v/>
      </c>
      <c r="AP159" t="str">
        <f ca="1">IFERROR(IF(0=LEN(ReferenceData!$AP$159),"",ReferenceData!$AP$159),"")</f>
        <v/>
      </c>
      <c r="AQ159" t="str">
        <f ca="1">IFERROR(IF(0=LEN(ReferenceData!$AQ$159),"",ReferenceData!$AQ$159),"")</f>
        <v/>
      </c>
      <c r="AR159" t="str">
        <f ca="1">IFERROR(IF(0=LEN(ReferenceData!$AR$159),"",ReferenceData!$AR$159),"")</f>
        <v/>
      </c>
      <c r="AS159" t="str">
        <f ca="1">IFERROR(IF(0=LEN(ReferenceData!$AS$159),"",ReferenceData!$AS$159),"")</f>
        <v/>
      </c>
    </row>
    <row r="160" spans="1:45" x14ac:dyDescent="0.25">
      <c r="A160" t="str">
        <f>IFERROR(IF(0=LEN(ReferenceData!$A$160),"",ReferenceData!$A$160),"")</f>
        <v xml:space="preserve">    Unspecified</v>
      </c>
      <c r="B160" t="str">
        <f>IFERROR(IF(0=LEN(ReferenceData!$B$160),"",ReferenceData!$B$160),"")</f>
        <v>SCVB SS Equity</v>
      </c>
      <c r="C160" t="str">
        <f>IFERROR(IF(0=LEN(ReferenceData!$C$160),"",ReferenceData!$C$160),"")</f>
        <v/>
      </c>
      <c r="D160" t="str">
        <f>IFERROR(IF(0=LEN(ReferenceData!$D$160),"",ReferenceData!$D$160),"")</f>
        <v/>
      </c>
      <c r="E160" t="str">
        <f>IFERROR(IF(0=LEN(ReferenceData!$E$160),"",ReferenceData!$E$160),"")</f>
        <v>Expression</v>
      </c>
      <c r="F160">
        <f ca="1">IFERROR(IF(0=LEN(ReferenceData!$F$160),"",ReferenceData!$F$160),"")</f>
        <v>63.881401619999998</v>
      </c>
      <c r="G160">
        <f ca="1">IFERROR(IF(0=LEN(ReferenceData!$G$160),"",ReferenceData!$G$160),"")</f>
        <v>69.359331479999994</v>
      </c>
      <c r="H160">
        <f ca="1">IFERROR(IF(0=LEN(ReferenceData!$H$160),"",ReferenceData!$H$160),"")</f>
        <v>64.134495639999997</v>
      </c>
      <c r="I160">
        <f ca="1">IFERROR(IF(0=LEN(ReferenceData!$I$160),"",ReferenceData!$I$160),"")</f>
        <v>68.023255809999995</v>
      </c>
      <c r="J160">
        <f ca="1">IFERROR(IF(0=LEN(ReferenceData!$J$160),"",ReferenceData!$J$160),"")</f>
        <v>69.530201340000005</v>
      </c>
      <c r="K160">
        <f ca="1">IFERROR(IF(0=LEN(ReferenceData!$K$160),"",ReferenceData!$K$160),"")</f>
        <v>66.873065019999999</v>
      </c>
      <c r="L160">
        <f ca="1">IFERROR(IF(0=LEN(ReferenceData!$L$160),"",ReferenceData!$L$160),"")</f>
        <v>67.751937979999994</v>
      </c>
      <c r="M160">
        <f ca="1">IFERROR(IF(0=LEN(ReferenceData!$M$160),"",ReferenceData!$M$160),"")</f>
        <v>67.842605160000005</v>
      </c>
      <c r="N160">
        <f ca="1">IFERROR(IF(0=LEN(ReferenceData!$N$160),"",ReferenceData!$N$160),"")</f>
        <v>62.936046509999997</v>
      </c>
      <c r="O160">
        <f ca="1">IFERROR(IF(0=LEN(ReferenceData!$O$160),"",ReferenceData!$O$160),"")</f>
        <v>62.13592233</v>
      </c>
      <c r="P160">
        <f ca="1">IFERROR(IF(0=LEN(ReferenceData!$P$160),"",ReferenceData!$P$160),"")</f>
        <v>0</v>
      </c>
      <c r="Q160">
        <f ca="1">IFERROR(IF(0=LEN(ReferenceData!$Q$160),"",ReferenceData!$Q$160),"")</f>
        <v>0</v>
      </c>
      <c r="R160">
        <f ca="1">IFERROR(IF(0=LEN(ReferenceData!$R$160),"",ReferenceData!$R$160),"")</f>
        <v>0</v>
      </c>
      <c r="S160">
        <f ca="1">IFERROR(IF(0=LEN(ReferenceData!$S$160),"",ReferenceData!$S$160),"")</f>
        <v>0</v>
      </c>
      <c r="T160">
        <f ca="1">IFERROR(IF(0=LEN(ReferenceData!$T$160),"",ReferenceData!$T$160),"")</f>
        <v>0</v>
      </c>
      <c r="U160">
        <f ca="1">IFERROR(IF(0=LEN(ReferenceData!$U$160),"",ReferenceData!$U$160),"")</f>
        <v>0</v>
      </c>
      <c r="V160">
        <f ca="1">IFERROR(IF(0=LEN(ReferenceData!$V$160),"",ReferenceData!$V$160),"")</f>
        <v>0</v>
      </c>
      <c r="W160">
        <f ca="1">IFERROR(IF(0=LEN(ReferenceData!$W$160),"",ReferenceData!$W$160),"")</f>
        <v>0</v>
      </c>
      <c r="X160">
        <f ca="1">IFERROR(IF(0=LEN(ReferenceData!$X$160),"",ReferenceData!$X$160),"")</f>
        <v>0</v>
      </c>
      <c r="Y160">
        <f ca="1">IFERROR(IF(0=LEN(ReferenceData!$Y$160),"",ReferenceData!$Y$160),"")</f>
        <v>0</v>
      </c>
      <c r="Z160">
        <f ca="1">IFERROR(IF(0=LEN(ReferenceData!$Z$160),"",ReferenceData!$Z$160),"")</f>
        <v>0</v>
      </c>
      <c r="AA160">
        <f ca="1">IFERROR(IF(0=LEN(ReferenceData!$AA$160),"",ReferenceData!$AA$160),"")</f>
        <v>0</v>
      </c>
      <c r="AB160">
        <f ca="1">IFERROR(IF(0=LEN(ReferenceData!$AB$160),"",ReferenceData!$AB$160),"")</f>
        <v>0</v>
      </c>
      <c r="AC160">
        <f ca="1">IFERROR(IF(0=LEN(ReferenceData!$AC$160),"",ReferenceData!$AC$160),"")</f>
        <v>0</v>
      </c>
      <c r="AD160">
        <f ca="1">IFERROR(IF(0=LEN(ReferenceData!$AD$160),"",ReferenceData!$AD$160),"")</f>
        <v>0</v>
      </c>
      <c r="AE160">
        <f ca="1">IFERROR(IF(0=LEN(ReferenceData!$AE$160),"",ReferenceData!$AE$160),"")</f>
        <v>0</v>
      </c>
      <c r="AF160">
        <f ca="1">IFERROR(IF(0=LEN(ReferenceData!$AF$160),"",ReferenceData!$AF$160),"")</f>
        <v>0</v>
      </c>
      <c r="AG160">
        <f ca="1">IFERROR(IF(0=LEN(ReferenceData!$AG$160),"",ReferenceData!$AG$160),"")</f>
        <v>0</v>
      </c>
      <c r="AH160">
        <f ca="1">IFERROR(IF(0=LEN(ReferenceData!$AH$160),"",ReferenceData!$AH$160),"")</f>
        <v>0</v>
      </c>
      <c r="AI160">
        <f ca="1">IFERROR(IF(0=LEN(ReferenceData!$AI$160),"",ReferenceData!$AI$160),"")</f>
        <v>0</v>
      </c>
      <c r="AJ160">
        <f ca="1">IFERROR(IF(0=LEN(ReferenceData!$AJ$160),"",ReferenceData!$AJ$160),"")</f>
        <v>0</v>
      </c>
      <c r="AK160">
        <f ca="1">IFERROR(IF(0=LEN(ReferenceData!$AK$160),"",ReferenceData!$AK$160),"")</f>
        <v>0</v>
      </c>
      <c r="AL160">
        <f ca="1">IFERROR(IF(0=LEN(ReferenceData!$AL$160),"",ReferenceData!$AL$160),"")</f>
        <v>0</v>
      </c>
      <c r="AM160">
        <f ca="1">IFERROR(IF(0=LEN(ReferenceData!$AM$160),"",ReferenceData!$AM$160),"")</f>
        <v>0</v>
      </c>
      <c r="AN160">
        <f ca="1">IFERROR(IF(0=LEN(ReferenceData!$AN$160),"",ReferenceData!$AN$160),"")</f>
        <v>0</v>
      </c>
      <c r="AO160">
        <f ca="1">IFERROR(IF(0=LEN(ReferenceData!$AO$160),"",ReferenceData!$AO$160),"")</f>
        <v>0</v>
      </c>
      <c r="AP160">
        <f ca="1">IFERROR(IF(0=LEN(ReferenceData!$AP$160),"",ReferenceData!$AP$160),"")</f>
        <v>0</v>
      </c>
      <c r="AQ160">
        <f ca="1">IFERROR(IF(0=LEN(ReferenceData!$AQ$160),"",ReferenceData!$AQ$160),"")</f>
        <v>0</v>
      </c>
      <c r="AR160">
        <f ca="1">IFERROR(IF(0=LEN(ReferenceData!$AR$160),"",ReferenceData!$AR$160),"")</f>
        <v>0</v>
      </c>
      <c r="AS160">
        <f ca="1">IFERROR(IF(0=LEN(ReferenceData!$AS$160),"",ReferenceData!$AS$160),"")</f>
        <v>0</v>
      </c>
    </row>
    <row r="161" spans="1:45" x14ac:dyDescent="0.25">
      <c r="A161" t="str">
        <f>IFERROR(IF(0=LEN(ReferenceData!$A$161),"",ReferenceData!$A$161),"")</f>
        <v/>
      </c>
      <c r="B161" t="str">
        <f>IFERROR(IF(0=LEN(ReferenceData!$B$161),"",ReferenceData!$B$161),"")</f>
        <v/>
      </c>
      <c r="C161" t="str">
        <f>IFERROR(IF(0=LEN(ReferenceData!$C$161),"",ReferenceData!$C$161),"")</f>
        <v/>
      </c>
      <c r="D161" t="str">
        <f>IFERROR(IF(0=LEN(ReferenceData!$D$161),"",ReferenceData!$D$161),"")</f>
        <v/>
      </c>
      <c r="E161" t="str">
        <f>IFERROR(IF(0=LEN(ReferenceData!$E$161),"",ReferenceData!$E$161),"")</f>
        <v>Static</v>
      </c>
      <c r="F161" t="str">
        <f ca="1">IFERROR(IF(0=LEN(ReferenceData!$F$161),"",ReferenceData!$F$161),"")</f>
        <v/>
      </c>
      <c r="G161" t="str">
        <f ca="1">IFERROR(IF(0=LEN(ReferenceData!$G$161),"",ReferenceData!$G$161),"")</f>
        <v/>
      </c>
      <c r="H161" t="str">
        <f ca="1">IFERROR(IF(0=LEN(ReferenceData!$H$161),"",ReferenceData!$H$161),"")</f>
        <v/>
      </c>
      <c r="I161" t="str">
        <f ca="1">IFERROR(IF(0=LEN(ReferenceData!$I$161),"",ReferenceData!$I$161),"")</f>
        <v/>
      </c>
      <c r="J161" t="str">
        <f ca="1">IFERROR(IF(0=LEN(ReferenceData!$J$161),"",ReferenceData!$J$161),"")</f>
        <v/>
      </c>
      <c r="K161" t="str">
        <f ca="1">IFERROR(IF(0=LEN(ReferenceData!$K$161),"",ReferenceData!$K$161),"")</f>
        <v/>
      </c>
      <c r="L161" t="str">
        <f ca="1">IFERROR(IF(0=LEN(ReferenceData!$L$161),"",ReferenceData!$L$161),"")</f>
        <v/>
      </c>
      <c r="M161" t="str">
        <f ca="1">IFERROR(IF(0=LEN(ReferenceData!$M$161),"",ReferenceData!$M$161),"")</f>
        <v/>
      </c>
      <c r="N161" t="str">
        <f ca="1">IFERROR(IF(0=LEN(ReferenceData!$N$161),"",ReferenceData!$N$161),"")</f>
        <v/>
      </c>
      <c r="O161" t="str">
        <f ca="1">IFERROR(IF(0=LEN(ReferenceData!$O$161),"",ReferenceData!$O$161),"")</f>
        <v/>
      </c>
      <c r="P161" t="str">
        <f ca="1">IFERROR(IF(0=LEN(ReferenceData!$P$161),"",ReferenceData!$P$161),"")</f>
        <v/>
      </c>
      <c r="Q161" t="str">
        <f ca="1">IFERROR(IF(0=LEN(ReferenceData!$Q$161),"",ReferenceData!$Q$161),"")</f>
        <v/>
      </c>
      <c r="R161" t="str">
        <f ca="1">IFERROR(IF(0=LEN(ReferenceData!$R$161),"",ReferenceData!$R$161),"")</f>
        <v/>
      </c>
      <c r="S161" t="str">
        <f ca="1">IFERROR(IF(0=LEN(ReferenceData!$S$161),"",ReferenceData!$S$161),"")</f>
        <v/>
      </c>
      <c r="T161" t="str">
        <f ca="1">IFERROR(IF(0=LEN(ReferenceData!$T$161),"",ReferenceData!$T$161),"")</f>
        <v/>
      </c>
      <c r="U161" t="str">
        <f ca="1">IFERROR(IF(0=LEN(ReferenceData!$U$161),"",ReferenceData!$U$161),"")</f>
        <v/>
      </c>
      <c r="V161" t="str">
        <f ca="1">IFERROR(IF(0=LEN(ReferenceData!$V$161),"",ReferenceData!$V$161),"")</f>
        <v/>
      </c>
      <c r="W161" t="str">
        <f ca="1">IFERROR(IF(0=LEN(ReferenceData!$W$161),"",ReferenceData!$W$161),"")</f>
        <v/>
      </c>
      <c r="X161" t="str">
        <f ca="1">IFERROR(IF(0=LEN(ReferenceData!$X$161),"",ReferenceData!$X$161),"")</f>
        <v/>
      </c>
      <c r="Y161" t="str">
        <f ca="1">IFERROR(IF(0=LEN(ReferenceData!$Y$161),"",ReferenceData!$Y$161),"")</f>
        <v/>
      </c>
      <c r="Z161" t="str">
        <f ca="1">IFERROR(IF(0=LEN(ReferenceData!$Z$161),"",ReferenceData!$Z$161),"")</f>
        <v/>
      </c>
      <c r="AA161" t="str">
        <f ca="1">IFERROR(IF(0=LEN(ReferenceData!$AA$161),"",ReferenceData!$AA$161),"")</f>
        <v/>
      </c>
      <c r="AB161" t="str">
        <f ca="1">IFERROR(IF(0=LEN(ReferenceData!$AB$161),"",ReferenceData!$AB$161),"")</f>
        <v/>
      </c>
      <c r="AC161" t="str">
        <f ca="1">IFERROR(IF(0=LEN(ReferenceData!$AC$161),"",ReferenceData!$AC$161),"")</f>
        <v/>
      </c>
      <c r="AD161" t="str">
        <f ca="1">IFERROR(IF(0=LEN(ReferenceData!$AD$161),"",ReferenceData!$AD$161),"")</f>
        <v/>
      </c>
      <c r="AE161" t="str">
        <f ca="1">IFERROR(IF(0=LEN(ReferenceData!$AE$161),"",ReferenceData!$AE$161),"")</f>
        <v/>
      </c>
      <c r="AF161" t="str">
        <f ca="1">IFERROR(IF(0=LEN(ReferenceData!$AF$161),"",ReferenceData!$AF$161),"")</f>
        <v/>
      </c>
      <c r="AG161" t="str">
        <f ca="1">IFERROR(IF(0=LEN(ReferenceData!$AG$161),"",ReferenceData!$AG$161),"")</f>
        <v/>
      </c>
      <c r="AH161" t="str">
        <f ca="1">IFERROR(IF(0=LEN(ReferenceData!$AH$161),"",ReferenceData!$AH$161),"")</f>
        <v/>
      </c>
      <c r="AI161" t="str">
        <f ca="1">IFERROR(IF(0=LEN(ReferenceData!$AI$161),"",ReferenceData!$AI$161),"")</f>
        <v/>
      </c>
      <c r="AJ161" t="str">
        <f ca="1">IFERROR(IF(0=LEN(ReferenceData!$AJ$161),"",ReferenceData!$AJ$161),"")</f>
        <v/>
      </c>
      <c r="AK161" t="str">
        <f ca="1">IFERROR(IF(0=LEN(ReferenceData!$AK$161),"",ReferenceData!$AK$161),"")</f>
        <v/>
      </c>
      <c r="AL161" t="str">
        <f ca="1">IFERROR(IF(0=LEN(ReferenceData!$AL$161),"",ReferenceData!$AL$161),"")</f>
        <v/>
      </c>
      <c r="AM161" t="str">
        <f ca="1">IFERROR(IF(0=LEN(ReferenceData!$AM$161),"",ReferenceData!$AM$161),"")</f>
        <v/>
      </c>
      <c r="AN161" t="str">
        <f ca="1">IFERROR(IF(0=LEN(ReferenceData!$AN$161),"",ReferenceData!$AN$161),"")</f>
        <v/>
      </c>
      <c r="AO161" t="str">
        <f ca="1">IFERROR(IF(0=LEN(ReferenceData!$AO$161),"",ReferenceData!$AO$161),"")</f>
        <v/>
      </c>
      <c r="AP161" t="str">
        <f ca="1">IFERROR(IF(0=LEN(ReferenceData!$AP$161),"",ReferenceData!$AP$161),"")</f>
        <v/>
      </c>
      <c r="AQ161" t="str">
        <f ca="1">IFERROR(IF(0=LEN(ReferenceData!$AQ$161),"",ReferenceData!$AQ$161),"")</f>
        <v/>
      </c>
      <c r="AR161" t="str">
        <f ca="1">IFERROR(IF(0=LEN(ReferenceData!$AR$161),"",ReferenceData!$AR$161),"")</f>
        <v/>
      </c>
      <c r="AS161" t="str">
        <f ca="1">IFERROR(IF(0=LEN(ReferenceData!$AS$161),"",ReferenceData!$AS$161),"")</f>
        <v/>
      </c>
    </row>
    <row r="162" spans="1:45" x14ac:dyDescent="0.25">
      <c r="A162" t="str">
        <f>IFERROR(IF(0=LEN(ReferenceData!$A$162),"",ReferenceData!$A$162),"")</f>
        <v>Total North America (Class 8)</v>
      </c>
      <c r="B162" t="str">
        <f>IFERROR(IF(0=LEN(ReferenceData!$B$162),"",ReferenceData!$B$162),"")</f>
        <v>TRCKNA8S Index</v>
      </c>
      <c r="C162" t="str">
        <f>IFERROR(IF(0=LEN(ReferenceData!$C$162),"",ReferenceData!$C$162),"")</f>
        <v>PR005</v>
      </c>
      <c r="D162" t="str">
        <f>IFERROR(IF(0=LEN(ReferenceData!$D$162),"",ReferenceData!$D$162),"")</f>
        <v>PX_LAST</v>
      </c>
      <c r="E162" t="str">
        <f>IFERROR(IF(0=LEN(ReferenceData!$E$162),"",ReferenceData!$E$162),"")</f>
        <v>Dynamic</v>
      </c>
      <c r="F162">
        <f ca="1">IFERROR(IF(0=LEN(ReferenceData!$F$162),"",ReferenceData!$F$162),"")</f>
        <v>23156</v>
      </c>
      <c r="G162">
        <f ca="1">IFERROR(IF(0=LEN(ReferenceData!$G$162),"",ReferenceData!$G$162),"")</f>
        <v>22487</v>
      </c>
      <c r="H162">
        <f ca="1">IFERROR(IF(0=LEN(ReferenceData!$H$162),"",ReferenceData!$H$162),"")</f>
        <v>21659</v>
      </c>
      <c r="I162">
        <f ca="1">IFERROR(IF(0=LEN(ReferenceData!$I$162),"",ReferenceData!$I$162),"")</f>
        <v>19665</v>
      </c>
      <c r="J162">
        <f ca="1">IFERROR(IF(0=LEN(ReferenceData!$J$162),"",ReferenceData!$J$162),"")</f>
        <v>22164</v>
      </c>
      <c r="K162">
        <f ca="1">IFERROR(IF(0=LEN(ReferenceData!$K$162),"",ReferenceData!$K$162),"")</f>
        <v>20944</v>
      </c>
      <c r="L162">
        <f ca="1">IFERROR(IF(0=LEN(ReferenceData!$L$162),"",ReferenceData!$L$162),"")</f>
        <v>17952</v>
      </c>
      <c r="M162">
        <f ca="1">IFERROR(IF(0=LEN(ReferenceData!$M$162),"",ReferenceData!$M$162),"")</f>
        <v>19393</v>
      </c>
      <c r="N162">
        <f ca="1">IFERROR(IF(0=LEN(ReferenceData!$N$162),"",ReferenceData!$N$162),"")</f>
        <v>14629</v>
      </c>
      <c r="O162">
        <f ca="1">IFERROR(IF(0=LEN(ReferenceData!$O$162),"",ReferenceData!$O$162),"")</f>
        <v>14271</v>
      </c>
      <c r="P162">
        <f ca="1">IFERROR(IF(0=LEN(ReferenceData!$P$162),"",ReferenceData!$P$162),"")</f>
        <v>21679</v>
      </c>
      <c r="Q162">
        <f ca="1">IFERROR(IF(0=LEN(ReferenceData!$Q$162),"",ReferenceData!$Q$162),"")</f>
        <v>19143</v>
      </c>
      <c r="R162">
        <f ca="1">IFERROR(IF(0=LEN(ReferenceData!$R$162),"",ReferenceData!$R$162),"")</f>
        <v>18449</v>
      </c>
      <c r="S162">
        <f ca="1">IFERROR(IF(0=LEN(ReferenceData!$S$162),"",ReferenceData!$S$162),"")</f>
        <v>19789</v>
      </c>
      <c r="T162">
        <f ca="1">IFERROR(IF(0=LEN(ReferenceData!$T$162),"",ReferenceData!$T$162),"")</f>
        <v>20439</v>
      </c>
      <c r="U162">
        <f ca="1">IFERROR(IF(0=LEN(ReferenceData!$U$162),"",ReferenceData!$U$162),"")</f>
        <v>17631</v>
      </c>
      <c r="V162">
        <f ca="1">IFERROR(IF(0=LEN(ReferenceData!$V$162),"",ReferenceData!$V$162),"")</f>
        <v>22619</v>
      </c>
      <c r="W162">
        <f ca="1">IFERROR(IF(0=LEN(ReferenceData!$W$162),"",ReferenceData!$W$162),"")</f>
        <v>21848</v>
      </c>
      <c r="X162">
        <f ca="1">IFERROR(IF(0=LEN(ReferenceData!$X$162),"",ReferenceData!$X$162),"")</f>
        <v>20898</v>
      </c>
      <c r="Y162">
        <f ca="1">IFERROR(IF(0=LEN(ReferenceData!$Y$162),"",ReferenceData!$Y$162),"")</f>
        <v>24108</v>
      </c>
      <c r="Z162">
        <f ca="1">IFERROR(IF(0=LEN(ReferenceData!$Z$162),"",ReferenceData!$Z$162),"")</f>
        <v>19685</v>
      </c>
      <c r="AA162">
        <f ca="1">IFERROR(IF(0=LEN(ReferenceData!$AA$162),"",ReferenceData!$AA$162),"")</f>
        <v>19395</v>
      </c>
      <c r="AB162">
        <f ca="1">IFERROR(IF(0=LEN(ReferenceData!$AB$162),"",ReferenceData!$AB$162),"")</f>
        <v>25767</v>
      </c>
      <c r="AC162">
        <f ca="1">IFERROR(IF(0=LEN(ReferenceData!$AC$162),"",ReferenceData!$AC$162),"")</f>
        <v>23362</v>
      </c>
      <c r="AD162">
        <f ca="1">IFERROR(IF(0=LEN(ReferenceData!$AD$162),"",ReferenceData!$AD$162),"")</f>
        <v>24031</v>
      </c>
      <c r="AE162">
        <f ca="1">IFERROR(IF(0=LEN(ReferenceData!$AE$162),"",ReferenceData!$AE$162),"")</f>
        <v>25808</v>
      </c>
      <c r="AF162">
        <f ca="1">IFERROR(IF(0=LEN(ReferenceData!$AF$162),"",ReferenceData!$AF$162),"")</f>
        <v>26349</v>
      </c>
      <c r="AG162">
        <f ca="1">IFERROR(IF(0=LEN(ReferenceData!$AG$162),"",ReferenceData!$AG$162),"")</f>
        <v>28082</v>
      </c>
      <c r="AH162">
        <f ca="1">IFERROR(IF(0=LEN(ReferenceData!$AH$162),"",ReferenceData!$AH$162),"")</f>
        <v>29906</v>
      </c>
      <c r="AI162">
        <f ca="1">IFERROR(IF(0=LEN(ReferenceData!$AI$162),"",ReferenceData!$AI$162),"")</f>
        <v>25874</v>
      </c>
      <c r="AJ162">
        <f ca="1">IFERROR(IF(0=LEN(ReferenceData!$AJ$162),"",ReferenceData!$AJ$162),"")</f>
        <v>25050</v>
      </c>
      <c r="AK162">
        <f ca="1">IFERROR(IF(0=LEN(ReferenceData!$AK$162),"",ReferenceData!$AK$162),"")</f>
        <v>25206</v>
      </c>
      <c r="AL162">
        <f ca="1">IFERROR(IF(0=LEN(ReferenceData!$AL$162),"",ReferenceData!$AL$162),"")</f>
        <v>21673</v>
      </c>
      <c r="AM162">
        <f ca="1">IFERROR(IF(0=LEN(ReferenceData!$AM$162),"",ReferenceData!$AM$162),"")</f>
        <v>21180</v>
      </c>
      <c r="AN162">
        <f ca="1">IFERROR(IF(0=LEN(ReferenceData!$AN$162),"",ReferenceData!$AN$162),"")</f>
        <v>28502</v>
      </c>
      <c r="AO162">
        <f ca="1">IFERROR(IF(0=LEN(ReferenceData!$AO$162),"",ReferenceData!$AO$162),"")</f>
        <v>21371</v>
      </c>
      <c r="AP162">
        <f ca="1">IFERROR(IF(0=LEN(ReferenceData!$AP$162),"",ReferenceData!$AP$162),"")</f>
        <v>27237</v>
      </c>
      <c r="AQ162">
        <f ca="1">IFERROR(IF(0=LEN(ReferenceData!$AQ$162),"",ReferenceData!$AQ$162),"")</f>
        <v>24427</v>
      </c>
      <c r="AR162">
        <f ca="1">IFERROR(IF(0=LEN(ReferenceData!$AR$162),"",ReferenceData!$AR$162),"")</f>
        <v>23903</v>
      </c>
      <c r="AS162">
        <f ca="1">IFERROR(IF(0=LEN(ReferenceData!$AS$162),"",ReferenceData!$AS$162),"")</f>
        <v>23461</v>
      </c>
    </row>
    <row r="163" spans="1:45" x14ac:dyDescent="0.25">
      <c r="A163" t="str">
        <f>IFERROR(IF(0=LEN(ReferenceData!$A$163),"",ReferenceData!$A$163),"")</f>
        <v xml:space="preserve">    Daimler - Freightliner</v>
      </c>
      <c r="B163" t="str">
        <f>IFERROR(IF(0=LEN(ReferenceData!$B$163),"",ReferenceData!$B$163),"")</f>
        <v>DAI GR Equity</v>
      </c>
      <c r="C163" t="str">
        <f>IFERROR(IF(0=LEN(ReferenceData!$C$163),"",ReferenceData!$C$163),"")</f>
        <v/>
      </c>
      <c r="D163" t="str">
        <f>IFERROR(IF(0=LEN(ReferenceData!$D$163),"",ReferenceData!$D$163),"")</f>
        <v/>
      </c>
      <c r="E163" t="str">
        <f>IFERROR(IF(0=LEN(ReferenceData!$E$163),"",ReferenceData!$E$163),"")</f>
        <v>Expression</v>
      </c>
      <c r="F163">
        <f ca="1">IFERROR(IF(0=LEN(ReferenceData!$F$163),"",ReferenceData!$F$163),"")</f>
        <v>7766</v>
      </c>
      <c r="G163">
        <f ca="1">IFERROR(IF(0=LEN(ReferenceData!$G$163),"",ReferenceData!$G$163),"")</f>
        <v>8577</v>
      </c>
      <c r="H163">
        <f ca="1">IFERROR(IF(0=LEN(ReferenceData!$H$163),"",ReferenceData!$H$163),"")</f>
        <v>7071</v>
      </c>
      <c r="I163">
        <f ca="1">IFERROR(IF(0=LEN(ReferenceData!$I$163),"",ReferenceData!$I$163),"")</f>
        <v>6981</v>
      </c>
      <c r="J163">
        <f ca="1">IFERROR(IF(0=LEN(ReferenceData!$J$163),"",ReferenceData!$J$163),"")</f>
        <v>7713</v>
      </c>
      <c r="K163">
        <f ca="1">IFERROR(IF(0=LEN(ReferenceData!$K$163),"",ReferenceData!$K$163),"")</f>
        <v>8295</v>
      </c>
      <c r="L163">
        <f ca="1">IFERROR(IF(0=LEN(ReferenceData!$L$163),"",ReferenceData!$L$163),"")</f>
        <v>6228</v>
      </c>
      <c r="M163">
        <f ca="1">IFERROR(IF(0=LEN(ReferenceData!$M$163),"",ReferenceData!$M$163),"")</f>
        <v>6654</v>
      </c>
      <c r="N163">
        <f ca="1">IFERROR(IF(0=LEN(ReferenceData!$N$163),"",ReferenceData!$N$163),"")</f>
        <v>5431</v>
      </c>
      <c r="O163">
        <f ca="1">IFERROR(IF(0=LEN(ReferenceData!$O$163),"",ReferenceData!$O$163),"")</f>
        <v>5275</v>
      </c>
      <c r="P163">
        <f ca="1">IFERROR(IF(0=LEN(ReferenceData!$P$163),"",ReferenceData!$P$163),"")</f>
        <v>6219</v>
      </c>
      <c r="Q163">
        <f ca="1">IFERROR(IF(0=LEN(ReferenceData!$Q$163),"",ReferenceData!$Q$163),"")</f>
        <v>7191</v>
      </c>
      <c r="R163">
        <f ca="1">IFERROR(IF(0=LEN(ReferenceData!$R$163),"",ReferenceData!$R$163),"")</f>
        <v>5784</v>
      </c>
      <c r="S163">
        <f ca="1">IFERROR(IF(0=LEN(ReferenceData!$S$163),"",ReferenceData!$S$163),"")</f>
        <v>6645</v>
      </c>
      <c r="T163">
        <f ca="1">IFERROR(IF(0=LEN(ReferenceData!$T$163),"",ReferenceData!$T$163),"")</f>
        <v>7371</v>
      </c>
      <c r="U163">
        <f ca="1">IFERROR(IF(0=LEN(ReferenceData!$U$163),"",ReferenceData!$U$163),"")</f>
        <v>6068</v>
      </c>
      <c r="V163">
        <f ca="1">IFERROR(IF(0=LEN(ReferenceData!$V$163),"",ReferenceData!$V$163),"")</f>
        <v>8000</v>
      </c>
      <c r="W163">
        <f ca="1">IFERROR(IF(0=LEN(ReferenceData!$W$163),"",ReferenceData!$W$163),"")</f>
        <v>8598</v>
      </c>
      <c r="X163">
        <f ca="1">IFERROR(IF(0=LEN(ReferenceData!$X$163),"",ReferenceData!$X$163),"")</f>
        <v>7727</v>
      </c>
      <c r="Y163">
        <f ca="1">IFERROR(IF(0=LEN(ReferenceData!$Y$163),"",ReferenceData!$Y$163),"")</f>
        <v>9982</v>
      </c>
      <c r="Z163">
        <f ca="1">IFERROR(IF(0=LEN(ReferenceData!$Z$163),"",ReferenceData!$Z$163),"")</f>
        <v>7757</v>
      </c>
      <c r="AA163">
        <f ca="1">IFERROR(IF(0=LEN(ReferenceData!$AA$163),"",ReferenceData!$AA$163),"")</f>
        <v>8201</v>
      </c>
      <c r="AB163">
        <f ca="1">IFERROR(IF(0=LEN(ReferenceData!$AB$163),"",ReferenceData!$AB$163),"")</f>
        <v>8114</v>
      </c>
      <c r="AC163">
        <f ca="1">IFERROR(IF(0=LEN(ReferenceData!$AC$163),"",ReferenceData!$AC$163),"")</f>
        <v>10351</v>
      </c>
      <c r="AD163">
        <f ca="1">IFERROR(IF(0=LEN(ReferenceData!$AD$163),"",ReferenceData!$AD$163),"")</f>
        <v>9322</v>
      </c>
      <c r="AE163">
        <f ca="1">IFERROR(IF(0=LEN(ReferenceData!$AE$163),"",ReferenceData!$AE$163),"")</f>
        <v>9462</v>
      </c>
      <c r="AF163">
        <f ca="1">IFERROR(IF(0=LEN(ReferenceData!$AF$163),"",ReferenceData!$AF$163),"")</f>
        <v>9217</v>
      </c>
      <c r="AG163">
        <f ca="1">IFERROR(IF(0=LEN(ReferenceData!$AG$163),"",ReferenceData!$AG$163),"")</f>
        <v>10387</v>
      </c>
      <c r="AH163">
        <f ca="1">IFERROR(IF(0=LEN(ReferenceData!$AH$163),"",ReferenceData!$AH$163),"")</f>
        <v>10564</v>
      </c>
      <c r="AI163">
        <f ca="1">IFERROR(IF(0=LEN(ReferenceData!$AI$163),"",ReferenceData!$AI$163),"")</f>
        <v>9262</v>
      </c>
      <c r="AJ163">
        <f ca="1">IFERROR(IF(0=LEN(ReferenceData!$AJ$163),"",ReferenceData!$AJ$163),"")</f>
        <v>7984</v>
      </c>
      <c r="AK163">
        <f ca="1">IFERROR(IF(0=LEN(ReferenceData!$AK$163),"",ReferenceData!$AK$163),"")</f>
        <v>8140</v>
      </c>
      <c r="AL163">
        <f ca="1">IFERROR(IF(0=LEN(ReferenceData!$AL$163),"",ReferenceData!$AL$163),"")</f>
        <v>7982</v>
      </c>
      <c r="AM163">
        <f ca="1">IFERROR(IF(0=LEN(ReferenceData!$AM$163),"",ReferenceData!$AM$163),"")</f>
        <v>8641</v>
      </c>
      <c r="AN163">
        <f ca="1">IFERROR(IF(0=LEN(ReferenceData!$AN$163),"",ReferenceData!$AN$163),"")</f>
        <v>9397</v>
      </c>
      <c r="AO163">
        <f ca="1">IFERROR(IF(0=LEN(ReferenceData!$AO$163),"",ReferenceData!$AO$163),"")</f>
        <v>6750</v>
      </c>
      <c r="AP163">
        <f ca="1">IFERROR(IF(0=LEN(ReferenceData!$AP$163),"",ReferenceData!$AP$163),"")</f>
        <v>9462</v>
      </c>
      <c r="AQ163">
        <f ca="1">IFERROR(IF(0=LEN(ReferenceData!$AQ$163),"",ReferenceData!$AQ$163),"")</f>
        <v>8137</v>
      </c>
      <c r="AR163">
        <f ca="1">IFERROR(IF(0=LEN(ReferenceData!$AR$163),"",ReferenceData!$AR$163),"")</f>
        <v>8070</v>
      </c>
      <c r="AS163">
        <f ca="1">IFERROR(IF(0=LEN(ReferenceData!$AS$163),"",ReferenceData!$AS$163),"")</f>
        <v>7567</v>
      </c>
    </row>
    <row r="164" spans="1:45" x14ac:dyDescent="0.25">
      <c r="A164" t="str">
        <f>IFERROR(IF(0=LEN(ReferenceData!$A$164),"",ReferenceData!$A$164),"")</f>
        <v xml:space="preserve">    Daimler - Western Star</v>
      </c>
      <c r="B164" t="str">
        <f>IFERROR(IF(0=LEN(ReferenceData!$B$164),"",ReferenceData!$B$164),"")</f>
        <v>DAI GR Equity</v>
      </c>
      <c r="C164" t="str">
        <f>IFERROR(IF(0=LEN(ReferenceData!$C$164),"",ReferenceData!$C$164),"")</f>
        <v/>
      </c>
      <c r="D164" t="str">
        <f>IFERROR(IF(0=LEN(ReferenceData!$D$164),"",ReferenceData!$D$164),"")</f>
        <v/>
      </c>
      <c r="E164" t="str">
        <f>IFERROR(IF(0=LEN(ReferenceData!$E$164),"",ReferenceData!$E$164),"")</f>
        <v>Expression</v>
      </c>
      <c r="F164">
        <f ca="1">IFERROR(IF(0=LEN(ReferenceData!$F$164),"",ReferenceData!$F$164),"")</f>
        <v>602</v>
      </c>
      <c r="G164">
        <f ca="1">IFERROR(IF(0=LEN(ReferenceData!$G$164),"",ReferenceData!$G$164),"")</f>
        <v>646</v>
      </c>
      <c r="H164">
        <f ca="1">IFERROR(IF(0=LEN(ReferenceData!$H$164),"",ReferenceData!$H$164),"")</f>
        <v>697</v>
      </c>
      <c r="I164">
        <f ca="1">IFERROR(IF(0=LEN(ReferenceData!$I$164),"",ReferenceData!$I$164),"")</f>
        <v>669</v>
      </c>
      <c r="J164">
        <f ca="1">IFERROR(IF(0=LEN(ReferenceData!$J$164),"",ReferenceData!$J$164),"")</f>
        <v>793</v>
      </c>
      <c r="K164">
        <f ca="1">IFERROR(IF(0=LEN(ReferenceData!$K$164),"",ReferenceData!$K$164),"")</f>
        <v>617</v>
      </c>
      <c r="L164">
        <f ca="1">IFERROR(IF(0=LEN(ReferenceData!$L$164),"",ReferenceData!$L$164),"")</f>
        <v>618</v>
      </c>
      <c r="M164">
        <f ca="1">IFERROR(IF(0=LEN(ReferenceData!$M$164),"",ReferenceData!$M$164),"")</f>
        <v>638</v>
      </c>
      <c r="N164">
        <f ca="1">IFERROR(IF(0=LEN(ReferenceData!$N$164),"",ReferenceData!$N$164),"")</f>
        <v>410</v>
      </c>
      <c r="O164">
        <f ca="1">IFERROR(IF(0=LEN(ReferenceData!$O$164),"",ReferenceData!$O$164),"")</f>
        <v>390</v>
      </c>
      <c r="P164">
        <f ca="1">IFERROR(IF(0=LEN(ReferenceData!$P$164),"",ReferenceData!$P$164),"")</f>
        <v>708</v>
      </c>
      <c r="Q164">
        <f ca="1">IFERROR(IF(0=LEN(ReferenceData!$Q$164),"",ReferenceData!$Q$164),"")</f>
        <v>601</v>
      </c>
      <c r="R164">
        <f ca="1">IFERROR(IF(0=LEN(ReferenceData!$R$164),"",ReferenceData!$R$164),"")</f>
        <v>469</v>
      </c>
      <c r="S164">
        <f ca="1">IFERROR(IF(0=LEN(ReferenceData!$S$164),"",ReferenceData!$S$164),"")</f>
        <v>563</v>
      </c>
      <c r="T164">
        <f ca="1">IFERROR(IF(0=LEN(ReferenceData!$T$164),"",ReferenceData!$T$164),"")</f>
        <v>565</v>
      </c>
      <c r="U164">
        <f ca="1">IFERROR(IF(0=LEN(ReferenceData!$U$164),"",ReferenceData!$U$164),"")</f>
        <v>560</v>
      </c>
      <c r="V164">
        <f ca="1">IFERROR(IF(0=LEN(ReferenceData!$V$164),"",ReferenceData!$V$164),"")</f>
        <v>730</v>
      </c>
      <c r="W164">
        <f ca="1">IFERROR(IF(0=LEN(ReferenceData!$W$164),"",ReferenceData!$W$164),"")</f>
        <v>729</v>
      </c>
      <c r="X164">
        <f ca="1">IFERROR(IF(0=LEN(ReferenceData!$X$164),"",ReferenceData!$X$164),"")</f>
        <v>690</v>
      </c>
      <c r="Y164">
        <f ca="1">IFERROR(IF(0=LEN(ReferenceData!$Y$164),"",ReferenceData!$Y$164),"")</f>
        <v>644</v>
      </c>
      <c r="Z164">
        <f ca="1">IFERROR(IF(0=LEN(ReferenceData!$Z$164),"",ReferenceData!$Z$164),"")</f>
        <v>545</v>
      </c>
      <c r="AA164">
        <f ca="1">IFERROR(IF(0=LEN(ReferenceData!$AA$164),"",ReferenceData!$AA$164),"")</f>
        <v>519</v>
      </c>
      <c r="AB164">
        <f ca="1">IFERROR(IF(0=LEN(ReferenceData!$AB$164),"",ReferenceData!$AB$164),"")</f>
        <v>812</v>
      </c>
      <c r="AC164">
        <f ca="1">IFERROR(IF(0=LEN(ReferenceData!$AC$164),"",ReferenceData!$AC$164),"")</f>
        <v>603</v>
      </c>
      <c r="AD164">
        <f ca="1">IFERROR(IF(0=LEN(ReferenceData!$AD$164),"",ReferenceData!$AD$164),"")</f>
        <v>611</v>
      </c>
      <c r="AE164">
        <f ca="1">IFERROR(IF(0=LEN(ReferenceData!$AE$164),"",ReferenceData!$AE$164),"")</f>
        <v>655</v>
      </c>
      <c r="AF164">
        <f ca="1">IFERROR(IF(0=LEN(ReferenceData!$AF$164),"",ReferenceData!$AF$164),"")</f>
        <v>545</v>
      </c>
      <c r="AG164">
        <f ca="1">IFERROR(IF(0=LEN(ReferenceData!$AG$164),"",ReferenceData!$AG$164),"")</f>
        <v>537</v>
      </c>
      <c r="AH164">
        <f ca="1">IFERROR(IF(0=LEN(ReferenceData!$AH$164),"",ReferenceData!$AH$164),"")</f>
        <v>797</v>
      </c>
      <c r="AI164">
        <f ca="1">IFERROR(IF(0=LEN(ReferenceData!$AI$164),"",ReferenceData!$AI$164),"")</f>
        <v>605</v>
      </c>
      <c r="AJ164">
        <f ca="1">IFERROR(IF(0=LEN(ReferenceData!$AJ$164),"",ReferenceData!$AJ$164),"")</f>
        <v>559</v>
      </c>
      <c r="AK164">
        <f ca="1">IFERROR(IF(0=LEN(ReferenceData!$AK$164),"",ReferenceData!$AK$164),"")</f>
        <v>609</v>
      </c>
      <c r="AL164">
        <f ca="1">IFERROR(IF(0=LEN(ReferenceData!$AL$164),"",ReferenceData!$AL$164),"")</f>
        <v>481</v>
      </c>
      <c r="AM164">
        <f ca="1">IFERROR(IF(0=LEN(ReferenceData!$AM$164),"",ReferenceData!$AM$164),"")</f>
        <v>500</v>
      </c>
      <c r="AN164">
        <f ca="1">IFERROR(IF(0=LEN(ReferenceData!$AN$164),"",ReferenceData!$AN$164),"")</f>
        <v>925</v>
      </c>
      <c r="AO164">
        <f ca="1">IFERROR(IF(0=LEN(ReferenceData!$AO$164),"",ReferenceData!$AO$164),"")</f>
        <v>516</v>
      </c>
      <c r="AP164">
        <f ca="1">IFERROR(IF(0=LEN(ReferenceData!$AP$164),"",ReferenceData!$AP$164),"")</f>
        <v>600</v>
      </c>
      <c r="AQ164">
        <f ca="1">IFERROR(IF(0=LEN(ReferenceData!$AQ$164),"",ReferenceData!$AQ$164),"")</f>
        <v>472</v>
      </c>
      <c r="AR164">
        <f ca="1">IFERROR(IF(0=LEN(ReferenceData!$AR$164),"",ReferenceData!$AR$164),"")</f>
        <v>561</v>
      </c>
      <c r="AS164">
        <f ca="1">IFERROR(IF(0=LEN(ReferenceData!$AS$164),"",ReferenceData!$AS$164),"")</f>
        <v>426</v>
      </c>
    </row>
    <row r="165" spans="1:45" x14ac:dyDescent="0.25">
      <c r="A165" t="str">
        <f>IFERROR(IF(0=LEN(ReferenceData!$A$165),"",ReferenceData!$A$165),"")</f>
        <v xml:space="preserve">    Daimler - Sterling</v>
      </c>
      <c r="B165" t="str">
        <f>IFERROR(IF(0=LEN(ReferenceData!$B$165),"",ReferenceData!$B$165),"")</f>
        <v/>
      </c>
      <c r="C165" t="str">
        <f>IFERROR(IF(0=LEN(ReferenceData!$C$165),"",ReferenceData!$C$165),"")</f>
        <v/>
      </c>
      <c r="D165" t="str">
        <f>IFERROR(IF(0=LEN(ReferenceData!$D$165),"",ReferenceData!$D$165),"")</f>
        <v/>
      </c>
      <c r="E165" t="str">
        <f>IFERROR(IF(0=LEN(ReferenceData!$E$165),"",ReferenceData!$E$165),"")</f>
        <v>Expression</v>
      </c>
      <c r="F165" t="str">
        <f ca="1">IFERROR(IF(0=LEN(ReferenceData!$F$165),"",ReferenceData!$F$165),"")</f>
        <v/>
      </c>
      <c r="G165" t="str">
        <f ca="1">IFERROR(IF(0=LEN(ReferenceData!$G$165),"",ReferenceData!$G$165),"")</f>
        <v/>
      </c>
      <c r="H165" t="str">
        <f ca="1">IFERROR(IF(0=LEN(ReferenceData!$H$165),"",ReferenceData!$H$165),"")</f>
        <v/>
      </c>
      <c r="I165" t="str">
        <f ca="1">IFERROR(IF(0=LEN(ReferenceData!$I$165),"",ReferenceData!$I$165),"")</f>
        <v/>
      </c>
      <c r="J165" t="str">
        <f ca="1">IFERROR(IF(0=LEN(ReferenceData!$J$165),"",ReferenceData!$J$165),"")</f>
        <v/>
      </c>
      <c r="K165" t="str">
        <f ca="1">IFERROR(IF(0=LEN(ReferenceData!$K$165),"",ReferenceData!$K$165),"")</f>
        <v/>
      </c>
      <c r="L165" t="str">
        <f ca="1">IFERROR(IF(0=LEN(ReferenceData!$L$165),"",ReferenceData!$L$165),"")</f>
        <v/>
      </c>
      <c r="M165" t="str">
        <f ca="1">IFERROR(IF(0=LEN(ReferenceData!$M$165),"",ReferenceData!$M$165),"")</f>
        <v/>
      </c>
      <c r="N165" t="str">
        <f ca="1">IFERROR(IF(0=LEN(ReferenceData!$N$165),"",ReferenceData!$N$165),"")</f>
        <v/>
      </c>
      <c r="O165" t="str">
        <f ca="1">IFERROR(IF(0=LEN(ReferenceData!$O$165),"",ReferenceData!$O$165),"")</f>
        <v/>
      </c>
      <c r="P165" t="str">
        <f ca="1">IFERROR(IF(0=LEN(ReferenceData!$P$165),"",ReferenceData!$P$165),"")</f>
        <v/>
      </c>
      <c r="Q165" t="str">
        <f ca="1">IFERROR(IF(0=LEN(ReferenceData!$Q$165),"",ReferenceData!$Q$165),"")</f>
        <v/>
      </c>
      <c r="R165" t="str">
        <f ca="1">IFERROR(IF(0=LEN(ReferenceData!$R$165),"",ReferenceData!$R$165),"")</f>
        <v/>
      </c>
      <c r="S165" t="str">
        <f ca="1">IFERROR(IF(0=LEN(ReferenceData!$S$165),"",ReferenceData!$S$165),"")</f>
        <v/>
      </c>
      <c r="T165" t="str">
        <f ca="1">IFERROR(IF(0=LEN(ReferenceData!$T$165),"",ReferenceData!$T$165),"")</f>
        <v/>
      </c>
      <c r="U165" t="str">
        <f ca="1">IFERROR(IF(0=LEN(ReferenceData!$U$165),"",ReferenceData!$U$165),"")</f>
        <v/>
      </c>
      <c r="V165" t="str">
        <f ca="1">IFERROR(IF(0=LEN(ReferenceData!$V$165),"",ReferenceData!$V$165),"")</f>
        <v/>
      </c>
      <c r="W165" t="str">
        <f ca="1">IFERROR(IF(0=LEN(ReferenceData!$W$165),"",ReferenceData!$W$165),"")</f>
        <v/>
      </c>
      <c r="X165" t="str">
        <f ca="1">IFERROR(IF(0=LEN(ReferenceData!$X$165),"",ReferenceData!$X$165),"")</f>
        <v/>
      </c>
      <c r="Y165" t="str">
        <f ca="1">IFERROR(IF(0=LEN(ReferenceData!$Y$165),"",ReferenceData!$Y$165),"")</f>
        <v/>
      </c>
      <c r="Z165" t="str">
        <f ca="1">IFERROR(IF(0=LEN(ReferenceData!$Z$165),"",ReferenceData!$Z$165),"")</f>
        <v/>
      </c>
      <c r="AA165" t="str">
        <f ca="1">IFERROR(IF(0=LEN(ReferenceData!$AA$165),"",ReferenceData!$AA$165),"")</f>
        <v/>
      </c>
      <c r="AB165" t="str">
        <f ca="1">IFERROR(IF(0=LEN(ReferenceData!$AB$165),"",ReferenceData!$AB$165),"")</f>
        <v/>
      </c>
      <c r="AC165" t="str">
        <f ca="1">IFERROR(IF(0=LEN(ReferenceData!$AC$165),"",ReferenceData!$AC$165),"")</f>
        <v/>
      </c>
      <c r="AD165" t="str">
        <f ca="1">IFERROR(IF(0=LEN(ReferenceData!$AD$165),"",ReferenceData!$AD$165),"")</f>
        <v/>
      </c>
      <c r="AE165" t="str">
        <f ca="1">IFERROR(IF(0=LEN(ReferenceData!$AE$165),"",ReferenceData!$AE$165),"")</f>
        <v/>
      </c>
      <c r="AF165" t="str">
        <f ca="1">IFERROR(IF(0=LEN(ReferenceData!$AF$165),"",ReferenceData!$AF$165),"")</f>
        <v/>
      </c>
      <c r="AG165" t="str">
        <f ca="1">IFERROR(IF(0=LEN(ReferenceData!$AG$165),"",ReferenceData!$AG$165),"")</f>
        <v/>
      </c>
      <c r="AH165" t="str">
        <f ca="1">IFERROR(IF(0=LEN(ReferenceData!$AH$165),"",ReferenceData!$AH$165),"")</f>
        <v/>
      </c>
      <c r="AI165" t="str">
        <f ca="1">IFERROR(IF(0=LEN(ReferenceData!$AI$165),"",ReferenceData!$AI$165),"")</f>
        <v/>
      </c>
      <c r="AJ165" t="str">
        <f ca="1">IFERROR(IF(0=LEN(ReferenceData!$AJ$165),"",ReferenceData!$AJ$165),"")</f>
        <v/>
      </c>
      <c r="AK165" t="str">
        <f ca="1">IFERROR(IF(0=LEN(ReferenceData!$AK$165),"",ReferenceData!$AK$165),"")</f>
        <v/>
      </c>
      <c r="AL165" t="str">
        <f ca="1">IFERROR(IF(0=LEN(ReferenceData!$AL$165),"",ReferenceData!$AL$165),"")</f>
        <v/>
      </c>
      <c r="AM165" t="str">
        <f ca="1">IFERROR(IF(0=LEN(ReferenceData!$AM$165),"",ReferenceData!$AM$165),"")</f>
        <v/>
      </c>
      <c r="AN165" t="str">
        <f ca="1">IFERROR(IF(0=LEN(ReferenceData!$AN$165),"",ReferenceData!$AN$165),"")</f>
        <v/>
      </c>
      <c r="AO165" t="str">
        <f ca="1">IFERROR(IF(0=LEN(ReferenceData!$AO$165),"",ReferenceData!$AO$165),"")</f>
        <v/>
      </c>
      <c r="AP165" t="str">
        <f ca="1">IFERROR(IF(0=LEN(ReferenceData!$AP$165),"",ReferenceData!$AP$165),"")</f>
        <v/>
      </c>
      <c r="AQ165" t="str">
        <f ca="1">IFERROR(IF(0=LEN(ReferenceData!$AQ$165),"",ReferenceData!$AQ$165),"")</f>
        <v/>
      </c>
      <c r="AR165" t="str">
        <f ca="1">IFERROR(IF(0=LEN(ReferenceData!$AR$165),"",ReferenceData!$AR$165),"")</f>
        <v/>
      </c>
      <c r="AS165" t="str">
        <f ca="1">IFERROR(IF(0=LEN(ReferenceData!$AS$165),"",ReferenceData!$AS$165),"")</f>
        <v/>
      </c>
    </row>
    <row r="166" spans="1:45" x14ac:dyDescent="0.25">
      <c r="A166" t="str">
        <f>IFERROR(IF(0=LEN(ReferenceData!$A$166),"",ReferenceData!$A$166),"")</f>
        <v xml:space="preserve">    Daimler - Mercedes-Benz</v>
      </c>
      <c r="B166" t="str">
        <f>IFERROR(IF(0=LEN(ReferenceData!$B$166),"",ReferenceData!$B$166),"")</f>
        <v/>
      </c>
      <c r="C166" t="str">
        <f>IFERROR(IF(0=LEN(ReferenceData!$C$166),"",ReferenceData!$C$166),"")</f>
        <v/>
      </c>
      <c r="D166" t="str">
        <f>IFERROR(IF(0=LEN(ReferenceData!$D$166),"",ReferenceData!$D$166),"")</f>
        <v/>
      </c>
      <c r="E166" t="str">
        <f>IFERROR(IF(0=LEN(ReferenceData!$E$166),"",ReferenceData!$E$166),"")</f>
        <v>Expression</v>
      </c>
      <c r="F166" t="str">
        <f ca="1">IFERROR(IF(0=LEN(ReferenceData!$F$166),"",ReferenceData!$F$166),"")</f>
        <v/>
      </c>
      <c r="G166" t="str">
        <f ca="1">IFERROR(IF(0=LEN(ReferenceData!$G$166),"",ReferenceData!$G$166),"")</f>
        <v/>
      </c>
      <c r="H166" t="str">
        <f ca="1">IFERROR(IF(0=LEN(ReferenceData!$H$166),"",ReferenceData!$H$166),"")</f>
        <v/>
      </c>
      <c r="I166" t="str">
        <f ca="1">IFERROR(IF(0=LEN(ReferenceData!$I$166),"",ReferenceData!$I$166),"")</f>
        <v/>
      </c>
      <c r="J166" t="str">
        <f ca="1">IFERROR(IF(0=LEN(ReferenceData!$J$166),"",ReferenceData!$J$166),"")</f>
        <v/>
      </c>
      <c r="K166" t="str">
        <f ca="1">IFERROR(IF(0=LEN(ReferenceData!$K$166),"",ReferenceData!$K$166),"")</f>
        <v/>
      </c>
      <c r="L166" t="str">
        <f ca="1">IFERROR(IF(0=LEN(ReferenceData!$L$166),"",ReferenceData!$L$166),"")</f>
        <v/>
      </c>
      <c r="M166" t="str">
        <f ca="1">IFERROR(IF(0=LEN(ReferenceData!$M$166),"",ReferenceData!$M$166),"")</f>
        <v/>
      </c>
      <c r="N166" t="str">
        <f ca="1">IFERROR(IF(0=LEN(ReferenceData!$N$166),"",ReferenceData!$N$166),"")</f>
        <v/>
      </c>
      <c r="O166" t="str">
        <f ca="1">IFERROR(IF(0=LEN(ReferenceData!$O$166),"",ReferenceData!$O$166),"")</f>
        <v/>
      </c>
      <c r="P166">
        <f ca="1">IFERROR(IF(0=LEN(ReferenceData!$P$166),"",ReferenceData!$P$166),"")</f>
        <v>130</v>
      </c>
      <c r="Q166">
        <f ca="1">IFERROR(IF(0=LEN(ReferenceData!$Q$166),"",ReferenceData!$Q$166),"")</f>
        <v>97</v>
      </c>
      <c r="R166">
        <f ca="1">IFERROR(IF(0=LEN(ReferenceData!$R$166),"",ReferenceData!$R$166),"")</f>
        <v>90</v>
      </c>
      <c r="S166">
        <f ca="1">IFERROR(IF(0=LEN(ReferenceData!$S$166),"",ReferenceData!$S$166),"")</f>
        <v>85</v>
      </c>
      <c r="T166">
        <f ca="1">IFERROR(IF(0=LEN(ReferenceData!$T$166),"",ReferenceData!$T$166),"")</f>
        <v>70</v>
      </c>
      <c r="U166">
        <f ca="1">IFERROR(IF(0=LEN(ReferenceData!$U$166),"",ReferenceData!$U$166),"")</f>
        <v>59</v>
      </c>
      <c r="V166">
        <f ca="1">IFERROR(IF(0=LEN(ReferenceData!$V$166),"",ReferenceData!$V$166),"")</f>
        <v>68</v>
      </c>
      <c r="W166">
        <f ca="1">IFERROR(IF(0=LEN(ReferenceData!$W$166),"",ReferenceData!$W$166),"")</f>
        <v>79</v>
      </c>
      <c r="X166">
        <f ca="1">IFERROR(IF(0=LEN(ReferenceData!$X$166),"",ReferenceData!$X$166),"")</f>
        <v>76</v>
      </c>
      <c r="Y166">
        <f ca="1">IFERROR(IF(0=LEN(ReferenceData!$Y$166),"",ReferenceData!$Y$166),"")</f>
        <v>68</v>
      </c>
      <c r="Z166">
        <f ca="1">IFERROR(IF(0=LEN(ReferenceData!$Z$166),"",ReferenceData!$Z$166),"")</f>
        <v>52</v>
      </c>
      <c r="AA166">
        <f ca="1">IFERROR(IF(0=LEN(ReferenceData!$AA$166),"",ReferenceData!$AA$166),"")</f>
        <v>75</v>
      </c>
      <c r="AB166">
        <f ca="1">IFERROR(IF(0=LEN(ReferenceData!$AB$166),"",ReferenceData!$AB$166),"")</f>
        <v>171</v>
      </c>
      <c r="AC166">
        <f ca="1">IFERROR(IF(0=LEN(ReferenceData!$AC$166),"",ReferenceData!$AC$166),"")</f>
        <v>137</v>
      </c>
      <c r="AD166">
        <f ca="1">IFERROR(IF(0=LEN(ReferenceData!$AD$166),"",ReferenceData!$AD$166),"")</f>
        <v>128</v>
      </c>
      <c r="AE166">
        <f ca="1">IFERROR(IF(0=LEN(ReferenceData!$AE$166),"",ReferenceData!$AE$166),"")</f>
        <v>119</v>
      </c>
      <c r="AF166">
        <f ca="1">IFERROR(IF(0=LEN(ReferenceData!$AF$166),"",ReferenceData!$AF$166),"")</f>
        <v>119</v>
      </c>
      <c r="AG166">
        <f ca="1">IFERROR(IF(0=LEN(ReferenceData!$AG$166),"",ReferenceData!$AG$166),"")</f>
        <v>133</v>
      </c>
      <c r="AH166">
        <f ca="1">IFERROR(IF(0=LEN(ReferenceData!$AH$166),"",ReferenceData!$AH$166),"")</f>
        <v>47</v>
      </c>
      <c r="AI166">
        <f ca="1">IFERROR(IF(0=LEN(ReferenceData!$AI$166),"",ReferenceData!$AI$166),"")</f>
        <v>27</v>
      </c>
      <c r="AJ166">
        <f ca="1">IFERROR(IF(0=LEN(ReferenceData!$AJ$166),"",ReferenceData!$AJ$166),"")</f>
        <v>25</v>
      </c>
      <c r="AK166">
        <f ca="1">IFERROR(IF(0=LEN(ReferenceData!$AK$166),"",ReferenceData!$AK$166),"")</f>
        <v>2</v>
      </c>
      <c r="AL166">
        <f ca="1">IFERROR(IF(0=LEN(ReferenceData!$AL$166),"",ReferenceData!$AL$166),"")</f>
        <v>6</v>
      </c>
      <c r="AM166">
        <f ca="1">IFERROR(IF(0=LEN(ReferenceData!$AM$166),"",ReferenceData!$AM$166),"")</f>
        <v>68</v>
      </c>
      <c r="AN166">
        <f ca="1">IFERROR(IF(0=LEN(ReferenceData!$AN$166),"",ReferenceData!$AN$166),"")</f>
        <v>217</v>
      </c>
      <c r="AO166">
        <f ca="1">IFERROR(IF(0=LEN(ReferenceData!$AO$166),"",ReferenceData!$AO$166),"")</f>
        <v>204</v>
      </c>
      <c r="AP166">
        <f ca="1">IFERROR(IF(0=LEN(ReferenceData!$AP$166),"",ReferenceData!$AP$166),"")</f>
        <v>206</v>
      </c>
      <c r="AQ166">
        <f ca="1">IFERROR(IF(0=LEN(ReferenceData!$AQ$166),"",ReferenceData!$AQ$166),"")</f>
        <v>68</v>
      </c>
      <c r="AR166">
        <f ca="1">IFERROR(IF(0=LEN(ReferenceData!$AR$166),"",ReferenceData!$AR$166),"")</f>
        <v>92</v>
      </c>
      <c r="AS166">
        <f ca="1">IFERROR(IF(0=LEN(ReferenceData!$AS$166),"",ReferenceData!$AS$166),"")</f>
        <v>16</v>
      </c>
    </row>
    <row r="167" spans="1:45" x14ac:dyDescent="0.25">
      <c r="A167" t="str">
        <f>IFERROR(IF(0=LEN(ReferenceData!$A$167),"",ReferenceData!$A$167),"")</f>
        <v xml:space="preserve">    PACCAR - Kenworth</v>
      </c>
      <c r="B167" t="str">
        <f>IFERROR(IF(0=LEN(ReferenceData!$B$167),"",ReferenceData!$B$167),"")</f>
        <v/>
      </c>
      <c r="C167" t="str">
        <f>IFERROR(IF(0=LEN(ReferenceData!$C$167),"",ReferenceData!$C$167),"")</f>
        <v/>
      </c>
      <c r="D167" t="str">
        <f>IFERROR(IF(0=LEN(ReferenceData!$D$167),"",ReferenceData!$D$167),"")</f>
        <v/>
      </c>
      <c r="E167" t="str">
        <f>IFERROR(IF(0=LEN(ReferenceData!$E$167),"",ReferenceData!$E$167),"")</f>
        <v>Expression</v>
      </c>
      <c r="F167">
        <f ca="1">IFERROR(IF(0=LEN(ReferenceData!$F$167),"",ReferenceData!$F$167),"")</f>
        <v>3948</v>
      </c>
      <c r="G167">
        <f ca="1">IFERROR(IF(0=LEN(ReferenceData!$G$167),"",ReferenceData!$G$167),"")</f>
        <v>3899</v>
      </c>
      <c r="H167">
        <f ca="1">IFERROR(IF(0=LEN(ReferenceData!$H$167),"",ReferenceData!$H$167),"")</f>
        <v>3636</v>
      </c>
      <c r="I167">
        <f ca="1">IFERROR(IF(0=LEN(ReferenceData!$I$167),"",ReferenceData!$I$167),"")</f>
        <v>3634</v>
      </c>
      <c r="J167">
        <f ca="1">IFERROR(IF(0=LEN(ReferenceData!$J$167),"",ReferenceData!$J$167),"")</f>
        <v>3696</v>
      </c>
      <c r="K167">
        <f ca="1">IFERROR(IF(0=LEN(ReferenceData!$K$167),"",ReferenceData!$K$167),"")</f>
        <v>3559</v>
      </c>
      <c r="L167">
        <f ca="1">IFERROR(IF(0=LEN(ReferenceData!$L$167),"",ReferenceData!$L$167),"")</f>
        <v>3222</v>
      </c>
      <c r="M167">
        <f ca="1">IFERROR(IF(0=LEN(ReferenceData!$M$167),"",ReferenceData!$M$167),"")</f>
        <v>3204</v>
      </c>
      <c r="N167">
        <f ca="1">IFERROR(IF(0=LEN(ReferenceData!$N$167),"",ReferenceData!$N$167),"")</f>
        <v>2142</v>
      </c>
      <c r="O167">
        <f ca="1">IFERROR(IF(0=LEN(ReferenceData!$O$167),"",ReferenceData!$O$167),"")</f>
        <v>1846</v>
      </c>
      <c r="P167">
        <f ca="1">IFERROR(IF(0=LEN(ReferenceData!$P$167),"",ReferenceData!$P$167),"")</f>
        <v>4938</v>
      </c>
      <c r="Q167">
        <f ca="1">IFERROR(IF(0=LEN(ReferenceData!$Q$167),"",ReferenceData!$Q$167),"")</f>
        <v>3388</v>
      </c>
      <c r="R167">
        <f ca="1">IFERROR(IF(0=LEN(ReferenceData!$R$167),"",ReferenceData!$R$167),"")</f>
        <v>3271</v>
      </c>
      <c r="S167">
        <f ca="1">IFERROR(IF(0=LEN(ReferenceData!$S$167),"",ReferenceData!$S$167),"")</f>
        <v>4024</v>
      </c>
      <c r="T167">
        <f ca="1">IFERROR(IF(0=LEN(ReferenceData!$T$167),"",ReferenceData!$T$167),"")</f>
        <v>3654</v>
      </c>
      <c r="U167">
        <f ca="1">IFERROR(IF(0=LEN(ReferenceData!$U$167),"",ReferenceData!$U$167),"")</f>
        <v>3185</v>
      </c>
      <c r="V167">
        <f ca="1">IFERROR(IF(0=LEN(ReferenceData!$V$167),"",ReferenceData!$V$167),"")</f>
        <v>3825</v>
      </c>
      <c r="W167">
        <f ca="1">IFERROR(IF(0=LEN(ReferenceData!$W$167),"",ReferenceData!$W$167),"")</f>
        <v>3419</v>
      </c>
      <c r="X167">
        <f ca="1">IFERROR(IF(0=LEN(ReferenceData!$X$167),"",ReferenceData!$X$167),"")</f>
        <v>3435</v>
      </c>
      <c r="Y167">
        <f ca="1">IFERROR(IF(0=LEN(ReferenceData!$Y$167),"",ReferenceData!$Y$167),"")</f>
        <v>3911</v>
      </c>
      <c r="Z167">
        <f ca="1">IFERROR(IF(0=LEN(ReferenceData!$Z$167),"",ReferenceData!$Z$167),"")</f>
        <v>3189</v>
      </c>
      <c r="AA167">
        <f ca="1">IFERROR(IF(0=LEN(ReferenceData!$AA$167),"",ReferenceData!$AA$167),"")</f>
        <v>2158</v>
      </c>
      <c r="AB167">
        <f ca="1">IFERROR(IF(0=LEN(ReferenceData!$AB$167),"",ReferenceData!$AB$167),"")</f>
        <v>4423</v>
      </c>
      <c r="AC167">
        <f ca="1">IFERROR(IF(0=LEN(ReferenceData!$AC$167),"",ReferenceData!$AC$167),"")</f>
        <v>3664</v>
      </c>
      <c r="AD167">
        <f ca="1">IFERROR(IF(0=LEN(ReferenceData!$AD$167),"",ReferenceData!$AD$167),"")</f>
        <v>4033</v>
      </c>
      <c r="AE167">
        <f ca="1">IFERROR(IF(0=LEN(ReferenceData!$AE$167),"",ReferenceData!$AE$167),"")</f>
        <v>4474</v>
      </c>
      <c r="AF167">
        <f ca="1">IFERROR(IF(0=LEN(ReferenceData!$AF$167),"",ReferenceData!$AF$167),"")</f>
        <v>4868</v>
      </c>
      <c r="AG167">
        <f ca="1">IFERROR(IF(0=LEN(ReferenceData!$AG$167),"",ReferenceData!$AG$167),"")</f>
        <v>4592</v>
      </c>
      <c r="AH167">
        <f ca="1">IFERROR(IF(0=LEN(ReferenceData!$AH$167),"",ReferenceData!$AH$167),"")</f>
        <v>4820</v>
      </c>
      <c r="AI167">
        <f ca="1">IFERROR(IF(0=LEN(ReferenceData!$AI$167),"",ReferenceData!$AI$167),"")</f>
        <v>4131</v>
      </c>
      <c r="AJ167">
        <f ca="1">IFERROR(IF(0=LEN(ReferenceData!$AJ$167),"",ReferenceData!$AJ$167),"")</f>
        <v>4579</v>
      </c>
      <c r="AK167">
        <f ca="1">IFERROR(IF(0=LEN(ReferenceData!$AK$167),"",ReferenceData!$AK$167),"")</f>
        <v>4086</v>
      </c>
      <c r="AL167">
        <f ca="1">IFERROR(IF(0=LEN(ReferenceData!$AL$167),"",ReferenceData!$AL$167),"")</f>
        <v>3773</v>
      </c>
      <c r="AM167">
        <f ca="1">IFERROR(IF(0=LEN(ReferenceData!$AM$167),"",ReferenceData!$AM$167),"")</f>
        <v>3152</v>
      </c>
      <c r="AN167">
        <f ca="1">IFERROR(IF(0=LEN(ReferenceData!$AN$167),"",ReferenceData!$AN$167),"")</f>
        <v>4908</v>
      </c>
      <c r="AO167">
        <f ca="1">IFERROR(IF(0=LEN(ReferenceData!$AO$167),"",ReferenceData!$AO$167),"")</f>
        <v>3850</v>
      </c>
      <c r="AP167">
        <f ca="1">IFERROR(IF(0=LEN(ReferenceData!$AP$167),"",ReferenceData!$AP$167),"")</f>
        <v>4325</v>
      </c>
      <c r="AQ167">
        <f ca="1">IFERROR(IF(0=LEN(ReferenceData!$AQ$167),"",ReferenceData!$AQ$167),"")</f>
        <v>3961</v>
      </c>
      <c r="AR167">
        <f ca="1">IFERROR(IF(0=LEN(ReferenceData!$AR$167),"",ReferenceData!$AR$167),"")</f>
        <v>3799</v>
      </c>
      <c r="AS167">
        <f ca="1">IFERROR(IF(0=LEN(ReferenceData!$AS$167),"",ReferenceData!$AS$167),"")</f>
        <v>3784</v>
      </c>
    </row>
    <row r="168" spans="1:45" x14ac:dyDescent="0.25">
      <c r="A168" t="str">
        <f>IFERROR(IF(0=LEN(ReferenceData!$A$168),"",ReferenceData!$A$168),"")</f>
        <v xml:space="preserve">    PACCAR - Peterbilt</v>
      </c>
      <c r="B168" t="str">
        <f>IFERROR(IF(0=LEN(ReferenceData!$B$168),"",ReferenceData!$B$168),"")</f>
        <v/>
      </c>
      <c r="C168" t="str">
        <f>IFERROR(IF(0=LEN(ReferenceData!$C$168),"",ReferenceData!$C$168),"")</f>
        <v/>
      </c>
      <c r="D168" t="str">
        <f>IFERROR(IF(0=LEN(ReferenceData!$D$168),"",ReferenceData!$D$168),"")</f>
        <v/>
      </c>
      <c r="E168" t="str">
        <f>IFERROR(IF(0=LEN(ReferenceData!$E$168),"",ReferenceData!$E$168),"")</f>
        <v>Expression</v>
      </c>
      <c r="F168">
        <f ca="1">IFERROR(IF(0=LEN(ReferenceData!$F$168),"",ReferenceData!$F$168),"")</f>
        <v>3330</v>
      </c>
      <c r="G168">
        <f ca="1">IFERROR(IF(0=LEN(ReferenceData!$G$168),"",ReferenceData!$G$168),"")</f>
        <v>2854</v>
      </c>
      <c r="H168">
        <f ca="1">IFERROR(IF(0=LEN(ReferenceData!$H$168),"",ReferenceData!$H$168),"")</f>
        <v>3035</v>
      </c>
      <c r="I168">
        <f ca="1">IFERROR(IF(0=LEN(ReferenceData!$I$168),"",ReferenceData!$I$168),"")</f>
        <v>2858</v>
      </c>
      <c r="J168">
        <f ca="1">IFERROR(IF(0=LEN(ReferenceData!$J$168),"",ReferenceData!$J$168),"")</f>
        <v>3053</v>
      </c>
      <c r="K168">
        <f ca="1">IFERROR(IF(0=LEN(ReferenceData!$K$168),"",ReferenceData!$K$168),"")</f>
        <v>2751</v>
      </c>
      <c r="L168">
        <f ca="1">IFERROR(IF(0=LEN(ReferenceData!$L$168),"",ReferenceData!$L$168),"")</f>
        <v>2510</v>
      </c>
      <c r="M168">
        <f ca="1">IFERROR(IF(0=LEN(ReferenceData!$M$168),"",ReferenceData!$M$168),"")</f>
        <v>2432</v>
      </c>
      <c r="N168">
        <f ca="1">IFERROR(IF(0=LEN(ReferenceData!$N$168),"",ReferenceData!$N$168),"")</f>
        <v>2026</v>
      </c>
      <c r="O168">
        <f ca="1">IFERROR(IF(0=LEN(ReferenceData!$O$168),"",ReferenceData!$O$168),"")</f>
        <v>2012</v>
      </c>
      <c r="P168">
        <f ca="1">IFERROR(IF(0=LEN(ReferenceData!$P$168),"",ReferenceData!$P$168),"")</f>
        <v>2325</v>
      </c>
      <c r="Q168">
        <f ca="1">IFERROR(IF(0=LEN(ReferenceData!$Q$168),"",ReferenceData!$Q$168),"")</f>
        <v>2265</v>
      </c>
      <c r="R168">
        <f ca="1">IFERROR(IF(0=LEN(ReferenceData!$R$168),"",ReferenceData!$R$168),"")</f>
        <v>2308</v>
      </c>
      <c r="S168">
        <f ca="1">IFERROR(IF(0=LEN(ReferenceData!$S$168),"",ReferenceData!$S$168),"")</f>
        <v>2332</v>
      </c>
      <c r="T168">
        <f ca="1">IFERROR(IF(0=LEN(ReferenceData!$T$168),"",ReferenceData!$T$168),"")</f>
        <v>2497</v>
      </c>
      <c r="U168">
        <f ca="1">IFERROR(IF(0=LEN(ReferenceData!$U$168),"",ReferenceData!$U$168),"")</f>
        <v>2436</v>
      </c>
      <c r="V168">
        <f ca="1">IFERROR(IF(0=LEN(ReferenceData!$V$168),"",ReferenceData!$V$168),"")</f>
        <v>2583</v>
      </c>
      <c r="W168">
        <f ca="1">IFERROR(IF(0=LEN(ReferenceData!$W$168),"",ReferenceData!$W$168),"")</f>
        <v>2557</v>
      </c>
      <c r="X168">
        <f ca="1">IFERROR(IF(0=LEN(ReferenceData!$X$168),"",ReferenceData!$X$168),"")</f>
        <v>2511</v>
      </c>
      <c r="Y168">
        <f ca="1">IFERROR(IF(0=LEN(ReferenceData!$Y$168),"",ReferenceData!$Y$168),"")</f>
        <v>2504</v>
      </c>
      <c r="Z168">
        <f ca="1">IFERROR(IF(0=LEN(ReferenceData!$Z$168),"",ReferenceData!$Z$168),"")</f>
        <v>2307</v>
      </c>
      <c r="AA168">
        <f ca="1">IFERROR(IF(0=LEN(ReferenceData!$AA$168),"",ReferenceData!$AA$168),"")</f>
        <v>2275</v>
      </c>
      <c r="AB168">
        <f ca="1">IFERROR(IF(0=LEN(ReferenceData!$AB$168),"",ReferenceData!$AB$168),"")</f>
        <v>2625</v>
      </c>
      <c r="AC168">
        <f ca="1">IFERROR(IF(0=LEN(ReferenceData!$AC$168),"",ReferenceData!$AC$168),"")</f>
        <v>2069</v>
      </c>
      <c r="AD168">
        <f ca="1">IFERROR(IF(0=LEN(ReferenceData!$AD$168),"",ReferenceData!$AD$168),"")</f>
        <v>2433</v>
      </c>
      <c r="AE168">
        <f ca="1">IFERROR(IF(0=LEN(ReferenceData!$AE$168),"",ReferenceData!$AE$168),"")</f>
        <v>3079</v>
      </c>
      <c r="AF168">
        <f ca="1">IFERROR(IF(0=LEN(ReferenceData!$AF$168),"",ReferenceData!$AF$168),"")</f>
        <v>3315</v>
      </c>
      <c r="AG168">
        <f ca="1">IFERROR(IF(0=LEN(ReferenceData!$AG$168),"",ReferenceData!$AG$168),"")</f>
        <v>3412</v>
      </c>
      <c r="AH168">
        <f ca="1">IFERROR(IF(0=LEN(ReferenceData!$AH$168),"",ReferenceData!$AH$168),"")</f>
        <v>3222</v>
      </c>
      <c r="AI168">
        <f ca="1">IFERROR(IF(0=LEN(ReferenceData!$AI$168),"",ReferenceData!$AI$168),"")</f>
        <v>3211</v>
      </c>
      <c r="AJ168">
        <f ca="1">IFERROR(IF(0=LEN(ReferenceData!$AJ$168),"",ReferenceData!$AJ$168),"")</f>
        <v>3309</v>
      </c>
      <c r="AK168">
        <f ca="1">IFERROR(IF(0=LEN(ReferenceData!$AK$168),"",ReferenceData!$AK$168),"")</f>
        <v>3071</v>
      </c>
      <c r="AL168">
        <f ca="1">IFERROR(IF(0=LEN(ReferenceData!$AL$168),"",ReferenceData!$AL$168),"")</f>
        <v>2646</v>
      </c>
      <c r="AM168">
        <f ca="1">IFERROR(IF(0=LEN(ReferenceData!$AM$168),"",ReferenceData!$AM$168),"")</f>
        <v>2497</v>
      </c>
      <c r="AN168">
        <f ca="1">IFERROR(IF(0=LEN(ReferenceData!$AN$168),"",ReferenceData!$AN$168),"")</f>
        <v>3216</v>
      </c>
      <c r="AO168">
        <f ca="1">IFERROR(IF(0=LEN(ReferenceData!$AO$168),"",ReferenceData!$AO$168),"")</f>
        <v>3007</v>
      </c>
      <c r="AP168">
        <f ca="1">IFERROR(IF(0=LEN(ReferenceData!$AP$168),"",ReferenceData!$AP$168),"")</f>
        <v>3437</v>
      </c>
      <c r="AQ168">
        <f ca="1">IFERROR(IF(0=LEN(ReferenceData!$AQ$168),"",ReferenceData!$AQ$168),"")</f>
        <v>3122</v>
      </c>
      <c r="AR168">
        <f ca="1">IFERROR(IF(0=LEN(ReferenceData!$AR$168),"",ReferenceData!$AR$168),"")</f>
        <v>2945</v>
      </c>
      <c r="AS168">
        <f ca="1">IFERROR(IF(0=LEN(ReferenceData!$AS$168),"",ReferenceData!$AS$168),"")</f>
        <v>2864</v>
      </c>
    </row>
    <row r="169" spans="1:45" x14ac:dyDescent="0.25">
      <c r="A169" t="str">
        <f>IFERROR(IF(0=LEN(ReferenceData!$A$169),"",ReferenceData!$A$169),"")</f>
        <v xml:space="preserve">    Navistar - International</v>
      </c>
      <c r="B169" t="str">
        <f>IFERROR(IF(0=LEN(ReferenceData!$B$169),"",ReferenceData!$B$169),"")</f>
        <v/>
      </c>
      <c r="C169" t="str">
        <f>IFERROR(IF(0=LEN(ReferenceData!$C$169),"",ReferenceData!$C$169),"")</f>
        <v/>
      </c>
      <c r="D169" t="str">
        <f>IFERROR(IF(0=LEN(ReferenceData!$D$169),"",ReferenceData!$D$169),"")</f>
        <v/>
      </c>
      <c r="E169" t="str">
        <f>IFERROR(IF(0=LEN(ReferenceData!$E$169),"",ReferenceData!$E$169),"")</f>
        <v>Expression</v>
      </c>
      <c r="F169">
        <f ca="1">IFERROR(IF(0=LEN(ReferenceData!$F$169),"",ReferenceData!$F$169),"")</f>
        <v>4115</v>
      </c>
      <c r="G169">
        <f ca="1">IFERROR(IF(0=LEN(ReferenceData!$G$169),"",ReferenceData!$G$169),"")</f>
        <v>2745</v>
      </c>
      <c r="H169">
        <f ca="1">IFERROR(IF(0=LEN(ReferenceData!$H$169),"",ReferenceData!$H$169),"")</f>
        <v>3516</v>
      </c>
      <c r="I169">
        <f ca="1">IFERROR(IF(0=LEN(ReferenceData!$I$169),"",ReferenceData!$I$169),"")</f>
        <v>2343</v>
      </c>
      <c r="J169">
        <f ca="1">IFERROR(IF(0=LEN(ReferenceData!$J$169),"",ReferenceData!$J$169),"")</f>
        <v>2494</v>
      </c>
      <c r="K169">
        <f ca="1">IFERROR(IF(0=LEN(ReferenceData!$K$169),"",ReferenceData!$K$169),"")</f>
        <v>2240</v>
      </c>
      <c r="L169">
        <f ca="1">IFERROR(IF(0=LEN(ReferenceData!$L$169),"",ReferenceData!$L$169),"")</f>
        <v>2345</v>
      </c>
      <c r="M169">
        <f ca="1">IFERROR(IF(0=LEN(ReferenceData!$M$169),"",ReferenceData!$M$169),"")</f>
        <v>2142</v>
      </c>
      <c r="N169">
        <f ca="1">IFERROR(IF(0=LEN(ReferenceData!$N$169),"",ReferenceData!$N$169),"")</f>
        <v>1857</v>
      </c>
      <c r="O169">
        <f ca="1">IFERROR(IF(0=LEN(ReferenceData!$O$169),"",ReferenceData!$O$169),"")</f>
        <v>1960</v>
      </c>
      <c r="P169">
        <f ca="1">IFERROR(IF(0=LEN(ReferenceData!$P$169),"",ReferenceData!$P$169),"")</f>
        <v>2093</v>
      </c>
      <c r="Q169">
        <f ca="1">IFERROR(IF(0=LEN(ReferenceData!$Q$169),"",ReferenceData!$Q$169),"")</f>
        <v>2344</v>
      </c>
      <c r="R169">
        <f ca="1">IFERROR(IF(0=LEN(ReferenceData!$R$169),"",ReferenceData!$R$169),"")</f>
        <v>3287</v>
      </c>
      <c r="S169">
        <f ca="1">IFERROR(IF(0=LEN(ReferenceData!$S$169),"",ReferenceData!$S$169),"")</f>
        <v>2487</v>
      </c>
      <c r="T169">
        <f ca="1">IFERROR(IF(0=LEN(ReferenceData!$T$169),"",ReferenceData!$T$169),"")</f>
        <v>2652</v>
      </c>
      <c r="U169">
        <f ca="1">IFERROR(IF(0=LEN(ReferenceData!$U$169),"",ReferenceData!$U$169),"")</f>
        <v>1878</v>
      </c>
      <c r="V169">
        <f ca="1">IFERROR(IF(0=LEN(ReferenceData!$V$169),"",ReferenceData!$V$169),"")</f>
        <v>2268</v>
      </c>
      <c r="W169">
        <f ca="1">IFERROR(IF(0=LEN(ReferenceData!$W$169),"",ReferenceData!$W$169),"")</f>
        <v>2495</v>
      </c>
      <c r="X169">
        <f ca="1">IFERROR(IF(0=LEN(ReferenceData!$X$169),"",ReferenceData!$X$169),"")</f>
        <v>2713</v>
      </c>
      <c r="Y169">
        <f ca="1">IFERROR(IF(0=LEN(ReferenceData!$Y$169),"",ReferenceData!$Y$169),"")</f>
        <v>2943</v>
      </c>
      <c r="Z169">
        <f ca="1">IFERROR(IF(0=LEN(ReferenceData!$Z$169),"",ReferenceData!$Z$169),"")</f>
        <v>2090</v>
      </c>
      <c r="AA169">
        <f ca="1">IFERROR(IF(0=LEN(ReferenceData!$AA$169),"",ReferenceData!$AA$169),"")</f>
        <v>3307</v>
      </c>
      <c r="AB169">
        <f ca="1">IFERROR(IF(0=LEN(ReferenceData!$AB$169),"",ReferenceData!$AB$169),"")</f>
        <v>2722</v>
      </c>
      <c r="AC169">
        <f ca="1">IFERROR(IF(0=LEN(ReferenceData!$AC$169),"",ReferenceData!$AC$169),"")</f>
        <v>1971</v>
      </c>
      <c r="AD169">
        <f ca="1">IFERROR(IF(0=LEN(ReferenceData!$AD$169),"",ReferenceData!$AD$169),"")</f>
        <v>3162</v>
      </c>
      <c r="AE169">
        <f ca="1">IFERROR(IF(0=LEN(ReferenceData!$AE$169),"",ReferenceData!$AE$169),"")</f>
        <v>3094</v>
      </c>
      <c r="AF169">
        <f ca="1">IFERROR(IF(0=LEN(ReferenceData!$AF$169),"",ReferenceData!$AF$169),"")</f>
        <v>3257</v>
      </c>
      <c r="AG169">
        <f ca="1">IFERROR(IF(0=LEN(ReferenceData!$AG$169),"",ReferenceData!$AG$169),"")</f>
        <v>3739</v>
      </c>
      <c r="AH169">
        <f ca="1">IFERROR(IF(0=LEN(ReferenceData!$AH$169),"",ReferenceData!$AH$169),"")</f>
        <v>4093</v>
      </c>
      <c r="AI169">
        <f ca="1">IFERROR(IF(0=LEN(ReferenceData!$AI$169),"",ReferenceData!$AI$169),"")</f>
        <v>3127</v>
      </c>
      <c r="AJ169">
        <f ca="1">IFERROR(IF(0=LEN(ReferenceData!$AJ$169),"",ReferenceData!$AJ$169),"")</f>
        <v>3332</v>
      </c>
      <c r="AK169">
        <f ca="1">IFERROR(IF(0=LEN(ReferenceData!$AK$169),"",ReferenceData!$AK$169),"")</f>
        <v>3783</v>
      </c>
      <c r="AL169">
        <f ca="1">IFERROR(IF(0=LEN(ReferenceData!$AL$169),"",ReferenceData!$AL$169),"")</f>
        <v>2545</v>
      </c>
      <c r="AM169">
        <f ca="1">IFERROR(IF(0=LEN(ReferenceData!$AM$169),"",ReferenceData!$AM$169),"")</f>
        <v>2845</v>
      </c>
      <c r="AN169">
        <f ca="1">IFERROR(IF(0=LEN(ReferenceData!$AN$169),"",ReferenceData!$AN$169),"")</f>
        <v>3202</v>
      </c>
      <c r="AO169">
        <f ca="1">IFERROR(IF(0=LEN(ReferenceData!$AO$169),"",ReferenceData!$AO$169),"")</f>
        <v>2615</v>
      </c>
      <c r="AP169">
        <f ca="1">IFERROR(IF(0=LEN(ReferenceData!$AP$169),"",ReferenceData!$AP$169),"")</f>
        <v>4454</v>
      </c>
      <c r="AQ169">
        <f ca="1">IFERROR(IF(0=LEN(ReferenceData!$AQ$169),"",ReferenceData!$AQ$169),"")</f>
        <v>3659</v>
      </c>
      <c r="AR169">
        <f ca="1">IFERROR(IF(0=LEN(ReferenceData!$AR$169),"",ReferenceData!$AR$169),"")</f>
        <v>3509</v>
      </c>
      <c r="AS169">
        <f ca="1">IFERROR(IF(0=LEN(ReferenceData!$AS$169),"",ReferenceData!$AS$169),"")</f>
        <v>4170</v>
      </c>
    </row>
    <row r="170" spans="1:45" x14ac:dyDescent="0.25">
      <c r="A170" t="str">
        <f>IFERROR(IF(0=LEN(ReferenceData!$A$170),"",ReferenceData!$A$170),"")</f>
        <v xml:space="preserve">    Volvo - Volvo Truck</v>
      </c>
      <c r="B170" t="str">
        <f>IFERROR(IF(0=LEN(ReferenceData!$B$170),"",ReferenceData!$B$170),"")</f>
        <v/>
      </c>
      <c r="C170" t="str">
        <f>IFERROR(IF(0=LEN(ReferenceData!$C$170),"",ReferenceData!$C$170),"")</f>
        <v/>
      </c>
      <c r="D170" t="str">
        <f>IFERROR(IF(0=LEN(ReferenceData!$D$170),"",ReferenceData!$D$170),"")</f>
        <v/>
      </c>
      <c r="E170" t="str">
        <f>IFERROR(IF(0=LEN(ReferenceData!$E$170),"",ReferenceData!$E$170),"")</f>
        <v>Expression</v>
      </c>
      <c r="F170">
        <f ca="1">IFERROR(IF(0=LEN(ReferenceData!$F$170),"",ReferenceData!$F$170),"")</f>
        <v>1795</v>
      </c>
      <c r="G170">
        <f ca="1">IFERROR(IF(0=LEN(ReferenceData!$G$170),"",ReferenceData!$G$170),"")</f>
        <v>1730</v>
      </c>
      <c r="H170">
        <f ca="1">IFERROR(IF(0=LEN(ReferenceData!$H$170),"",ReferenceData!$H$170),"")</f>
        <v>1843</v>
      </c>
      <c r="I170">
        <f ca="1">IFERROR(IF(0=LEN(ReferenceData!$I$170),"",ReferenceData!$I$170),"")</f>
        <v>1537</v>
      </c>
      <c r="J170">
        <f ca="1">IFERROR(IF(0=LEN(ReferenceData!$J$170),"",ReferenceData!$J$170),"")</f>
        <v>1935</v>
      </c>
      <c r="K170">
        <f ca="1">IFERROR(IF(0=LEN(ReferenceData!$K$170),"",ReferenceData!$K$170),"")</f>
        <v>1653</v>
      </c>
      <c r="L170">
        <f ca="1">IFERROR(IF(0=LEN(ReferenceData!$L$170),"",ReferenceData!$L$170),"")</f>
        <v>1450</v>
      </c>
      <c r="M170">
        <f ca="1">IFERROR(IF(0=LEN(ReferenceData!$M$170),"",ReferenceData!$M$170),"")</f>
        <v>1973</v>
      </c>
      <c r="N170">
        <f ca="1">IFERROR(IF(0=LEN(ReferenceData!$N$170),"",ReferenceData!$N$170),"")</f>
        <v>1290</v>
      </c>
      <c r="O170">
        <f ca="1">IFERROR(IF(0=LEN(ReferenceData!$O$170),"",ReferenceData!$O$170),"")</f>
        <v>1288</v>
      </c>
      <c r="P170">
        <f ca="1">IFERROR(IF(0=LEN(ReferenceData!$P$170),"",ReferenceData!$P$170),"")</f>
        <v>2769</v>
      </c>
      <c r="Q170">
        <f ca="1">IFERROR(IF(0=LEN(ReferenceData!$Q$170),"",ReferenceData!$Q$170),"")</f>
        <v>1747</v>
      </c>
      <c r="R170">
        <f ca="1">IFERROR(IF(0=LEN(ReferenceData!$R$170),"",ReferenceData!$R$170),"")</f>
        <v>1706</v>
      </c>
      <c r="S170">
        <f ca="1">IFERROR(IF(0=LEN(ReferenceData!$S$170),"",ReferenceData!$S$170),"")</f>
        <v>1850</v>
      </c>
      <c r="T170">
        <f ca="1">IFERROR(IF(0=LEN(ReferenceData!$T$170),"",ReferenceData!$T$170),"")</f>
        <v>2001</v>
      </c>
      <c r="U170">
        <f ca="1">IFERROR(IF(0=LEN(ReferenceData!$U$170),"",ReferenceData!$U$170),"")</f>
        <v>1730</v>
      </c>
      <c r="V170">
        <f ca="1">IFERROR(IF(0=LEN(ReferenceData!$V$170),"",ReferenceData!$V$170),"")</f>
        <v>2681</v>
      </c>
      <c r="W170">
        <f ca="1">IFERROR(IF(0=LEN(ReferenceData!$W$170),"",ReferenceData!$W$170),"")</f>
        <v>2170</v>
      </c>
      <c r="X170">
        <f ca="1">IFERROR(IF(0=LEN(ReferenceData!$X$170),"",ReferenceData!$X$170),"")</f>
        <v>2151</v>
      </c>
      <c r="Y170">
        <f ca="1">IFERROR(IF(0=LEN(ReferenceData!$Y$170),"",ReferenceData!$Y$170),"")</f>
        <v>1745</v>
      </c>
      <c r="Z170">
        <f ca="1">IFERROR(IF(0=LEN(ReferenceData!$Z$170),"",ReferenceData!$Z$170),"")</f>
        <v>2200</v>
      </c>
      <c r="AA170">
        <f ca="1">IFERROR(IF(0=LEN(ReferenceData!$AA$170),"",ReferenceData!$AA$170),"")</f>
        <v>1319</v>
      </c>
      <c r="AB170">
        <f ca="1">IFERROR(IF(0=LEN(ReferenceData!$AB$170),"",ReferenceData!$AB$170),"")</f>
        <v>4079</v>
      </c>
      <c r="AC170">
        <f ca="1">IFERROR(IF(0=LEN(ReferenceData!$AC$170),"",ReferenceData!$AC$170),"")</f>
        <v>2657</v>
      </c>
      <c r="AD170">
        <f ca="1">IFERROR(IF(0=LEN(ReferenceData!$AD$170),"",ReferenceData!$AD$170),"")</f>
        <v>2761</v>
      </c>
      <c r="AE170">
        <f ca="1">IFERROR(IF(0=LEN(ReferenceData!$AE$170),"",ReferenceData!$AE$170),"")</f>
        <v>2728</v>
      </c>
      <c r="AF170">
        <f ca="1">IFERROR(IF(0=LEN(ReferenceData!$AF$170),"",ReferenceData!$AF$170),"")</f>
        <v>2869</v>
      </c>
      <c r="AG170">
        <f ca="1">IFERROR(IF(0=LEN(ReferenceData!$AG$170),"",ReferenceData!$AG$170),"")</f>
        <v>3156</v>
      </c>
      <c r="AH170">
        <f ca="1">IFERROR(IF(0=LEN(ReferenceData!$AH$170),"",ReferenceData!$AH$170),"")</f>
        <v>3827</v>
      </c>
      <c r="AI170">
        <f ca="1">IFERROR(IF(0=LEN(ReferenceData!$AI$170),"",ReferenceData!$AI$170),"")</f>
        <v>3472</v>
      </c>
      <c r="AJ170">
        <f ca="1">IFERROR(IF(0=LEN(ReferenceData!$AJ$170),"",ReferenceData!$AJ$170),"")</f>
        <v>3179</v>
      </c>
      <c r="AK170">
        <f ca="1">IFERROR(IF(0=LEN(ReferenceData!$AK$170),"",ReferenceData!$AK$170),"")</f>
        <v>3363</v>
      </c>
      <c r="AL170">
        <f ca="1">IFERROR(IF(0=LEN(ReferenceData!$AL$170),"",ReferenceData!$AL$170),"")</f>
        <v>2732</v>
      </c>
      <c r="AM170">
        <f ca="1">IFERROR(IF(0=LEN(ReferenceData!$AM$170),"",ReferenceData!$AM$170),"")</f>
        <v>2117</v>
      </c>
      <c r="AN170">
        <f ca="1">IFERROR(IF(0=LEN(ReferenceData!$AN$170),"",ReferenceData!$AN$170),"")</f>
        <v>3390</v>
      </c>
      <c r="AO170">
        <f ca="1">IFERROR(IF(0=LEN(ReferenceData!$AO$170),"",ReferenceData!$AO$170),"")</f>
        <v>2348</v>
      </c>
      <c r="AP170">
        <f ca="1">IFERROR(IF(0=LEN(ReferenceData!$AP$170),"",ReferenceData!$AP$170),"")</f>
        <v>2896</v>
      </c>
      <c r="AQ170">
        <f ca="1">IFERROR(IF(0=LEN(ReferenceData!$AQ$170),"",ReferenceData!$AQ$170),"")</f>
        <v>2907</v>
      </c>
      <c r="AR170">
        <f ca="1">IFERROR(IF(0=LEN(ReferenceData!$AR$170),"",ReferenceData!$AR$170),"")</f>
        <v>2768</v>
      </c>
      <c r="AS170">
        <f ca="1">IFERROR(IF(0=LEN(ReferenceData!$AS$170),"",ReferenceData!$AS$170),"")</f>
        <v>2388</v>
      </c>
    </row>
    <row r="171" spans="1:45" x14ac:dyDescent="0.25">
      <c r="A171" t="str">
        <f>IFERROR(IF(0=LEN(ReferenceData!$A$171),"",ReferenceData!$A$171),"")</f>
        <v xml:space="preserve">    Volvo - Mack</v>
      </c>
      <c r="B171" t="str">
        <f>IFERROR(IF(0=LEN(ReferenceData!$B$171),"",ReferenceData!$B$171),"")</f>
        <v/>
      </c>
      <c r="C171" t="str">
        <f>IFERROR(IF(0=LEN(ReferenceData!$C$171),"",ReferenceData!$C$171),"")</f>
        <v/>
      </c>
      <c r="D171" t="str">
        <f>IFERROR(IF(0=LEN(ReferenceData!$D$171),"",ReferenceData!$D$171),"")</f>
        <v/>
      </c>
      <c r="E171" t="str">
        <f>IFERROR(IF(0=LEN(ReferenceData!$E$171),"",ReferenceData!$E$171),"")</f>
        <v>Expression</v>
      </c>
      <c r="F171">
        <f ca="1">IFERROR(IF(0=LEN(ReferenceData!$F$171),"",ReferenceData!$F$171),"")</f>
        <v>1208</v>
      </c>
      <c r="G171">
        <f ca="1">IFERROR(IF(0=LEN(ReferenceData!$G$171),"",ReferenceData!$G$171),"")</f>
        <v>1515</v>
      </c>
      <c r="H171">
        <f ca="1">IFERROR(IF(0=LEN(ReferenceData!$H$171),"",ReferenceData!$H$171),"")</f>
        <v>1511</v>
      </c>
      <c r="I171">
        <f ca="1">IFERROR(IF(0=LEN(ReferenceData!$I$171),"",ReferenceData!$I$171),"")</f>
        <v>1268</v>
      </c>
      <c r="J171">
        <f ca="1">IFERROR(IF(0=LEN(ReferenceData!$J$171),"",ReferenceData!$J$171),"")</f>
        <v>1973</v>
      </c>
      <c r="K171">
        <f ca="1">IFERROR(IF(0=LEN(ReferenceData!$K$171),"",ReferenceData!$K$171),"")</f>
        <v>1401</v>
      </c>
      <c r="L171">
        <f ca="1">IFERROR(IF(0=LEN(ReferenceData!$L$171),"",ReferenceData!$L$171),"")</f>
        <v>1182</v>
      </c>
      <c r="M171">
        <f ca="1">IFERROR(IF(0=LEN(ReferenceData!$M$171),"",ReferenceData!$M$171),"")</f>
        <v>1908</v>
      </c>
      <c r="N171">
        <f ca="1">IFERROR(IF(0=LEN(ReferenceData!$N$171),"",ReferenceData!$N$171),"")</f>
        <v>1237</v>
      </c>
      <c r="O171">
        <f ca="1">IFERROR(IF(0=LEN(ReferenceData!$O$171),"",ReferenceData!$O$171),"")</f>
        <v>1153</v>
      </c>
      <c r="P171">
        <f ca="1">IFERROR(IF(0=LEN(ReferenceData!$P$171),"",ReferenceData!$P$171),"")</f>
        <v>2113</v>
      </c>
      <c r="Q171">
        <f ca="1">IFERROR(IF(0=LEN(ReferenceData!$Q$171),"",ReferenceData!$Q$171),"")</f>
        <v>1220</v>
      </c>
      <c r="R171">
        <f ca="1">IFERROR(IF(0=LEN(ReferenceData!$R$171),"",ReferenceData!$R$171),"")</f>
        <v>1271</v>
      </c>
      <c r="S171">
        <f ca="1">IFERROR(IF(0=LEN(ReferenceData!$S$171),"",ReferenceData!$S$171),"")</f>
        <v>1532</v>
      </c>
      <c r="T171">
        <f ca="1">IFERROR(IF(0=LEN(ReferenceData!$T$171),"",ReferenceData!$T$171),"")</f>
        <v>1410</v>
      </c>
      <c r="U171">
        <f ca="1">IFERROR(IF(0=LEN(ReferenceData!$U$171),"",ReferenceData!$U$171),"")</f>
        <v>1532</v>
      </c>
      <c r="V171">
        <f ca="1">IFERROR(IF(0=LEN(ReferenceData!$V$171),"",ReferenceData!$V$171),"")</f>
        <v>2239</v>
      </c>
      <c r="W171">
        <f ca="1">IFERROR(IF(0=LEN(ReferenceData!$W$171),"",ReferenceData!$W$171),"")</f>
        <v>1565</v>
      </c>
      <c r="X171">
        <f ca="1">IFERROR(IF(0=LEN(ReferenceData!$X$171),"",ReferenceData!$X$171),"")</f>
        <v>1367</v>
      </c>
      <c r="Y171">
        <f ca="1">IFERROR(IF(0=LEN(ReferenceData!$Y$171),"",ReferenceData!$Y$171),"")</f>
        <v>2111</v>
      </c>
      <c r="Z171">
        <f ca="1">IFERROR(IF(0=LEN(ReferenceData!$Z$171),"",ReferenceData!$Z$171),"")</f>
        <v>1395</v>
      </c>
      <c r="AA171">
        <f ca="1">IFERROR(IF(0=LEN(ReferenceData!$AA$171),"",ReferenceData!$AA$171),"")</f>
        <v>1322</v>
      </c>
      <c r="AB171">
        <f ca="1">IFERROR(IF(0=LEN(ReferenceData!$AB$171),"",ReferenceData!$AB$171),"")</f>
        <v>2596</v>
      </c>
      <c r="AC171">
        <f ca="1">IFERROR(IF(0=LEN(ReferenceData!$AC$171),"",ReferenceData!$AC$171),"")</f>
        <v>1729</v>
      </c>
      <c r="AD171">
        <f ca="1">IFERROR(IF(0=LEN(ReferenceData!$AD$171),"",ReferenceData!$AD$171),"")</f>
        <v>1409</v>
      </c>
      <c r="AE171">
        <f ca="1">IFERROR(IF(0=LEN(ReferenceData!$AE$171),"",ReferenceData!$AE$171),"")</f>
        <v>2037</v>
      </c>
      <c r="AF171">
        <f ca="1">IFERROR(IF(0=LEN(ReferenceData!$AF$171),"",ReferenceData!$AF$171),"")</f>
        <v>1988</v>
      </c>
      <c r="AG171">
        <f ca="1">IFERROR(IF(0=LEN(ReferenceData!$AG$171),"",ReferenceData!$AG$171),"")</f>
        <v>1957</v>
      </c>
      <c r="AH171">
        <f ca="1">IFERROR(IF(0=LEN(ReferenceData!$AH$171),"",ReferenceData!$AH$171),"")</f>
        <v>2371</v>
      </c>
      <c r="AI171">
        <f ca="1">IFERROR(IF(0=LEN(ReferenceData!$AI$171),"",ReferenceData!$AI$171),"")</f>
        <v>1896</v>
      </c>
      <c r="AJ171">
        <f ca="1">IFERROR(IF(0=LEN(ReferenceData!$AJ$171),"",ReferenceData!$AJ$171),"")</f>
        <v>1944</v>
      </c>
      <c r="AK171">
        <f ca="1">IFERROR(IF(0=LEN(ReferenceData!$AK$171),"",ReferenceData!$AK$171),"")</f>
        <v>1978</v>
      </c>
      <c r="AL171">
        <f ca="1">IFERROR(IF(0=LEN(ReferenceData!$AL$171),"",ReferenceData!$AL$171),"")</f>
        <v>1345</v>
      </c>
      <c r="AM171">
        <f ca="1">IFERROR(IF(0=LEN(ReferenceData!$AM$171),"",ReferenceData!$AM$171),"")</f>
        <v>1184</v>
      </c>
      <c r="AN171">
        <f ca="1">IFERROR(IF(0=LEN(ReferenceData!$AN$171),"",ReferenceData!$AN$171),"")</f>
        <v>3024</v>
      </c>
      <c r="AO171">
        <f ca="1">IFERROR(IF(0=LEN(ReferenceData!$AO$171),"",ReferenceData!$AO$171),"")</f>
        <v>1875</v>
      </c>
      <c r="AP171">
        <f ca="1">IFERROR(IF(0=LEN(ReferenceData!$AP$171),"",ReferenceData!$AP$171),"")</f>
        <v>1652</v>
      </c>
      <c r="AQ171">
        <f ca="1">IFERROR(IF(0=LEN(ReferenceData!$AQ$171),"",ReferenceData!$AQ$171),"")</f>
        <v>1884</v>
      </c>
      <c r="AR171">
        <f ca="1">IFERROR(IF(0=LEN(ReferenceData!$AR$171),"",ReferenceData!$AR$171),"")</f>
        <v>2067</v>
      </c>
      <c r="AS171">
        <f ca="1">IFERROR(IF(0=LEN(ReferenceData!$AS$171),"",ReferenceData!$AS$171),"")</f>
        <v>2128</v>
      </c>
    </row>
    <row r="172" spans="1:45" x14ac:dyDescent="0.25">
      <c r="A172" t="str">
        <f>IFERROR(IF(0=LEN(ReferenceData!$A$172),"",ReferenceData!$A$172),"")</f>
        <v xml:space="preserve">    Dina Camiones</v>
      </c>
      <c r="B172" t="str">
        <f>IFERROR(IF(0=LEN(ReferenceData!$B$172),"",ReferenceData!$B$172),"")</f>
        <v/>
      </c>
      <c r="C172" t="str">
        <f>IFERROR(IF(0=LEN(ReferenceData!$C$172),"",ReferenceData!$C$172),"")</f>
        <v/>
      </c>
      <c r="D172" t="str">
        <f>IFERROR(IF(0=LEN(ReferenceData!$D$172),"",ReferenceData!$D$172),"")</f>
        <v/>
      </c>
      <c r="E172" t="str">
        <f>IFERROR(IF(0=LEN(ReferenceData!$E$172),"",ReferenceData!$E$172),"")</f>
        <v>Expression</v>
      </c>
      <c r="F172" t="str">
        <f ca="1">IFERROR(IF(0=LEN(ReferenceData!$F$172),"",ReferenceData!$F$172),"")</f>
        <v/>
      </c>
      <c r="G172" t="str">
        <f ca="1">IFERROR(IF(0=LEN(ReferenceData!$G$172),"",ReferenceData!$G$172),"")</f>
        <v/>
      </c>
      <c r="H172" t="str">
        <f ca="1">IFERROR(IF(0=LEN(ReferenceData!$H$172),"",ReferenceData!$H$172),"")</f>
        <v/>
      </c>
      <c r="I172" t="str">
        <f ca="1">IFERROR(IF(0=LEN(ReferenceData!$I$172),"",ReferenceData!$I$172),"")</f>
        <v/>
      </c>
      <c r="J172" t="str">
        <f ca="1">IFERROR(IF(0=LEN(ReferenceData!$J$172),"",ReferenceData!$J$172),"")</f>
        <v/>
      </c>
      <c r="K172" t="str">
        <f ca="1">IFERROR(IF(0=LEN(ReferenceData!$K$172),"",ReferenceData!$K$172),"")</f>
        <v/>
      </c>
      <c r="L172" t="str">
        <f ca="1">IFERROR(IF(0=LEN(ReferenceData!$L$172),"",ReferenceData!$L$172),"")</f>
        <v/>
      </c>
      <c r="M172" t="str">
        <f ca="1">IFERROR(IF(0=LEN(ReferenceData!$M$172),"",ReferenceData!$M$172),"")</f>
        <v/>
      </c>
      <c r="N172" t="str">
        <f ca="1">IFERROR(IF(0=LEN(ReferenceData!$N$172),"",ReferenceData!$N$172),"")</f>
        <v/>
      </c>
      <c r="O172" t="str">
        <f ca="1">IFERROR(IF(0=LEN(ReferenceData!$O$172),"",ReferenceData!$O$172),"")</f>
        <v/>
      </c>
      <c r="P172">
        <f ca="1">IFERROR(IF(0=LEN(ReferenceData!$P$172),"",ReferenceData!$P$172),"")</f>
        <v>86</v>
      </c>
      <c r="Q172">
        <f ca="1">IFERROR(IF(0=LEN(ReferenceData!$Q$172),"",ReferenceData!$Q$172),"")</f>
        <v>64</v>
      </c>
      <c r="R172">
        <f ca="1">IFERROR(IF(0=LEN(ReferenceData!$R$172),"",ReferenceData!$R$172),"")</f>
        <v>59</v>
      </c>
      <c r="S172">
        <f ca="1">IFERROR(IF(0=LEN(ReferenceData!$S$172),"",ReferenceData!$S$172),"")</f>
        <v>56</v>
      </c>
      <c r="T172">
        <f ca="1">IFERROR(IF(0=LEN(ReferenceData!$T$172),"",ReferenceData!$T$172),"")</f>
        <v>46</v>
      </c>
      <c r="U172">
        <f ca="1">IFERROR(IF(0=LEN(ReferenceData!$U$172),"",ReferenceData!$U$172),"")</f>
        <v>39</v>
      </c>
      <c r="V172">
        <f ca="1">IFERROR(IF(0=LEN(ReferenceData!$V$172),"",ReferenceData!$V$172),"")</f>
        <v>44</v>
      </c>
      <c r="W172">
        <f ca="1">IFERROR(IF(0=LEN(ReferenceData!$W$172),"",ReferenceData!$W$172),"")</f>
        <v>52</v>
      </c>
      <c r="X172">
        <f ca="1">IFERROR(IF(0=LEN(ReferenceData!$X$172),"",ReferenceData!$X$172),"")</f>
        <v>50</v>
      </c>
      <c r="Y172">
        <f ca="1">IFERROR(IF(0=LEN(ReferenceData!$Y$172),"",ReferenceData!$Y$172),"")</f>
        <v>45</v>
      </c>
      <c r="Z172">
        <f ca="1">IFERROR(IF(0=LEN(ReferenceData!$Z$172),"",ReferenceData!$Z$172),"")</f>
        <v>34</v>
      </c>
      <c r="AA172">
        <f ca="1">IFERROR(IF(0=LEN(ReferenceData!$AA$172),"",ReferenceData!$AA$172),"")</f>
        <v>49</v>
      </c>
      <c r="AB172">
        <f ca="1">IFERROR(IF(0=LEN(ReferenceData!$AB$172),"",ReferenceData!$AB$172),"")</f>
        <v>67</v>
      </c>
      <c r="AC172">
        <f ca="1">IFERROR(IF(0=LEN(ReferenceData!$AC$172),"",ReferenceData!$AC$172),"")</f>
        <v>54</v>
      </c>
      <c r="AD172">
        <f ca="1">IFERROR(IF(0=LEN(ReferenceData!$AD$172),"",ReferenceData!$AD$172),"")</f>
        <v>50</v>
      </c>
      <c r="AE172">
        <f ca="1">IFERROR(IF(0=LEN(ReferenceData!$AE$172),"",ReferenceData!$AE$172),"")</f>
        <v>47</v>
      </c>
      <c r="AF172">
        <f ca="1">IFERROR(IF(0=LEN(ReferenceData!$AF$172),"",ReferenceData!$AF$172),"")</f>
        <v>47</v>
      </c>
      <c r="AG172">
        <f ca="1">IFERROR(IF(0=LEN(ReferenceData!$AG$172),"",ReferenceData!$AG$172),"")</f>
        <v>47</v>
      </c>
      <c r="AH172">
        <f ca="1">IFERROR(IF(0=LEN(ReferenceData!$AH$172),"",ReferenceData!$AH$172),"")</f>
        <v>45</v>
      </c>
      <c r="AI172">
        <f ca="1">IFERROR(IF(0=LEN(ReferenceData!$AI$172),"",ReferenceData!$AI$172),"")</f>
        <v>42</v>
      </c>
      <c r="AJ172">
        <f ca="1">IFERROR(IF(0=LEN(ReferenceData!$AJ$172),"",ReferenceData!$AJ$172),"")</f>
        <v>40</v>
      </c>
      <c r="AK172">
        <f ca="1">IFERROR(IF(0=LEN(ReferenceData!$AK$172),"",ReferenceData!$AK$172),"")</f>
        <v>52</v>
      </c>
      <c r="AL172">
        <f ca="1">IFERROR(IF(0=LEN(ReferenceData!$AL$172),"",ReferenceData!$AL$172),"")</f>
        <v>49</v>
      </c>
      <c r="AM172">
        <f ca="1">IFERROR(IF(0=LEN(ReferenceData!$AM$172),"",ReferenceData!$AM$172),"")</f>
        <v>52</v>
      </c>
      <c r="AN172">
        <f ca="1">IFERROR(IF(0=LEN(ReferenceData!$AN$172),"",ReferenceData!$AN$172),"")</f>
        <v>89</v>
      </c>
      <c r="AO172">
        <f ca="1">IFERROR(IF(0=LEN(ReferenceData!$AO$172),"",ReferenceData!$AO$172),"")</f>
        <v>77</v>
      </c>
      <c r="AP172">
        <f ca="1">IFERROR(IF(0=LEN(ReferenceData!$AP$172),"",ReferenceData!$AP$172),"")</f>
        <v>75</v>
      </c>
      <c r="AQ172">
        <f ca="1">IFERROR(IF(0=LEN(ReferenceData!$AQ$172),"",ReferenceData!$AQ$172),"")</f>
        <v>110</v>
      </c>
      <c r="AR172">
        <f ca="1">IFERROR(IF(0=LEN(ReferenceData!$AR$172),"",ReferenceData!$AR$172),"")</f>
        <v>24</v>
      </c>
      <c r="AS172">
        <f ca="1">IFERROR(IF(0=LEN(ReferenceData!$AS$172),"",ReferenceData!$AS$172),"")</f>
        <v>3</v>
      </c>
    </row>
    <row r="173" spans="1:45" x14ac:dyDescent="0.25">
      <c r="A173" t="str">
        <f>IFERROR(IF(0=LEN(ReferenceData!$A$173),"",ReferenceData!$A$173),"")</f>
        <v xml:space="preserve">    MAN - MAN</v>
      </c>
      <c r="B173" t="str">
        <f>IFERROR(IF(0=LEN(ReferenceData!$B$173),"",ReferenceData!$B$173),"")</f>
        <v>VOW GR Equity</v>
      </c>
      <c r="C173" t="str">
        <f>IFERROR(IF(0=LEN(ReferenceData!$C$173),"",ReferenceData!$C$173),"")</f>
        <v/>
      </c>
      <c r="D173" t="str">
        <f>IFERROR(IF(0=LEN(ReferenceData!$D$173),"",ReferenceData!$D$173),"")</f>
        <v/>
      </c>
      <c r="E173" t="str">
        <f>IFERROR(IF(0=LEN(ReferenceData!$E$173),"",ReferenceData!$E$173),"")</f>
        <v>Expression</v>
      </c>
      <c r="F173" t="str">
        <f ca="1">IFERROR(IF(0=LEN(ReferenceData!$F$173),"",ReferenceData!$F$173),"")</f>
        <v/>
      </c>
      <c r="G173" t="str">
        <f ca="1">IFERROR(IF(0=LEN(ReferenceData!$G$173),"",ReferenceData!$G$173),"")</f>
        <v/>
      </c>
      <c r="H173" t="str">
        <f ca="1">IFERROR(IF(0=LEN(ReferenceData!$H$173),"",ReferenceData!$H$173),"")</f>
        <v/>
      </c>
      <c r="I173" t="str">
        <f ca="1">IFERROR(IF(0=LEN(ReferenceData!$I$173),"",ReferenceData!$I$173),"")</f>
        <v/>
      </c>
      <c r="J173" t="str">
        <f ca="1">IFERROR(IF(0=LEN(ReferenceData!$J$173),"",ReferenceData!$J$173),"")</f>
        <v/>
      </c>
      <c r="K173" t="str">
        <f ca="1">IFERROR(IF(0=LEN(ReferenceData!$K$173),"",ReferenceData!$K$173),"")</f>
        <v/>
      </c>
      <c r="L173" t="str">
        <f ca="1">IFERROR(IF(0=LEN(ReferenceData!$L$173),"",ReferenceData!$L$173),"")</f>
        <v/>
      </c>
      <c r="M173" t="str">
        <f ca="1">IFERROR(IF(0=LEN(ReferenceData!$M$173),"",ReferenceData!$M$173),"")</f>
        <v/>
      </c>
      <c r="N173" t="str">
        <f ca="1">IFERROR(IF(0=LEN(ReferenceData!$N$173),"",ReferenceData!$N$173),"")</f>
        <v/>
      </c>
      <c r="O173" t="str">
        <f ca="1">IFERROR(IF(0=LEN(ReferenceData!$O$173),"",ReferenceData!$O$173),"")</f>
        <v/>
      </c>
      <c r="P173">
        <f ca="1">IFERROR(IF(0=LEN(ReferenceData!$P$173),"",ReferenceData!$P$173),"")</f>
        <v>68</v>
      </c>
      <c r="Q173">
        <f ca="1">IFERROR(IF(0=LEN(ReferenceData!$Q$173),"",ReferenceData!$Q$173),"")</f>
        <v>51</v>
      </c>
      <c r="R173">
        <f ca="1">IFERROR(IF(0=LEN(ReferenceData!$R$173),"",ReferenceData!$R$173),"")</f>
        <v>47</v>
      </c>
      <c r="S173">
        <f ca="1">IFERROR(IF(0=LEN(ReferenceData!$S$173),"",ReferenceData!$S$173),"")</f>
        <v>45</v>
      </c>
      <c r="T173">
        <f ca="1">IFERROR(IF(0=LEN(ReferenceData!$T$173),"",ReferenceData!$T$173),"")</f>
        <v>36</v>
      </c>
      <c r="U173">
        <f ca="1">IFERROR(IF(0=LEN(ReferenceData!$U$173),"",ReferenceData!$U$173),"")</f>
        <v>31</v>
      </c>
      <c r="V173">
        <f ca="1">IFERROR(IF(0=LEN(ReferenceData!$V$173),"",ReferenceData!$V$173),"")</f>
        <v>35</v>
      </c>
      <c r="W173">
        <f ca="1">IFERROR(IF(0=LEN(ReferenceData!$W$173),"",ReferenceData!$W$173),"")</f>
        <v>41</v>
      </c>
      <c r="X173">
        <f ca="1">IFERROR(IF(0=LEN(ReferenceData!$X$173),"",ReferenceData!$X$173),"")</f>
        <v>40</v>
      </c>
      <c r="Y173">
        <f ca="1">IFERROR(IF(0=LEN(ReferenceData!$Y$173),"",ReferenceData!$Y$173),"")</f>
        <v>35</v>
      </c>
      <c r="Z173">
        <f ca="1">IFERROR(IF(0=LEN(ReferenceData!$Z$173),"",ReferenceData!$Z$173),"")</f>
        <v>27</v>
      </c>
      <c r="AA173">
        <f ca="1">IFERROR(IF(0=LEN(ReferenceData!$AA$173),"",ReferenceData!$AA$173),"")</f>
        <v>39</v>
      </c>
      <c r="AB173">
        <f ca="1">IFERROR(IF(0=LEN(ReferenceData!$AB$173),"",ReferenceData!$AB$173),"")</f>
        <v>37</v>
      </c>
      <c r="AC173">
        <f ca="1">IFERROR(IF(0=LEN(ReferenceData!$AC$173),"",ReferenceData!$AC$173),"")</f>
        <v>30</v>
      </c>
      <c r="AD173">
        <f ca="1">IFERROR(IF(0=LEN(ReferenceData!$AD$173),"",ReferenceData!$AD$173),"")</f>
        <v>28</v>
      </c>
      <c r="AE173">
        <f ca="1">IFERROR(IF(0=LEN(ReferenceData!$AE$173),"",ReferenceData!$AE$173),"")</f>
        <v>26</v>
      </c>
      <c r="AF173">
        <f ca="1">IFERROR(IF(0=LEN(ReferenceData!$AF$173),"",ReferenceData!$AF$173),"")</f>
        <v>26</v>
      </c>
      <c r="AG173">
        <f ca="1">IFERROR(IF(0=LEN(ReferenceData!$AG$173),"",ReferenceData!$AG$173),"")</f>
        <v>26</v>
      </c>
      <c r="AH173">
        <f ca="1">IFERROR(IF(0=LEN(ReferenceData!$AH$173),"",ReferenceData!$AH$173),"")</f>
        <v>25</v>
      </c>
      <c r="AI173">
        <f ca="1">IFERROR(IF(0=LEN(ReferenceData!$AI$173),"",ReferenceData!$AI$173),"")</f>
        <v>23</v>
      </c>
      <c r="AJ173">
        <f ca="1">IFERROR(IF(0=LEN(ReferenceData!$AJ$173),"",ReferenceData!$AJ$173),"")</f>
        <v>22</v>
      </c>
      <c r="AK173">
        <f ca="1">IFERROR(IF(0=LEN(ReferenceData!$AK$173),"",ReferenceData!$AK$173),"")</f>
        <v>29</v>
      </c>
      <c r="AL173">
        <f ca="1">IFERROR(IF(0=LEN(ReferenceData!$AL$173),"",ReferenceData!$AL$173),"")</f>
        <v>27</v>
      </c>
      <c r="AM173">
        <f ca="1">IFERROR(IF(0=LEN(ReferenceData!$AM$173),"",ReferenceData!$AM$173),"")</f>
        <v>29</v>
      </c>
      <c r="AN173">
        <f ca="1">IFERROR(IF(0=LEN(ReferenceData!$AN$173),"",ReferenceData!$AN$173),"")</f>
        <v>32</v>
      </c>
      <c r="AO173">
        <f ca="1">IFERROR(IF(0=LEN(ReferenceData!$AO$173),"",ReferenceData!$AO$173),"")</f>
        <v>29</v>
      </c>
      <c r="AP173">
        <f ca="1">IFERROR(IF(0=LEN(ReferenceData!$AP$173),"",ReferenceData!$AP$173),"")</f>
        <v>29</v>
      </c>
      <c r="AQ173">
        <f ca="1">IFERROR(IF(0=LEN(ReferenceData!$AQ$173),"",ReferenceData!$AQ$173),"")</f>
        <v>26</v>
      </c>
      <c r="AR173">
        <f ca="1">IFERROR(IF(0=LEN(ReferenceData!$AR$173),"",ReferenceData!$AR$173),"")</f>
        <v>10</v>
      </c>
      <c r="AS173">
        <f ca="1">IFERROR(IF(0=LEN(ReferenceData!$AS$173),"",ReferenceData!$AS$173),"")</f>
        <v>34</v>
      </c>
    </row>
    <row r="174" spans="1:45" x14ac:dyDescent="0.25">
      <c r="A174" t="str">
        <f>IFERROR(IF(0=LEN(ReferenceData!$A$174),"",ReferenceData!$A$174),"")</f>
        <v xml:space="preserve">    MAN - Volkswagen</v>
      </c>
      <c r="B174" t="str">
        <f>IFERROR(IF(0=LEN(ReferenceData!$B$174),"",ReferenceData!$B$174),"")</f>
        <v>VOW GR Equity</v>
      </c>
      <c r="C174" t="str">
        <f>IFERROR(IF(0=LEN(ReferenceData!$C$174),"",ReferenceData!$C$174),"")</f>
        <v/>
      </c>
      <c r="D174" t="str">
        <f>IFERROR(IF(0=LEN(ReferenceData!$D$174),"",ReferenceData!$D$174),"")</f>
        <v/>
      </c>
      <c r="E174" t="str">
        <f>IFERROR(IF(0=LEN(ReferenceData!$E$174),"",ReferenceData!$E$174),"")</f>
        <v>Expression</v>
      </c>
      <c r="F174" t="str">
        <f ca="1">IFERROR(IF(0=LEN(ReferenceData!$F$174),"",ReferenceData!$F$174),"")</f>
        <v/>
      </c>
      <c r="G174" t="str">
        <f ca="1">IFERROR(IF(0=LEN(ReferenceData!$G$174),"",ReferenceData!$G$174),"")</f>
        <v/>
      </c>
      <c r="H174" t="str">
        <f ca="1">IFERROR(IF(0=LEN(ReferenceData!$H$174),"",ReferenceData!$H$174),"")</f>
        <v/>
      </c>
      <c r="I174" t="str">
        <f ca="1">IFERROR(IF(0=LEN(ReferenceData!$I$174),"",ReferenceData!$I$174),"")</f>
        <v/>
      </c>
      <c r="J174" t="str">
        <f ca="1">IFERROR(IF(0=LEN(ReferenceData!$J$174),"",ReferenceData!$J$174),"")</f>
        <v/>
      </c>
      <c r="K174" t="str">
        <f ca="1">IFERROR(IF(0=LEN(ReferenceData!$K$174),"",ReferenceData!$K$174),"")</f>
        <v/>
      </c>
      <c r="L174" t="str">
        <f ca="1">IFERROR(IF(0=LEN(ReferenceData!$L$174),"",ReferenceData!$L$174),"")</f>
        <v/>
      </c>
      <c r="M174" t="str">
        <f ca="1">IFERROR(IF(0=LEN(ReferenceData!$M$174),"",ReferenceData!$M$174),"")</f>
        <v/>
      </c>
      <c r="N174" t="str">
        <f ca="1">IFERROR(IF(0=LEN(ReferenceData!$N$174),"",ReferenceData!$N$174),"")</f>
        <v/>
      </c>
      <c r="O174" t="str">
        <f ca="1">IFERROR(IF(0=LEN(ReferenceData!$O$174),"",ReferenceData!$O$174),"")</f>
        <v/>
      </c>
      <c r="P174" t="str">
        <f ca="1">IFERROR(IF(0=LEN(ReferenceData!$P$174),"",ReferenceData!$P$174),"")</f>
        <v/>
      </c>
      <c r="Q174" t="str">
        <f ca="1">IFERROR(IF(0=LEN(ReferenceData!$Q$174),"",ReferenceData!$Q$174),"")</f>
        <v/>
      </c>
      <c r="R174" t="str">
        <f ca="1">IFERROR(IF(0=LEN(ReferenceData!$R$174),"",ReferenceData!$R$174),"")</f>
        <v/>
      </c>
      <c r="S174" t="str">
        <f ca="1">IFERROR(IF(0=LEN(ReferenceData!$S$174),"",ReferenceData!$S$174),"")</f>
        <v/>
      </c>
      <c r="T174" t="str">
        <f ca="1">IFERROR(IF(0=LEN(ReferenceData!$T$174),"",ReferenceData!$T$174),"")</f>
        <v/>
      </c>
      <c r="U174" t="str">
        <f ca="1">IFERROR(IF(0=LEN(ReferenceData!$U$174),"",ReferenceData!$U$174),"")</f>
        <v/>
      </c>
      <c r="V174" t="str">
        <f ca="1">IFERROR(IF(0=LEN(ReferenceData!$V$174),"",ReferenceData!$V$174),"")</f>
        <v/>
      </c>
      <c r="W174" t="str">
        <f ca="1">IFERROR(IF(0=LEN(ReferenceData!$W$174),"",ReferenceData!$W$174),"")</f>
        <v/>
      </c>
      <c r="X174" t="str">
        <f ca="1">IFERROR(IF(0=LEN(ReferenceData!$X$174),"",ReferenceData!$X$174),"")</f>
        <v/>
      </c>
      <c r="Y174" t="str">
        <f ca="1">IFERROR(IF(0=LEN(ReferenceData!$Y$174),"",ReferenceData!$Y$174),"")</f>
        <v/>
      </c>
      <c r="Z174" t="str">
        <f ca="1">IFERROR(IF(0=LEN(ReferenceData!$Z$174),"",ReferenceData!$Z$174),"")</f>
        <v/>
      </c>
      <c r="AA174" t="str">
        <f ca="1">IFERROR(IF(0=LEN(ReferenceData!$AA$174),"",ReferenceData!$AA$174),"")</f>
        <v/>
      </c>
      <c r="AB174" t="str">
        <f ca="1">IFERROR(IF(0=LEN(ReferenceData!$AB$174),"",ReferenceData!$AB$174),"")</f>
        <v/>
      </c>
      <c r="AC174" t="str">
        <f ca="1">IFERROR(IF(0=LEN(ReferenceData!$AC$174),"",ReferenceData!$AC$174),"")</f>
        <v/>
      </c>
      <c r="AD174" t="str">
        <f ca="1">IFERROR(IF(0=LEN(ReferenceData!$AD$174),"",ReferenceData!$AD$174),"")</f>
        <v/>
      </c>
      <c r="AE174" t="str">
        <f ca="1">IFERROR(IF(0=LEN(ReferenceData!$AE$174),"",ReferenceData!$AE$174),"")</f>
        <v/>
      </c>
      <c r="AF174" t="str">
        <f ca="1">IFERROR(IF(0=LEN(ReferenceData!$AF$174),"",ReferenceData!$AF$174),"")</f>
        <v/>
      </c>
      <c r="AG174" t="str">
        <f ca="1">IFERROR(IF(0=LEN(ReferenceData!$AG$174),"",ReferenceData!$AG$174),"")</f>
        <v/>
      </c>
      <c r="AH174" t="str">
        <f ca="1">IFERROR(IF(0=LEN(ReferenceData!$AH$174),"",ReferenceData!$AH$174),"")</f>
        <v/>
      </c>
      <c r="AI174" t="str">
        <f ca="1">IFERROR(IF(0=LEN(ReferenceData!$AI$174),"",ReferenceData!$AI$174),"")</f>
        <v/>
      </c>
      <c r="AJ174" t="str">
        <f ca="1">IFERROR(IF(0=LEN(ReferenceData!$AJ$174),"",ReferenceData!$AJ$174),"")</f>
        <v/>
      </c>
      <c r="AK174" t="str">
        <f ca="1">IFERROR(IF(0=LEN(ReferenceData!$AK$174),"",ReferenceData!$AK$174),"")</f>
        <v/>
      </c>
      <c r="AL174" t="str">
        <f ca="1">IFERROR(IF(0=LEN(ReferenceData!$AL$174),"",ReferenceData!$AL$174),"")</f>
        <v/>
      </c>
      <c r="AM174" t="str">
        <f ca="1">IFERROR(IF(0=LEN(ReferenceData!$AM$174),"",ReferenceData!$AM$174),"")</f>
        <v/>
      </c>
      <c r="AN174" t="str">
        <f ca="1">IFERROR(IF(0=LEN(ReferenceData!$AN$174),"",ReferenceData!$AN$174),"")</f>
        <v/>
      </c>
      <c r="AO174" t="str">
        <f ca="1">IFERROR(IF(0=LEN(ReferenceData!$AO$174),"",ReferenceData!$AO$174),"")</f>
        <v/>
      </c>
      <c r="AP174" t="str">
        <f ca="1">IFERROR(IF(0=LEN(ReferenceData!$AP$174),"",ReferenceData!$AP$174),"")</f>
        <v/>
      </c>
      <c r="AQ174" t="str">
        <f ca="1">IFERROR(IF(0=LEN(ReferenceData!$AQ$174),"",ReferenceData!$AQ$174),"")</f>
        <v/>
      </c>
      <c r="AR174" t="str">
        <f ca="1">IFERROR(IF(0=LEN(ReferenceData!$AR$174),"",ReferenceData!$AR$174),"")</f>
        <v/>
      </c>
      <c r="AS174" t="str">
        <f ca="1">IFERROR(IF(0=LEN(ReferenceData!$AS$174),"",ReferenceData!$AS$174),"")</f>
        <v/>
      </c>
    </row>
    <row r="175" spans="1:45" x14ac:dyDescent="0.25">
      <c r="A175" t="str">
        <f>IFERROR(IF(0=LEN(ReferenceData!$A$175),"",ReferenceData!$A$175),"")</f>
        <v xml:space="preserve">    Scania</v>
      </c>
      <c r="B175" t="str">
        <f>IFERROR(IF(0=LEN(ReferenceData!$B$175),"",ReferenceData!$B$175),"")</f>
        <v/>
      </c>
      <c r="C175" t="str">
        <f>IFERROR(IF(0=LEN(ReferenceData!$C$175),"",ReferenceData!$C$175),"")</f>
        <v/>
      </c>
      <c r="D175" t="str">
        <f>IFERROR(IF(0=LEN(ReferenceData!$D$175),"",ReferenceData!$D$175),"")</f>
        <v/>
      </c>
      <c r="E175" t="str">
        <f>IFERROR(IF(0=LEN(ReferenceData!$E$175),"",ReferenceData!$E$175),"")</f>
        <v>Expression</v>
      </c>
      <c r="F175" t="str">
        <f ca="1">IFERROR(IF(0=LEN(ReferenceData!$F$175),"",ReferenceData!$F$175),"")</f>
        <v/>
      </c>
      <c r="G175" t="str">
        <f ca="1">IFERROR(IF(0=LEN(ReferenceData!$G$175),"",ReferenceData!$G$175),"")</f>
        <v/>
      </c>
      <c r="H175" t="str">
        <f ca="1">IFERROR(IF(0=LEN(ReferenceData!$H$175),"",ReferenceData!$H$175),"")</f>
        <v/>
      </c>
      <c r="I175" t="str">
        <f ca="1">IFERROR(IF(0=LEN(ReferenceData!$I$175),"",ReferenceData!$I$175),"")</f>
        <v/>
      </c>
      <c r="J175" t="str">
        <f ca="1">IFERROR(IF(0=LEN(ReferenceData!$J$175),"",ReferenceData!$J$175),"")</f>
        <v/>
      </c>
      <c r="K175" t="str">
        <f ca="1">IFERROR(IF(0=LEN(ReferenceData!$K$175),"",ReferenceData!$K$175),"")</f>
        <v/>
      </c>
      <c r="L175" t="str">
        <f ca="1">IFERROR(IF(0=LEN(ReferenceData!$L$175),"",ReferenceData!$L$175),"")</f>
        <v/>
      </c>
      <c r="M175" t="str">
        <f ca="1">IFERROR(IF(0=LEN(ReferenceData!$M$175),"",ReferenceData!$M$175),"")</f>
        <v/>
      </c>
      <c r="N175" t="str">
        <f ca="1">IFERROR(IF(0=LEN(ReferenceData!$N$175),"",ReferenceData!$N$175),"")</f>
        <v/>
      </c>
      <c r="O175" t="str">
        <f ca="1">IFERROR(IF(0=LEN(ReferenceData!$O$175),"",ReferenceData!$O$175),"")</f>
        <v/>
      </c>
      <c r="P175">
        <f ca="1">IFERROR(IF(0=LEN(ReferenceData!$P$175),"",ReferenceData!$P$175),"")</f>
        <v>222</v>
      </c>
      <c r="Q175">
        <f ca="1">IFERROR(IF(0=LEN(ReferenceData!$Q$175),"",ReferenceData!$Q$175),"")</f>
        <v>165</v>
      </c>
      <c r="R175">
        <f ca="1">IFERROR(IF(0=LEN(ReferenceData!$R$175),"",ReferenceData!$R$175),"")</f>
        <v>154</v>
      </c>
      <c r="S175">
        <f ca="1">IFERROR(IF(0=LEN(ReferenceData!$S$175),"",ReferenceData!$S$175),"")</f>
        <v>146</v>
      </c>
      <c r="T175">
        <f ca="1">IFERROR(IF(0=LEN(ReferenceData!$T$175),"",ReferenceData!$T$175),"")</f>
        <v>119</v>
      </c>
      <c r="U175">
        <f ca="1">IFERROR(IF(0=LEN(ReferenceData!$U$175),"",ReferenceData!$U$175),"")</f>
        <v>102</v>
      </c>
      <c r="V175">
        <f ca="1">IFERROR(IF(0=LEN(ReferenceData!$V$175),"",ReferenceData!$V$175),"")</f>
        <v>116</v>
      </c>
      <c r="W175">
        <f ca="1">IFERROR(IF(0=LEN(ReferenceData!$W$175),"",ReferenceData!$W$175),"")</f>
        <v>134</v>
      </c>
      <c r="X175">
        <f ca="1">IFERROR(IF(0=LEN(ReferenceData!$X$175),"",ReferenceData!$X$175),"")</f>
        <v>131</v>
      </c>
      <c r="Y175">
        <f ca="1">IFERROR(IF(0=LEN(ReferenceData!$Y$175),"",ReferenceData!$Y$175),"")</f>
        <v>116</v>
      </c>
      <c r="Z175">
        <f ca="1">IFERROR(IF(0=LEN(ReferenceData!$Z$175),"",ReferenceData!$Z$175),"")</f>
        <v>89</v>
      </c>
      <c r="AA175">
        <f ca="1">IFERROR(IF(0=LEN(ReferenceData!$AA$175),"",ReferenceData!$AA$175),"")</f>
        <v>127</v>
      </c>
      <c r="AB175">
        <f ca="1">IFERROR(IF(0=LEN(ReferenceData!$AB$175),"",ReferenceData!$AB$175),"")</f>
        <v>118</v>
      </c>
      <c r="AC175">
        <f ca="1">IFERROR(IF(0=LEN(ReferenceData!$AC$175),"",ReferenceData!$AC$175),"")</f>
        <v>95</v>
      </c>
      <c r="AD175">
        <f ca="1">IFERROR(IF(0=LEN(ReferenceData!$AD$175),"",ReferenceData!$AD$175),"")</f>
        <v>89</v>
      </c>
      <c r="AE175">
        <f ca="1">IFERROR(IF(0=LEN(ReferenceData!$AE$175),"",ReferenceData!$AE$175),"")</f>
        <v>83</v>
      </c>
      <c r="AF175">
        <f ca="1">IFERROR(IF(0=LEN(ReferenceData!$AF$175),"",ReferenceData!$AF$175),"")</f>
        <v>83</v>
      </c>
      <c r="AG175">
        <f ca="1">IFERROR(IF(0=LEN(ReferenceData!$AG$175),"",ReferenceData!$AG$175),"")</f>
        <v>83</v>
      </c>
      <c r="AH175">
        <f ca="1">IFERROR(IF(0=LEN(ReferenceData!$AH$175),"",ReferenceData!$AH$175),"")</f>
        <v>80</v>
      </c>
      <c r="AI175">
        <f ca="1">IFERROR(IF(0=LEN(ReferenceData!$AI$175),"",ReferenceData!$AI$175),"")</f>
        <v>74</v>
      </c>
      <c r="AJ175">
        <f ca="1">IFERROR(IF(0=LEN(ReferenceData!$AJ$175),"",ReferenceData!$AJ$175),"")</f>
        <v>71</v>
      </c>
      <c r="AK175">
        <f ca="1">IFERROR(IF(0=LEN(ReferenceData!$AK$175),"",ReferenceData!$AK$175),"")</f>
        <v>92</v>
      </c>
      <c r="AL175">
        <f ca="1">IFERROR(IF(0=LEN(ReferenceData!$AL$175),"",ReferenceData!$AL$175),"")</f>
        <v>86</v>
      </c>
      <c r="AM175">
        <f ca="1">IFERROR(IF(0=LEN(ReferenceData!$AM$175),"",ReferenceData!$AM$175),"")</f>
        <v>92</v>
      </c>
      <c r="AN175">
        <f ca="1">IFERROR(IF(0=LEN(ReferenceData!$AN$175),"",ReferenceData!$AN$175),"")</f>
        <v>101</v>
      </c>
      <c r="AO175">
        <f ca="1">IFERROR(IF(0=LEN(ReferenceData!$AO$175),"",ReferenceData!$AO$175),"")</f>
        <v>93</v>
      </c>
      <c r="AP175">
        <f ca="1">IFERROR(IF(0=LEN(ReferenceData!$AP$175),"",ReferenceData!$AP$175),"")</f>
        <v>98</v>
      </c>
      <c r="AQ175">
        <f ca="1">IFERROR(IF(0=LEN(ReferenceData!$AQ$175),"",ReferenceData!$AQ$175),"")</f>
        <v>76</v>
      </c>
      <c r="AR175">
        <f ca="1">IFERROR(IF(0=LEN(ReferenceData!$AR$175),"",ReferenceData!$AR$175),"")</f>
        <v>47</v>
      </c>
      <c r="AS175">
        <f ca="1">IFERROR(IF(0=LEN(ReferenceData!$AS$175),"",ReferenceData!$AS$175),"")</f>
        <v>69</v>
      </c>
    </row>
    <row r="176" spans="1:45" x14ac:dyDescent="0.25">
      <c r="A176" t="str">
        <f>IFERROR(IF(0=LEN(ReferenceData!$A$176),"",ReferenceData!$A$176),"")</f>
        <v xml:space="preserve">    Other</v>
      </c>
      <c r="B176" t="str">
        <f>IFERROR(IF(0=LEN(ReferenceData!$B$176),"",ReferenceData!$B$176),"")</f>
        <v/>
      </c>
      <c r="C176" t="str">
        <f>IFERROR(IF(0=LEN(ReferenceData!$C$176),"",ReferenceData!$C$176),"")</f>
        <v/>
      </c>
      <c r="D176" t="str">
        <f>IFERROR(IF(0=LEN(ReferenceData!$D$176),"",ReferenceData!$D$176),"")</f>
        <v/>
      </c>
      <c r="E176" t="str">
        <f>IFERROR(IF(0=LEN(ReferenceData!$E$176),"",ReferenceData!$E$176),"")</f>
        <v>Expression</v>
      </c>
      <c r="F176">
        <f ca="1">IFERROR(IF(0=LEN(ReferenceData!$F$176),"",ReferenceData!$F$176),"")</f>
        <v>392</v>
      </c>
      <c r="G176">
        <f ca="1">IFERROR(IF(0=LEN(ReferenceData!$G$176),"",ReferenceData!$G$176),"")</f>
        <v>521</v>
      </c>
      <c r="H176">
        <f ca="1">IFERROR(IF(0=LEN(ReferenceData!$H$176),"",ReferenceData!$H$176),"")</f>
        <v>350</v>
      </c>
      <c r="I176">
        <f ca="1">IFERROR(IF(0=LEN(ReferenceData!$I$176),"",ReferenceData!$I$176),"")</f>
        <v>375</v>
      </c>
      <c r="J176">
        <f ca="1">IFERROR(IF(0=LEN(ReferenceData!$J$176),"",ReferenceData!$J$176),"")</f>
        <v>507</v>
      </c>
      <c r="K176">
        <f ca="1">IFERROR(IF(0=LEN(ReferenceData!$K$176),"",ReferenceData!$K$176),"")</f>
        <v>428</v>
      </c>
      <c r="L176">
        <f ca="1">IFERROR(IF(0=LEN(ReferenceData!$L$176),"",ReferenceData!$L$176),"")</f>
        <v>397</v>
      </c>
      <c r="M176">
        <f ca="1">IFERROR(IF(0=LEN(ReferenceData!$M$176),"",ReferenceData!$M$176),"")</f>
        <v>442</v>
      </c>
      <c r="N176">
        <f ca="1">IFERROR(IF(0=LEN(ReferenceData!$N$176),"",ReferenceData!$N$176),"")</f>
        <v>236</v>
      </c>
      <c r="O176">
        <f ca="1">IFERROR(IF(0=LEN(ReferenceData!$O$176),"",ReferenceData!$O$176),"")</f>
        <v>347</v>
      </c>
      <c r="P176">
        <f ca="1">IFERROR(IF(0=LEN(ReferenceData!$P$176),"",ReferenceData!$P$176),"")</f>
        <v>8</v>
      </c>
      <c r="Q176">
        <f ca="1">IFERROR(IF(0=LEN(ReferenceData!$Q$176),"",ReferenceData!$Q$176),"")</f>
        <v>10</v>
      </c>
      <c r="R176">
        <f ca="1">IFERROR(IF(0=LEN(ReferenceData!$R$176),"",ReferenceData!$R$176),"")</f>
        <v>3</v>
      </c>
      <c r="S176">
        <f ca="1">IFERROR(IF(0=LEN(ReferenceData!$S$176),"",ReferenceData!$S$176),"")</f>
        <v>24</v>
      </c>
      <c r="T176">
        <f ca="1">IFERROR(IF(0=LEN(ReferenceData!$T$176),"",ReferenceData!$T$176),"")</f>
        <v>18</v>
      </c>
      <c r="U176">
        <f ca="1">IFERROR(IF(0=LEN(ReferenceData!$U$176),"",ReferenceData!$U$176),"")</f>
        <v>11</v>
      </c>
      <c r="V176">
        <f ca="1">IFERROR(IF(0=LEN(ReferenceData!$V$176),"",ReferenceData!$V$176),"")</f>
        <v>30</v>
      </c>
      <c r="W176">
        <f ca="1">IFERROR(IF(0=LEN(ReferenceData!$W$176),"",ReferenceData!$W$176),"")</f>
        <v>9</v>
      </c>
      <c r="X176">
        <f ca="1">IFERROR(IF(0=LEN(ReferenceData!$X$176),"",ReferenceData!$X$176),"")</f>
        <v>7</v>
      </c>
      <c r="Y176">
        <f ca="1">IFERROR(IF(0=LEN(ReferenceData!$Y$176),"",ReferenceData!$Y$176),"")</f>
        <v>4</v>
      </c>
      <c r="Z176">
        <f ca="1">IFERROR(IF(0=LEN(ReferenceData!$Z$176),"",ReferenceData!$Z$176),"")</f>
        <v>0</v>
      </c>
      <c r="AA176">
        <f ca="1">IFERROR(IF(0=LEN(ReferenceData!$AA$176),"",ReferenceData!$AA$176),"")</f>
        <v>4</v>
      </c>
      <c r="AB176">
        <f ca="1">IFERROR(IF(0=LEN(ReferenceData!$AB$176),"",ReferenceData!$AB$176),"")</f>
        <v>3</v>
      </c>
      <c r="AC176">
        <f ca="1">IFERROR(IF(0=LEN(ReferenceData!$AC$176),"",ReferenceData!$AC$176),"")</f>
        <v>2</v>
      </c>
      <c r="AD176">
        <f ca="1">IFERROR(IF(0=LEN(ReferenceData!$AD$176),"",ReferenceData!$AD$176),"")</f>
        <v>5</v>
      </c>
      <c r="AE176">
        <f ca="1">IFERROR(IF(0=LEN(ReferenceData!$AE$176),"",ReferenceData!$AE$176),"")</f>
        <v>4</v>
      </c>
      <c r="AF176">
        <f ca="1">IFERROR(IF(0=LEN(ReferenceData!$AF$176),"",ReferenceData!$AF$176),"")</f>
        <v>15</v>
      </c>
      <c r="AG176">
        <f ca="1">IFERROR(IF(0=LEN(ReferenceData!$AG$176),"",ReferenceData!$AG$176),"")</f>
        <v>13</v>
      </c>
      <c r="AH176">
        <f ca="1">IFERROR(IF(0=LEN(ReferenceData!$AH$176),"",ReferenceData!$AH$176),"")</f>
        <v>15</v>
      </c>
      <c r="AI176">
        <f ca="1">IFERROR(IF(0=LEN(ReferenceData!$AI$176),"",ReferenceData!$AI$176),"")</f>
        <v>4</v>
      </c>
      <c r="AJ176">
        <f ca="1">IFERROR(IF(0=LEN(ReferenceData!$AJ$176),"",ReferenceData!$AJ$176),"")</f>
        <v>6</v>
      </c>
      <c r="AK176">
        <f ca="1">IFERROR(IF(0=LEN(ReferenceData!$AK$176),"",ReferenceData!$AK$176),"")</f>
        <v>1</v>
      </c>
      <c r="AL176">
        <f ca="1">IFERROR(IF(0=LEN(ReferenceData!$AL$176),"",ReferenceData!$AL$176),"")</f>
        <v>1</v>
      </c>
      <c r="AM176">
        <f ca="1">IFERROR(IF(0=LEN(ReferenceData!$AM$176),"",ReferenceData!$AM$176),"")</f>
        <v>3</v>
      </c>
      <c r="AN176">
        <f ca="1">IFERROR(IF(0=LEN(ReferenceData!$AN$176),"",ReferenceData!$AN$176),"")</f>
        <v>1</v>
      </c>
      <c r="AO176">
        <f ca="1">IFERROR(IF(0=LEN(ReferenceData!$AO$176),"",ReferenceData!$AO$176),"")</f>
        <v>7</v>
      </c>
      <c r="AP176">
        <f ca="1">IFERROR(IF(0=LEN(ReferenceData!$AP$176),"",ReferenceData!$AP$176),"")</f>
        <v>3</v>
      </c>
      <c r="AQ176">
        <f ca="1">IFERROR(IF(0=LEN(ReferenceData!$AQ$176),"",ReferenceData!$AQ$176),"")</f>
        <v>5</v>
      </c>
      <c r="AR176">
        <f ca="1">IFERROR(IF(0=LEN(ReferenceData!$AR$176),"",ReferenceData!$AR$176),"")</f>
        <v>11</v>
      </c>
      <c r="AS176">
        <f ca="1">IFERROR(IF(0=LEN(ReferenceData!$AS$176),"",ReferenceData!$AS$176),"")</f>
        <v>12</v>
      </c>
    </row>
    <row r="177" spans="1:45" x14ac:dyDescent="0.25">
      <c r="A177" t="str">
        <f>IFERROR(IF(0=LEN(ReferenceData!$A$177),"",ReferenceData!$A$177),"")</f>
        <v>United States (Class 8)</v>
      </c>
      <c r="B177" t="str">
        <f>IFERROR(IF(0=LEN(ReferenceData!$B$177),"",ReferenceData!$B$177),"")</f>
        <v>TRCKUS8S Index</v>
      </c>
      <c r="C177" t="str">
        <f>IFERROR(IF(0=LEN(ReferenceData!$C$177),"",ReferenceData!$C$177),"")</f>
        <v>PR005</v>
      </c>
      <c r="D177" t="str">
        <f>IFERROR(IF(0=LEN(ReferenceData!$D$177),"",ReferenceData!$D$177),"")</f>
        <v>PX_LAST</v>
      </c>
      <c r="E177" t="str">
        <f>IFERROR(IF(0=LEN(ReferenceData!$E$177),"",ReferenceData!$E$177),"")</f>
        <v>Dynamic</v>
      </c>
      <c r="F177">
        <f ca="1">IFERROR(IF(0=LEN(ReferenceData!$F$177),"",ReferenceData!$F$177),"")</f>
        <v>17928</v>
      </c>
      <c r="G177">
        <f ca="1">IFERROR(IF(0=LEN(ReferenceData!$G$177),"",ReferenceData!$G$177),"")</f>
        <v>17667</v>
      </c>
      <c r="H177">
        <f ca="1">IFERROR(IF(0=LEN(ReferenceData!$H$177),"",ReferenceData!$H$177),"")</f>
        <v>17166</v>
      </c>
      <c r="I177">
        <f ca="1">IFERROR(IF(0=LEN(ReferenceData!$I$177),"",ReferenceData!$I$177),"")</f>
        <v>15317</v>
      </c>
      <c r="J177">
        <f ca="1">IFERROR(IF(0=LEN(ReferenceData!$J$177),"",ReferenceData!$J$177),"")</f>
        <v>17310</v>
      </c>
      <c r="K177">
        <f ca="1">IFERROR(IF(0=LEN(ReferenceData!$K$177),"",ReferenceData!$K$177),"")</f>
        <v>16248</v>
      </c>
      <c r="L177">
        <f ca="1">IFERROR(IF(0=LEN(ReferenceData!$L$177),"",ReferenceData!$L$177),"")</f>
        <v>13836</v>
      </c>
      <c r="M177">
        <f ca="1">IFERROR(IF(0=LEN(ReferenceData!$M$177),"",ReferenceData!$M$177),"")</f>
        <v>14793</v>
      </c>
      <c r="N177">
        <f ca="1">IFERROR(IF(0=LEN(ReferenceData!$N$177),"",ReferenceData!$N$177),"")</f>
        <v>11200</v>
      </c>
      <c r="O177">
        <f ca="1">IFERROR(IF(0=LEN(ReferenceData!$O$177),"",ReferenceData!$O$177),"")</f>
        <v>10944</v>
      </c>
      <c r="P177">
        <f ca="1">IFERROR(IF(0=LEN(ReferenceData!$P$177),"",ReferenceData!$P$177),"")</f>
        <v>15629</v>
      </c>
      <c r="Q177">
        <f ca="1">IFERROR(IF(0=LEN(ReferenceData!$Q$177),"",ReferenceData!$Q$177),"")</f>
        <v>13943</v>
      </c>
      <c r="R177">
        <f ca="1">IFERROR(IF(0=LEN(ReferenceData!$R$177),"",ReferenceData!$R$177),"")</f>
        <v>13618</v>
      </c>
      <c r="S177">
        <f ca="1">IFERROR(IF(0=LEN(ReferenceData!$S$177),"",ReferenceData!$S$177),"")</f>
        <v>14968</v>
      </c>
      <c r="T177">
        <f ca="1">IFERROR(IF(0=LEN(ReferenceData!$T$177),"",ReferenceData!$T$177),"")</f>
        <v>16262</v>
      </c>
      <c r="U177">
        <f ca="1">IFERROR(IF(0=LEN(ReferenceData!$U$177),"",ReferenceData!$U$177),"")</f>
        <v>14085</v>
      </c>
      <c r="V177">
        <f ca="1">IFERROR(IF(0=LEN(ReferenceData!$V$177),"",ReferenceData!$V$177),"")</f>
        <v>18354</v>
      </c>
      <c r="W177">
        <f ca="1">IFERROR(IF(0=LEN(ReferenceData!$W$177),"",ReferenceData!$W$177),"")</f>
        <v>17312</v>
      </c>
      <c r="X177">
        <f ca="1">IFERROR(IF(0=LEN(ReferenceData!$X$177),"",ReferenceData!$X$177),"")</f>
        <v>16633</v>
      </c>
      <c r="Y177">
        <f ca="1">IFERROR(IF(0=LEN(ReferenceData!$Y$177),"",ReferenceData!$Y$177),"")</f>
        <v>20034</v>
      </c>
      <c r="Z177">
        <f ca="1">IFERROR(IF(0=LEN(ReferenceData!$Z$177),"",ReferenceData!$Z$177),"")</f>
        <v>15876</v>
      </c>
      <c r="AA177">
        <f ca="1">IFERROR(IF(0=LEN(ReferenceData!$AA$177),"",ReferenceData!$AA$177),"")</f>
        <v>15949</v>
      </c>
      <c r="AB177">
        <f ca="1">IFERROR(IF(0=LEN(ReferenceData!$AB$177),"",ReferenceData!$AB$177),"")</f>
        <v>20773</v>
      </c>
      <c r="AC177">
        <f ca="1">IFERROR(IF(0=LEN(ReferenceData!$AC$177),"",ReferenceData!$AC$177),"")</f>
        <v>19204</v>
      </c>
      <c r="AD177">
        <f ca="1">IFERROR(IF(0=LEN(ReferenceData!$AD$177),"",ReferenceData!$AD$177),"")</f>
        <v>19256</v>
      </c>
      <c r="AE177">
        <f ca="1">IFERROR(IF(0=LEN(ReferenceData!$AE$177),"",ReferenceData!$AE$177),"")</f>
        <v>20978</v>
      </c>
      <c r="AF177">
        <f ca="1">IFERROR(IF(0=LEN(ReferenceData!$AF$177),"",ReferenceData!$AF$177),"")</f>
        <v>21999</v>
      </c>
      <c r="AG177">
        <f ca="1">IFERROR(IF(0=LEN(ReferenceData!$AG$177),"",ReferenceData!$AG$177),"")</f>
        <v>23392</v>
      </c>
      <c r="AH177">
        <f ca="1">IFERROR(IF(0=LEN(ReferenceData!$AH$177),"",ReferenceData!$AH$177),"")</f>
        <v>25366</v>
      </c>
      <c r="AI177">
        <f ca="1">IFERROR(IF(0=LEN(ReferenceData!$AI$177),"",ReferenceData!$AI$177),"")</f>
        <v>21506</v>
      </c>
      <c r="AJ177">
        <f ca="1">IFERROR(IF(0=LEN(ReferenceData!$AJ$177),"",ReferenceData!$AJ$177),"")</f>
        <v>20509</v>
      </c>
      <c r="AK177">
        <f ca="1">IFERROR(IF(0=LEN(ReferenceData!$AK$177),"",ReferenceData!$AK$177),"")</f>
        <v>20628</v>
      </c>
      <c r="AL177">
        <f ca="1">IFERROR(IF(0=LEN(ReferenceData!$AL$177),"",ReferenceData!$AL$177),"")</f>
        <v>17820</v>
      </c>
      <c r="AM177">
        <f ca="1">IFERROR(IF(0=LEN(ReferenceData!$AM$177),"",ReferenceData!$AM$177),"")</f>
        <v>17373</v>
      </c>
      <c r="AN177">
        <f ca="1">IFERROR(IF(0=LEN(ReferenceData!$AN$177),"",ReferenceData!$AN$177),"")</f>
        <v>23379</v>
      </c>
      <c r="AO177">
        <f ca="1">IFERROR(IF(0=LEN(ReferenceData!$AO$177),"",ReferenceData!$AO$177),"")</f>
        <v>16706</v>
      </c>
      <c r="AP177">
        <f ca="1">IFERROR(IF(0=LEN(ReferenceData!$AP$177),"",ReferenceData!$AP$177),"")</f>
        <v>22032</v>
      </c>
      <c r="AQ177">
        <f ca="1">IFERROR(IF(0=LEN(ReferenceData!$AQ$177),"",ReferenceData!$AQ$177),"")</f>
        <v>20078</v>
      </c>
      <c r="AR177">
        <f ca="1">IFERROR(IF(0=LEN(ReferenceData!$AR$177),"",ReferenceData!$AR$177),"")</f>
        <v>19627</v>
      </c>
      <c r="AS177">
        <f ca="1">IFERROR(IF(0=LEN(ReferenceData!$AS$177),"",ReferenceData!$AS$177),"")</f>
        <v>18793</v>
      </c>
    </row>
    <row r="178" spans="1:45" x14ac:dyDescent="0.25">
      <c r="A178" t="str">
        <f>IFERROR(IF(0=LEN(ReferenceData!$A$178),"",ReferenceData!$A$178),"")</f>
        <v xml:space="preserve">    Daimler - Freightliner</v>
      </c>
      <c r="B178" t="str">
        <f>IFERROR(IF(0=LEN(ReferenceData!$B$178),"",ReferenceData!$B$178),"")</f>
        <v>DAI GR Equity</v>
      </c>
      <c r="C178" t="str">
        <f>IFERROR(IF(0=LEN(ReferenceData!$C$178),"",ReferenceData!$C$178),"")</f>
        <v>X1701</v>
      </c>
      <c r="D178" t="str">
        <f>IFERROR(IF(0=LEN(ReferenceData!$D$178),"",ReferenceData!$D$178),"")</f>
        <v>WARDS_RETAIL_SALES_UNITS</v>
      </c>
      <c r="E178" t="str">
        <f>IFERROR(IF(0=LEN(ReferenceData!$E$178),"",ReferenceData!$E$178),"")</f>
        <v>Dynamic</v>
      </c>
      <c r="F178">
        <f ca="1">IFERROR(IF(0=LEN(ReferenceData!$F$178),"",ReferenceData!$F$178),"")</f>
        <v>6334</v>
      </c>
      <c r="G178">
        <f ca="1">IFERROR(IF(0=LEN(ReferenceData!$G$178),"",ReferenceData!$G$178),"")</f>
        <v>7252</v>
      </c>
      <c r="H178">
        <f ca="1">IFERROR(IF(0=LEN(ReferenceData!$H$178),"",ReferenceData!$H$178),"")</f>
        <v>5848</v>
      </c>
      <c r="I178">
        <f ca="1">IFERROR(IF(0=LEN(ReferenceData!$I$178),"",ReferenceData!$I$178),"")</f>
        <v>5787</v>
      </c>
      <c r="J178">
        <f ca="1">IFERROR(IF(0=LEN(ReferenceData!$J$178),"",ReferenceData!$J$178),"")</f>
        <v>6313</v>
      </c>
      <c r="K178">
        <f ca="1">IFERROR(IF(0=LEN(ReferenceData!$K$178),"",ReferenceData!$K$178),"")</f>
        <v>6900</v>
      </c>
      <c r="L178">
        <f ca="1">IFERROR(IF(0=LEN(ReferenceData!$L$178),"",ReferenceData!$L$178),"")</f>
        <v>4965</v>
      </c>
      <c r="M178">
        <f ca="1">IFERROR(IF(0=LEN(ReferenceData!$M$178),"",ReferenceData!$M$178),"")</f>
        <v>5322</v>
      </c>
      <c r="N178">
        <f ca="1">IFERROR(IF(0=LEN(ReferenceData!$N$178),"",ReferenceData!$N$178),"")</f>
        <v>4310</v>
      </c>
      <c r="O178">
        <f ca="1">IFERROR(IF(0=LEN(ReferenceData!$O$178),"",ReferenceData!$O$178),"")</f>
        <v>4077</v>
      </c>
      <c r="P178">
        <f ca="1">IFERROR(IF(0=LEN(ReferenceData!$P$178),"",ReferenceData!$P$178),"")</f>
        <v>4375</v>
      </c>
      <c r="Q178">
        <f ca="1">IFERROR(IF(0=LEN(ReferenceData!$Q$178),"",ReferenceData!$Q$178),"")</f>
        <v>5538</v>
      </c>
      <c r="R178">
        <f ca="1">IFERROR(IF(0=LEN(ReferenceData!$R$178),"",ReferenceData!$R$178),"")</f>
        <v>4371</v>
      </c>
      <c r="S178">
        <f ca="1">IFERROR(IF(0=LEN(ReferenceData!$S$178),"",ReferenceData!$S$178),"")</f>
        <v>5131</v>
      </c>
      <c r="T178">
        <f ca="1">IFERROR(IF(0=LEN(ReferenceData!$T$178),"",ReferenceData!$T$178),"")</f>
        <v>6127</v>
      </c>
      <c r="U178">
        <f ca="1">IFERROR(IF(0=LEN(ReferenceData!$U$178),"",ReferenceData!$U$178),"")</f>
        <v>4912</v>
      </c>
      <c r="V178">
        <f ca="1">IFERROR(IF(0=LEN(ReferenceData!$V$178),"",ReferenceData!$V$178),"")</f>
        <v>6725</v>
      </c>
      <c r="W178">
        <f ca="1">IFERROR(IF(0=LEN(ReferenceData!$W$178),"",ReferenceData!$W$178),"")</f>
        <v>7012</v>
      </c>
      <c r="X178">
        <f ca="1">IFERROR(IF(0=LEN(ReferenceData!$X$178),"",ReferenceData!$X$178),"")</f>
        <v>6358</v>
      </c>
      <c r="Y178">
        <f ca="1">IFERROR(IF(0=LEN(ReferenceData!$Y$178),"",ReferenceData!$Y$178),"")</f>
        <v>8562</v>
      </c>
      <c r="Z178">
        <f ca="1">IFERROR(IF(0=LEN(ReferenceData!$Z$178),"",ReferenceData!$Z$178),"")</f>
        <v>6487</v>
      </c>
      <c r="AA178">
        <f ca="1">IFERROR(IF(0=LEN(ReferenceData!$AA$178),"",ReferenceData!$AA$178),"")</f>
        <v>6915</v>
      </c>
      <c r="AB178">
        <f ca="1">IFERROR(IF(0=LEN(ReferenceData!$AB$178),"",ReferenceData!$AB$178),"")</f>
        <v>6846</v>
      </c>
      <c r="AC178">
        <f ca="1">IFERROR(IF(0=LEN(ReferenceData!$AC$178),"",ReferenceData!$AC$178),"")</f>
        <v>9208</v>
      </c>
      <c r="AD178">
        <f ca="1">IFERROR(IF(0=LEN(ReferenceData!$AD$178),"",ReferenceData!$AD$178),"")</f>
        <v>8033</v>
      </c>
      <c r="AE178">
        <f ca="1">IFERROR(IF(0=LEN(ReferenceData!$AE$178),"",ReferenceData!$AE$178),"")</f>
        <v>8025</v>
      </c>
      <c r="AF178">
        <f ca="1">IFERROR(IF(0=LEN(ReferenceData!$AF$178),"",ReferenceData!$AF$178),"")</f>
        <v>8272</v>
      </c>
      <c r="AG178">
        <f ca="1">IFERROR(IF(0=LEN(ReferenceData!$AG$178),"",ReferenceData!$AG$178),"")</f>
        <v>9114</v>
      </c>
      <c r="AH178">
        <f ca="1">IFERROR(IF(0=LEN(ReferenceData!$AH$178),"",ReferenceData!$AH$178),"")</f>
        <v>9386</v>
      </c>
      <c r="AI178">
        <f ca="1">IFERROR(IF(0=LEN(ReferenceData!$AI$178),"",ReferenceData!$AI$178),"")</f>
        <v>8254</v>
      </c>
      <c r="AJ178">
        <f ca="1">IFERROR(IF(0=LEN(ReferenceData!$AJ$178),"",ReferenceData!$AJ$178),"")</f>
        <v>6689</v>
      </c>
      <c r="AK178">
        <f ca="1">IFERROR(IF(0=LEN(ReferenceData!$AK$178),"",ReferenceData!$AK$178),"")</f>
        <v>6776</v>
      </c>
      <c r="AL178">
        <f ca="1">IFERROR(IF(0=LEN(ReferenceData!$AL$178),"",ReferenceData!$AL$178),"")</f>
        <v>7002</v>
      </c>
      <c r="AM178">
        <f ca="1">IFERROR(IF(0=LEN(ReferenceData!$AM$178),"",ReferenceData!$AM$178),"")</f>
        <v>7755</v>
      </c>
      <c r="AN178">
        <f ca="1">IFERROR(IF(0=LEN(ReferenceData!$AN$178),"",ReferenceData!$AN$178),"")</f>
        <v>8187</v>
      </c>
      <c r="AO178">
        <f ca="1">IFERROR(IF(0=LEN(ReferenceData!$AO$178),"",ReferenceData!$AO$178),"")</f>
        <v>5691</v>
      </c>
      <c r="AP178">
        <f ca="1">IFERROR(IF(0=LEN(ReferenceData!$AP$178),"",ReferenceData!$AP$178),"")</f>
        <v>8153</v>
      </c>
      <c r="AQ178">
        <f ca="1">IFERROR(IF(0=LEN(ReferenceData!$AQ$178),"",ReferenceData!$AQ$178),"")</f>
        <v>7226</v>
      </c>
      <c r="AR178">
        <f ca="1">IFERROR(IF(0=LEN(ReferenceData!$AR$178),"",ReferenceData!$AR$178),"")</f>
        <v>7027</v>
      </c>
      <c r="AS178">
        <f ca="1">IFERROR(IF(0=LEN(ReferenceData!$AS$178),"",ReferenceData!$AS$178),"")</f>
        <v>6451</v>
      </c>
    </row>
    <row r="179" spans="1:45" x14ac:dyDescent="0.25">
      <c r="A179" t="str">
        <f>IFERROR(IF(0=LEN(ReferenceData!$A$179),"",ReferenceData!$A$179),"")</f>
        <v xml:space="preserve">    Daimler - Western Star</v>
      </c>
      <c r="B179" t="str">
        <f>IFERROR(IF(0=LEN(ReferenceData!$B$179),"",ReferenceData!$B$179),"")</f>
        <v>DAI GR Equity</v>
      </c>
      <c r="C179" t="str">
        <f>IFERROR(IF(0=LEN(ReferenceData!$C$179),"",ReferenceData!$C$179),"")</f>
        <v>X1701</v>
      </c>
      <c r="D179" t="str">
        <f>IFERROR(IF(0=LEN(ReferenceData!$D$179),"",ReferenceData!$D$179),"")</f>
        <v>WARDS_RETAIL_SALES_UNITS</v>
      </c>
      <c r="E179" t="str">
        <f>IFERROR(IF(0=LEN(ReferenceData!$E$179),"",ReferenceData!$E$179),"")</f>
        <v>Dynamic</v>
      </c>
      <c r="F179">
        <f ca="1">IFERROR(IF(0=LEN(ReferenceData!$F$179),"",ReferenceData!$F$179),"")</f>
        <v>373</v>
      </c>
      <c r="G179">
        <f ca="1">IFERROR(IF(0=LEN(ReferenceData!$G$179),"",ReferenceData!$G$179),"")</f>
        <v>413</v>
      </c>
      <c r="H179">
        <f ca="1">IFERROR(IF(0=LEN(ReferenceData!$H$179),"",ReferenceData!$H$179),"")</f>
        <v>473</v>
      </c>
      <c r="I179">
        <f ca="1">IFERROR(IF(0=LEN(ReferenceData!$I$179),"",ReferenceData!$I$179),"")</f>
        <v>442</v>
      </c>
      <c r="J179">
        <f ca="1">IFERROR(IF(0=LEN(ReferenceData!$J$179),"",ReferenceData!$J$179),"")</f>
        <v>560</v>
      </c>
      <c r="K179">
        <f ca="1">IFERROR(IF(0=LEN(ReferenceData!$K$179),"",ReferenceData!$K$179),"")</f>
        <v>405</v>
      </c>
      <c r="L179">
        <f ca="1">IFERROR(IF(0=LEN(ReferenceData!$L$179),"",ReferenceData!$L$179),"")</f>
        <v>432</v>
      </c>
      <c r="M179">
        <f ca="1">IFERROR(IF(0=LEN(ReferenceData!$M$179),"",ReferenceData!$M$179),"")</f>
        <v>447</v>
      </c>
      <c r="N179">
        <f ca="1">IFERROR(IF(0=LEN(ReferenceData!$N$179),"",ReferenceData!$N$179),"")</f>
        <v>281</v>
      </c>
      <c r="O179">
        <f ca="1">IFERROR(IF(0=LEN(ReferenceData!$O$179),"",ReferenceData!$O$179),"")</f>
        <v>272</v>
      </c>
      <c r="P179">
        <f ca="1">IFERROR(IF(0=LEN(ReferenceData!$P$179),"",ReferenceData!$P$179),"")</f>
        <v>521</v>
      </c>
      <c r="Q179">
        <f ca="1">IFERROR(IF(0=LEN(ReferenceData!$Q$179),"",ReferenceData!$Q$179),"")</f>
        <v>403</v>
      </c>
      <c r="R179">
        <f ca="1">IFERROR(IF(0=LEN(ReferenceData!$R$179),"",ReferenceData!$R$179),"")</f>
        <v>323</v>
      </c>
      <c r="S179">
        <f ca="1">IFERROR(IF(0=LEN(ReferenceData!$S$179),"",ReferenceData!$S$179),"")</f>
        <v>333</v>
      </c>
      <c r="T179">
        <f ca="1">IFERROR(IF(0=LEN(ReferenceData!$T$179),"",ReferenceData!$T$179),"")</f>
        <v>386</v>
      </c>
      <c r="U179">
        <f ca="1">IFERROR(IF(0=LEN(ReferenceData!$U$179),"",ReferenceData!$U$179),"")</f>
        <v>385</v>
      </c>
      <c r="V179">
        <f ca="1">IFERROR(IF(0=LEN(ReferenceData!$V$179),"",ReferenceData!$V$179),"")</f>
        <v>453</v>
      </c>
      <c r="W179">
        <f ca="1">IFERROR(IF(0=LEN(ReferenceData!$W$179),"",ReferenceData!$W$179),"")</f>
        <v>463</v>
      </c>
      <c r="X179">
        <f ca="1">IFERROR(IF(0=LEN(ReferenceData!$X$179),"",ReferenceData!$X$179),"")</f>
        <v>483</v>
      </c>
      <c r="Y179">
        <f ca="1">IFERROR(IF(0=LEN(ReferenceData!$Y$179),"",ReferenceData!$Y$179),"")</f>
        <v>475</v>
      </c>
      <c r="Z179">
        <f ca="1">IFERROR(IF(0=LEN(ReferenceData!$Z$179),"",ReferenceData!$Z$179),"")</f>
        <v>371</v>
      </c>
      <c r="AA179">
        <f ca="1">IFERROR(IF(0=LEN(ReferenceData!$AA$179),"",ReferenceData!$AA$179),"")</f>
        <v>353</v>
      </c>
      <c r="AB179">
        <f ca="1">IFERROR(IF(0=LEN(ReferenceData!$AB$179),"",ReferenceData!$AB$179),"")</f>
        <v>576</v>
      </c>
      <c r="AC179">
        <f ca="1">IFERROR(IF(0=LEN(ReferenceData!$AC$179),"",ReferenceData!$AC$179),"")</f>
        <v>382</v>
      </c>
      <c r="AD179">
        <f ca="1">IFERROR(IF(0=LEN(ReferenceData!$AD$179),"",ReferenceData!$AD$179),"")</f>
        <v>392</v>
      </c>
      <c r="AE179">
        <f ca="1">IFERROR(IF(0=LEN(ReferenceData!$AE$179),"",ReferenceData!$AE$179),"")</f>
        <v>375</v>
      </c>
      <c r="AF179">
        <f ca="1">IFERROR(IF(0=LEN(ReferenceData!$AF$179),"",ReferenceData!$AF$179),"")</f>
        <v>406</v>
      </c>
      <c r="AG179">
        <f ca="1">IFERROR(IF(0=LEN(ReferenceData!$AG$179),"",ReferenceData!$AG$179),"")</f>
        <v>355</v>
      </c>
      <c r="AH179">
        <f ca="1">IFERROR(IF(0=LEN(ReferenceData!$AH$179),"",ReferenceData!$AH$179),"")</f>
        <v>536</v>
      </c>
      <c r="AI179">
        <f ca="1">IFERROR(IF(0=LEN(ReferenceData!$AI$179),"",ReferenceData!$AI$179),"")</f>
        <v>391</v>
      </c>
      <c r="AJ179">
        <f ca="1">IFERROR(IF(0=LEN(ReferenceData!$AJ$179),"",ReferenceData!$AJ$179),"")</f>
        <v>376</v>
      </c>
      <c r="AK179">
        <f ca="1">IFERROR(IF(0=LEN(ReferenceData!$AK$179),"",ReferenceData!$AK$179),"")</f>
        <v>407</v>
      </c>
      <c r="AL179">
        <f ca="1">IFERROR(IF(0=LEN(ReferenceData!$AL$179),"",ReferenceData!$AL$179),"")</f>
        <v>333</v>
      </c>
      <c r="AM179">
        <f ca="1">IFERROR(IF(0=LEN(ReferenceData!$AM$179),"",ReferenceData!$AM$179),"")</f>
        <v>325</v>
      </c>
      <c r="AN179">
        <f ca="1">IFERROR(IF(0=LEN(ReferenceData!$AN$179),"",ReferenceData!$AN$179),"")</f>
        <v>646</v>
      </c>
      <c r="AO179">
        <f ca="1">IFERROR(IF(0=LEN(ReferenceData!$AO$179),"",ReferenceData!$AO$179),"")</f>
        <v>289</v>
      </c>
      <c r="AP179">
        <f ca="1">IFERROR(IF(0=LEN(ReferenceData!$AP$179),"",ReferenceData!$AP$179),"")</f>
        <v>349</v>
      </c>
      <c r="AQ179">
        <f ca="1">IFERROR(IF(0=LEN(ReferenceData!$AQ$179),"",ReferenceData!$AQ$179),"")</f>
        <v>250</v>
      </c>
      <c r="AR179">
        <f ca="1">IFERROR(IF(0=LEN(ReferenceData!$AR$179),"",ReferenceData!$AR$179),"")</f>
        <v>370</v>
      </c>
      <c r="AS179">
        <f ca="1">IFERROR(IF(0=LEN(ReferenceData!$AS$179),"",ReferenceData!$AS$179),"")</f>
        <v>221</v>
      </c>
    </row>
    <row r="180" spans="1:45" x14ac:dyDescent="0.25">
      <c r="A180" t="str">
        <f>IFERROR(IF(0=LEN(ReferenceData!$A$180),"",ReferenceData!$A$180),"")</f>
        <v xml:space="preserve">    Daimler - Sterling</v>
      </c>
      <c r="B180" t="str">
        <f>IFERROR(IF(0=LEN(ReferenceData!$B$180),"",ReferenceData!$B$180),"")</f>
        <v>DAI GR Equity</v>
      </c>
      <c r="C180" t="str">
        <f>IFERROR(IF(0=LEN(ReferenceData!$C$180),"",ReferenceData!$C$180),"")</f>
        <v>X1701</v>
      </c>
      <c r="D180" t="str">
        <f>IFERROR(IF(0=LEN(ReferenceData!$D$180),"",ReferenceData!$D$180),"")</f>
        <v>WARDS_RETAIL_SALES_UNITS</v>
      </c>
      <c r="E180" t="str">
        <f>IFERROR(IF(0=LEN(ReferenceData!$E$180),"",ReferenceData!$E$180),"")</f>
        <v>Dynamic</v>
      </c>
      <c r="F180" t="str">
        <f ca="1">IFERROR(IF(0=LEN(ReferenceData!$F$180),"",ReferenceData!$F$180),"")</f>
        <v/>
      </c>
      <c r="G180" t="str">
        <f ca="1">IFERROR(IF(0=LEN(ReferenceData!$G$180),"",ReferenceData!$G$180),"")</f>
        <v/>
      </c>
      <c r="H180" t="str">
        <f ca="1">IFERROR(IF(0=LEN(ReferenceData!$H$180),"",ReferenceData!$H$180),"")</f>
        <v/>
      </c>
      <c r="I180" t="str">
        <f ca="1">IFERROR(IF(0=LEN(ReferenceData!$I$180),"",ReferenceData!$I$180),"")</f>
        <v/>
      </c>
      <c r="J180" t="str">
        <f ca="1">IFERROR(IF(0=LEN(ReferenceData!$J$180),"",ReferenceData!$J$180),"")</f>
        <v/>
      </c>
      <c r="K180" t="str">
        <f ca="1">IFERROR(IF(0=LEN(ReferenceData!$K$180),"",ReferenceData!$K$180),"")</f>
        <v/>
      </c>
      <c r="L180" t="str">
        <f ca="1">IFERROR(IF(0=LEN(ReferenceData!$L$180),"",ReferenceData!$L$180),"")</f>
        <v/>
      </c>
      <c r="M180" t="str">
        <f ca="1">IFERROR(IF(0=LEN(ReferenceData!$M$180),"",ReferenceData!$M$180),"")</f>
        <v/>
      </c>
      <c r="N180" t="str">
        <f ca="1">IFERROR(IF(0=LEN(ReferenceData!$N$180),"",ReferenceData!$N$180),"")</f>
        <v/>
      </c>
      <c r="O180" t="str">
        <f ca="1">IFERROR(IF(0=LEN(ReferenceData!$O$180),"",ReferenceData!$O$180),"")</f>
        <v/>
      </c>
      <c r="P180" t="str">
        <f ca="1">IFERROR(IF(0=LEN(ReferenceData!$P$180),"",ReferenceData!$P$180),"")</f>
        <v/>
      </c>
      <c r="Q180" t="str">
        <f ca="1">IFERROR(IF(0=LEN(ReferenceData!$Q$180),"",ReferenceData!$Q$180),"")</f>
        <v/>
      </c>
      <c r="R180" t="str">
        <f ca="1">IFERROR(IF(0=LEN(ReferenceData!$R$180),"",ReferenceData!$R$180),"")</f>
        <v/>
      </c>
      <c r="S180" t="str">
        <f ca="1">IFERROR(IF(0=LEN(ReferenceData!$S$180),"",ReferenceData!$S$180),"")</f>
        <v/>
      </c>
      <c r="T180" t="str">
        <f ca="1">IFERROR(IF(0=LEN(ReferenceData!$T$180),"",ReferenceData!$T$180),"")</f>
        <v/>
      </c>
      <c r="U180" t="str">
        <f ca="1">IFERROR(IF(0=LEN(ReferenceData!$U$180),"",ReferenceData!$U$180),"")</f>
        <v/>
      </c>
      <c r="V180" t="str">
        <f ca="1">IFERROR(IF(0=LEN(ReferenceData!$V$180),"",ReferenceData!$V$180),"")</f>
        <v/>
      </c>
      <c r="W180" t="str">
        <f ca="1">IFERROR(IF(0=LEN(ReferenceData!$W$180),"",ReferenceData!$W$180),"")</f>
        <v/>
      </c>
      <c r="X180" t="str">
        <f ca="1">IFERROR(IF(0=LEN(ReferenceData!$X$180),"",ReferenceData!$X$180),"")</f>
        <v/>
      </c>
      <c r="Y180" t="str">
        <f ca="1">IFERROR(IF(0=LEN(ReferenceData!$Y$180),"",ReferenceData!$Y$180),"")</f>
        <v/>
      </c>
      <c r="Z180" t="str">
        <f ca="1">IFERROR(IF(0=LEN(ReferenceData!$Z$180),"",ReferenceData!$Z$180),"")</f>
        <v/>
      </c>
      <c r="AA180" t="str">
        <f ca="1">IFERROR(IF(0=LEN(ReferenceData!$AA$180),"",ReferenceData!$AA$180),"")</f>
        <v/>
      </c>
      <c r="AB180" t="str">
        <f ca="1">IFERROR(IF(0=LEN(ReferenceData!$AB$180),"",ReferenceData!$AB$180),"")</f>
        <v/>
      </c>
      <c r="AC180" t="str">
        <f ca="1">IFERROR(IF(0=LEN(ReferenceData!$AC$180),"",ReferenceData!$AC$180),"")</f>
        <v/>
      </c>
      <c r="AD180" t="str">
        <f ca="1">IFERROR(IF(0=LEN(ReferenceData!$AD$180),"",ReferenceData!$AD$180),"")</f>
        <v/>
      </c>
      <c r="AE180" t="str">
        <f ca="1">IFERROR(IF(0=LEN(ReferenceData!$AE$180),"",ReferenceData!$AE$180),"")</f>
        <v/>
      </c>
      <c r="AF180" t="str">
        <f ca="1">IFERROR(IF(0=LEN(ReferenceData!$AF$180),"",ReferenceData!$AF$180),"")</f>
        <v/>
      </c>
      <c r="AG180" t="str">
        <f ca="1">IFERROR(IF(0=LEN(ReferenceData!$AG$180),"",ReferenceData!$AG$180),"")</f>
        <v/>
      </c>
      <c r="AH180" t="str">
        <f ca="1">IFERROR(IF(0=LEN(ReferenceData!$AH$180),"",ReferenceData!$AH$180),"")</f>
        <v/>
      </c>
      <c r="AI180" t="str">
        <f ca="1">IFERROR(IF(0=LEN(ReferenceData!$AI$180),"",ReferenceData!$AI$180),"")</f>
        <v/>
      </c>
      <c r="AJ180" t="str">
        <f ca="1">IFERROR(IF(0=LEN(ReferenceData!$AJ$180),"",ReferenceData!$AJ$180),"")</f>
        <v/>
      </c>
      <c r="AK180" t="str">
        <f ca="1">IFERROR(IF(0=LEN(ReferenceData!$AK$180),"",ReferenceData!$AK$180),"")</f>
        <v/>
      </c>
      <c r="AL180" t="str">
        <f ca="1">IFERROR(IF(0=LEN(ReferenceData!$AL$180),"",ReferenceData!$AL$180),"")</f>
        <v/>
      </c>
      <c r="AM180" t="str">
        <f ca="1">IFERROR(IF(0=LEN(ReferenceData!$AM$180),"",ReferenceData!$AM$180),"")</f>
        <v/>
      </c>
      <c r="AN180" t="str">
        <f ca="1">IFERROR(IF(0=LEN(ReferenceData!$AN$180),"",ReferenceData!$AN$180),"")</f>
        <v/>
      </c>
      <c r="AO180" t="str">
        <f ca="1">IFERROR(IF(0=LEN(ReferenceData!$AO$180),"",ReferenceData!$AO$180),"")</f>
        <v/>
      </c>
      <c r="AP180" t="str">
        <f ca="1">IFERROR(IF(0=LEN(ReferenceData!$AP$180),"",ReferenceData!$AP$180),"")</f>
        <v/>
      </c>
      <c r="AQ180" t="str">
        <f ca="1">IFERROR(IF(0=LEN(ReferenceData!$AQ$180),"",ReferenceData!$AQ$180),"")</f>
        <v/>
      </c>
      <c r="AR180" t="str">
        <f ca="1">IFERROR(IF(0=LEN(ReferenceData!$AR$180),"",ReferenceData!$AR$180),"")</f>
        <v/>
      </c>
      <c r="AS180" t="str">
        <f ca="1">IFERROR(IF(0=LEN(ReferenceData!$AS$180),"",ReferenceData!$AS$180),"")</f>
        <v/>
      </c>
    </row>
    <row r="181" spans="1:45" x14ac:dyDescent="0.25">
      <c r="A181" t="str">
        <f>IFERROR(IF(0=LEN(ReferenceData!$A$181),"",ReferenceData!$A$181),"")</f>
        <v xml:space="preserve">    PACCAR - Kenworth</v>
      </c>
      <c r="B181" t="str">
        <f>IFERROR(IF(0=LEN(ReferenceData!$B$181),"",ReferenceData!$B$181),"")</f>
        <v>PCAR US Equity</v>
      </c>
      <c r="C181" t="str">
        <f>IFERROR(IF(0=LEN(ReferenceData!$C$181),"",ReferenceData!$C$181),"")</f>
        <v>X1701</v>
      </c>
      <c r="D181" t="str">
        <f>IFERROR(IF(0=LEN(ReferenceData!$D$181),"",ReferenceData!$D$181),"")</f>
        <v>WARDS_RETAIL_SALES_UNITS</v>
      </c>
      <c r="E181" t="str">
        <f>IFERROR(IF(0=LEN(ReferenceData!$E$181),"",ReferenceData!$E$181),"")</f>
        <v>Dynamic</v>
      </c>
      <c r="F181">
        <f ca="1">IFERROR(IF(0=LEN(ReferenceData!$F$181),"",ReferenceData!$F$181),"")</f>
        <v>2769</v>
      </c>
      <c r="G181">
        <f ca="1">IFERROR(IF(0=LEN(ReferenceData!$G$181),"",ReferenceData!$G$181),"")</f>
        <v>2689</v>
      </c>
      <c r="H181">
        <f ca="1">IFERROR(IF(0=LEN(ReferenceData!$H$181),"",ReferenceData!$H$181),"")</f>
        <v>2427</v>
      </c>
      <c r="I181">
        <f ca="1">IFERROR(IF(0=LEN(ReferenceData!$I$181),"",ReferenceData!$I$181),"")</f>
        <v>2432</v>
      </c>
      <c r="J181">
        <f ca="1">IFERROR(IF(0=LEN(ReferenceData!$J$181),"",ReferenceData!$J$181),"")</f>
        <v>2530</v>
      </c>
      <c r="K181">
        <f ca="1">IFERROR(IF(0=LEN(ReferenceData!$K$181),"",ReferenceData!$K$181),"")</f>
        <v>2414</v>
      </c>
      <c r="L181">
        <f ca="1">IFERROR(IF(0=LEN(ReferenceData!$L$181),"",ReferenceData!$L$181),"")</f>
        <v>2323</v>
      </c>
      <c r="M181">
        <f ca="1">IFERROR(IF(0=LEN(ReferenceData!$M$181),"",ReferenceData!$M$181),"")</f>
        <v>2112</v>
      </c>
      <c r="N181">
        <f ca="1">IFERROR(IF(0=LEN(ReferenceData!$N$181),"",ReferenceData!$N$181),"")</f>
        <v>1331</v>
      </c>
      <c r="O181">
        <f ca="1">IFERROR(IF(0=LEN(ReferenceData!$O$181),"",ReferenceData!$O$181),"")</f>
        <v>1188</v>
      </c>
      <c r="P181">
        <f ca="1">IFERROR(IF(0=LEN(ReferenceData!$P$181),"",ReferenceData!$P$181),"")</f>
        <v>3079</v>
      </c>
      <c r="Q181">
        <f ca="1">IFERROR(IF(0=LEN(ReferenceData!$Q$181),"",ReferenceData!$Q$181),"")</f>
        <v>1965</v>
      </c>
      <c r="R181">
        <f ca="1">IFERROR(IF(0=LEN(ReferenceData!$R$181),"",ReferenceData!$R$181),"")</f>
        <v>2108</v>
      </c>
      <c r="S181">
        <f ca="1">IFERROR(IF(0=LEN(ReferenceData!$S$181),"",ReferenceData!$S$181),"")</f>
        <v>2791</v>
      </c>
      <c r="T181">
        <f ca="1">IFERROR(IF(0=LEN(ReferenceData!$T$181),"",ReferenceData!$T$181),"")</f>
        <v>2516</v>
      </c>
      <c r="U181">
        <f ca="1">IFERROR(IF(0=LEN(ReferenceData!$U$181),"",ReferenceData!$U$181),"")</f>
        <v>2333</v>
      </c>
      <c r="V181">
        <f ca="1">IFERROR(IF(0=LEN(ReferenceData!$V$181),"",ReferenceData!$V$181),"")</f>
        <v>2741</v>
      </c>
      <c r="W181">
        <f ca="1">IFERROR(IF(0=LEN(ReferenceData!$W$181),"",ReferenceData!$W$181),"")</f>
        <v>2587</v>
      </c>
      <c r="X181">
        <f ca="1">IFERROR(IF(0=LEN(ReferenceData!$X$181),"",ReferenceData!$X$181),"")</f>
        <v>2538</v>
      </c>
      <c r="Y181">
        <f ca="1">IFERROR(IF(0=LEN(ReferenceData!$Y$181),"",ReferenceData!$Y$181),"")</f>
        <v>2926</v>
      </c>
      <c r="Z181">
        <f ca="1">IFERROR(IF(0=LEN(ReferenceData!$Z$181),"",ReferenceData!$Z$181),"")</f>
        <v>2208</v>
      </c>
      <c r="AA181">
        <f ca="1">IFERROR(IF(0=LEN(ReferenceData!$AA$181),"",ReferenceData!$AA$181),"")</f>
        <v>1682</v>
      </c>
      <c r="AB181">
        <f ca="1">IFERROR(IF(0=LEN(ReferenceData!$AB$181),"",ReferenceData!$AB$181),"")</f>
        <v>3019</v>
      </c>
      <c r="AC181">
        <f ca="1">IFERROR(IF(0=LEN(ReferenceData!$AC$181),"",ReferenceData!$AC$181),"")</f>
        <v>2672</v>
      </c>
      <c r="AD181">
        <f ca="1">IFERROR(IF(0=LEN(ReferenceData!$AD$181),"",ReferenceData!$AD$181),"")</f>
        <v>2922</v>
      </c>
      <c r="AE181">
        <f ca="1">IFERROR(IF(0=LEN(ReferenceData!$AE$181),"",ReferenceData!$AE$181),"")</f>
        <v>3390</v>
      </c>
      <c r="AF181">
        <f ca="1">IFERROR(IF(0=LEN(ReferenceData!$AF$181),"",ReferenceData!$AF$181),"")</f>
        <v>3598</v>
      </c>
      <c r="AG181">
        <f ca="1">IFERROR(IF(0=LEN(ReferenceData!$AG$181),"",ReferenceData!$AG$181),"")</f>
        <v>3486</v>
      </c>
      <c r="AH181">
        <f ca="1">IFERROR(IF(0=LEN(ReferenceData!$AH$181),"",ReferenceData!$AH$181),"")</f>
        <v>3734</v>
      </c>
      <c r="AI181">
        <f ca="1">IFERROR(IF(0=LEN(ReferenceData!$AI$181),"",ReferenceData!$AI$181),"")</f>
        <v>3145</v>
      </c>
      <c r="AJ181">
        <f ca="1">IFERROR(IF(0=LEN(ReferenceData!$AJ$181),"",ReferenceData!$AJ$181),"")</f>
        <v>3417</v>
      </c>
      <c r="AK181">
        <f ca="1">IFERROR(IF(0=LEN(ReferenceData!$AK$181),"",ReferenceData!$AK$181),"")</f>
        <v>2952</v>
      </c>
      <c r="AL181">
        <f ca="1">IFERROR(IF(0=LEN(ReferenceData!$AL$181),"",ReferenceData!$AL$181),"")</f>
        <v>2695</v>
      </c>
      <c r="AM181">
        <f ca="1">IFERROR(IF(0=LEN(ReferenceData!$AM$181),"",ReferenceData!$AM$181),"")</f>
        <v>2171</v>
      </c>
      <c r="AN181">
        <f ca="1">IFERROR(IF(0=LEN(ReferenceData!$AN$181),"",ReferenceData!$AN$181),"")</f>
        <v>3625</v>
      </c>
      <c r="AO181">
        <f ca="1">IFERROR(IF(0=LEN(ReferenceData!$AO$181),"",ReferenceData!$AO$181),"")</f>
        <v>2665</v>
      </c>
      <c r="AP181">
        <f ca="1">IFERROR(IF(0=LEN(ReferenceData!$AP$181),"",ReferenceData!$AP$181),"")</f>
        <v>3048</v>
      </c>
      <c r="AQ181">
        <f ca="1">IFERROR(IF(0=LEN(ReferenceData!$AQ$181),"",ReferenceData!$AQ$181),"")</f>
        <v>2780</v>
      </c>
      <c r="AR181">
        <f ca="1">IFERROR(IF(0=LEN(ReferenceData!$AR$181),"",ReferenceData!$AR$181),"")</f>
        <v>2634</v>
      </c>
      <c r="AS181">
        <f ca="1">IFERROR(IF(0=LEN(ReferenceData!$AS$181),"",ReferenceData!$AS$181),"")</f>
        <v>2698</v>
      </c>
    </row>
    <row r="182" spans="1:45" x14ac:dyDescent="0.25">
      <c r="A182" t="str">
        <f>IFERROR(IF(0=LEN(ReferenceData!$A$182),"",ReferenceData!$A$182),"")</f>
        <v xml:space="preserve">    PACCAR - Peterbilt</v>
      </c>
      <c r="B182" t="str">
        <f>IFERROR(IF(0=LEN(ReferenceData!$B$182),"",ReferenceData!$B$182),"")</f>
        <v>PCAR US Equity</v>
      </c>
      <c r="C182" t="str">
        <f>IFERROR(IF(0=LEN(ReferenceData!$C$182),"",ReferenceData!$C$182),"")</f>
        <v>X1701</v>
      </c>
      <c r="D182" t="str">
        <f>IFERROR(IF(0=LEN(ReferenceData!$D$182),"",ReferenceData!$D$182),"")</f>
        <v>WARDS_RETAIL_SALES_UNITS</v>
      </c>
      <c r="E182" t="str">
        <f>IFERROR(IF(0=LEN(ReferenceData!$E$182),"",ReferenceData!$E$182),"")</f>
        <v>Dynamic</v>
      </c>
      <c r="F182">
        <f ca="1">IFERROR(IF(0=LEN(ReferenceData!$F$182),"",ReferenceData!$F$182),"")</f>
        <v>3076</v>
      </c>
      <c r="G182">
        <f ca="1">IFERROR(IF(0=LEN(ReferenceData!$G$182),"",ReferenceData!$G$182),"")</f>
        <v>2604</v>
      </c>
      <c r="H182">
        <f ca="1">IFERROR(IF(0=LEN(ReferenceData!$H$182),"",ReferenceData!$H$182),"")</f>
        <v>2761</v>
      </c>
      <c r="I182">
        <f ca="1">IFERROR(IF(0=LEN(ReferenceData!$I$182),"",ReferenceData!$I$182),"")</f>
        <v>2587</v>
      </c>
      <c r="J182">
        <f ca="1">IFERROR(IF(0=LEN(ReferenceData!$J$182),"",ReferenceData!$J$182),"")</f>
        <v>2781</v>
      </c>
      <c r="K182">
        <f ca="1">IFERROR(IF(0=LEN(ReferenceData!$K$182),"",ReferenceData!$K$182),"")</f>
        <v>2454</v>
      </c>
      <c r="L182">
        <f ca="1">IFERROR(IF(0=LEN(ReferenceData!$L$182),"",ReferenceData!$L$182),"")</f>
        <v>2285</v>
      </c>
      <c r="M182">
        <f ca="1">IFERROR(IF(0=LEN(ReferenceData!$M$182),"",ReferenceData!$M$182),"")</f>
        <v>2192</v>
      </c>
      <c r="N182">
        <f ca="1">IFERROR(IF(0=LEN(ReferenceData!$N$182),"",ReferenceData!$N$182),"")</f>
        <v>1816</v>
      </c>
      <c r="O182">
        <f ca="1">IFERROR(IF(0=LEN(ReferenceData!$O$182),"",ReferenceData!$O$182),"")</f>
        <v>1862</v>
      </c>
      <c r="P182">
        <f ca="1">IFERROR(IF(0=LEN(ReferenceData!$P$182),"",ReferenceData!$P$182),"")</f>
        <v>2120</v>
      </c>
      <c r="Q182">
        <f ca="1">IFERROR(IF(0=LEN(ReferenceData!$Q$182),"",ReferenceData!$Q$182),"")</f>
        <v>2062</v>
      </c>
      <c r="R182">
        <f ca="1">IFERROR(IF(0=LEN(ReferenceData!$R$182),"",ReferenceData!$R$182),"")</f>
        <v>2069</v>
      </c>
      <c r="S182">
        <f ca="1">IFERROR(IF(0=LEN(ReferenceData!$S$182),"",ReferenceData!$S$182),"")</f>
        <v>2152</v>
      </c>
      <c r="T182">
        <f ca="1">IFERROR(IF(0=LEN(ReferenceData!$T$182),"",ReferenceData!$T$182),"")</f>
        <v>2260</v>
      </c>
      <c r="U182">
        <f ca="1">IFERROR(IF(0=LEN(ReferenceData!$U$182),"",ReferenceData!$U$182),"")</f>
        <v>2236</v>
      </c>
      <c r="V182">
        <f ca="1">IFERROR(IF(0=LEN(ReferenceData!$V$182),"",ReferenceData!$V$182),"")</f>
        <v>2333</v>
      </c>
      <c r="W182">
        <f ca="1">IFERROR(IF(0=LEN(ReferenceData!$W$182),"",ReferenceData!$W$182),"")</f>
        <v>2347</v>
      </c>
      <c r="X182">
        <f ca="1">IFERROR(IF(0=LEN(ReferenceData!$X$182),"",ReferenceData!$X$182),"")</f>
        <v>2332</v>
      </c>
      <c r="Y182">
        <f ca="1">IFERROR(IF(0=LEN(ReferenceData!$Y$182),"",ReferenceData!$Y$182),"")</f>
        <v>2327</v>
      </c>
      <c r="Z182">
        <f ca="1">IFERROR(IF(0=LEN(ReferenceData!$Z$182),"",ReferenceData!$Z$182),"")</f>
        <v>2169</v>
      </c>
      <c r="AA182">
        <f ca="1">IFERROR(IF(0=LEN(ReferenceData!$AA$182),"",ReferenceData!$AA$182),"")</f>
        <v>2124</v>
      </c>
      <c r="AB182">
        <f ca="1">IFERROR(IF(0=LEN(ReferenceData!$AB$182),"",ReferenceData!$AB$182),"")</f>
        <v>2419</v>
      </c>
      <c r="AC182">
        <f ca="1">IFERROR(IF(0=LEN(ReferenceData!$AC$182),"",ReferenceData!$AC$182),"")</f>
        <v>1857</v>
      </c>
      <c r="AD182">
        <f ca="1">IFERROR(IF(0=LEN(ReferenceData!$AD$182),"",ReferenceData!$AD$182),"")</f>
        <v>2212</v>
      </c>
      <c r="AE182">
        <f ca="1">IFERROR(IF(0=LEN(ReferenceData!$AE$182),"",ReferenceData!$AE$182),"")</f>
        <v>2812</v>
      </c>
      <c r="AF182">
        <f ca="1">IFERROR(IF(0=LEN(ReferenceData!$AF$182),"",ReferenceData!$AF$182),"")</f>
        <v>3036</v>
      </c>
      <c r="AG182">
        <f ca="1">IFERROR(IF(0=LEN(ReferenceData!$AG$182),"",ReferenceData!$AG$182),"")</f>
        <v>3075</v>
      </c>
      <c r="AH182">
        <f ca="1">IFERROR(IF(0=LEN(ReferenceData!$AH$182),"",ReferenceData!$AH$182),"")</f>
        <v>2935</v>
      </c>
      <c r="AI182">
        <f ca="1">IFERROR(IF(0=LEN(ReferenceData!$AI$182),"",ReferenceData!$AI$182),"")</f>
        <v>2894</v>
      </c>
      <c r="AJ182">
        <f ca="1">IFERROR(IF(0=LEN(ReferenceData!$AJ$182),"",ReferenceData!$AJ$182),"")</f>
        <v>2981</v>
      </c>
      <c r="AK182">
        <f ca="1">IFERROR(IF(0=LEN(ReferenceData!$AK$182),"",ReferenceData!$AK$182),"")</f>
        <v>2792</v>
      </c>
      <c r="AL182">
        <f ca="1">IFERROR(IF(0=LEN(ReferenceData!$AL$182),"",ReferenceData!$AL$182),"")</f>
        <v>2470</v>
      </c>
      <c r="AM182">
        <f ca="1">IFERROR(IF(0=LEN(ReferenceData!$AM$182),"",ReferenceData!$AM$182),"")</f>
        <v>2238</v>
      </c>
      <c r="AN182">
        <f ca="1">IFERROR(IF(0=LEN(ReferenceData!$AN$182),"",ReferenceData!$AN$182),"")</f>
        <v>2890</v>
      </c>
      <c r="AO182">
        <f ca="1">IFERROR(IF(0=LEN(ReferenceData!$AO$182),"",ReferenceData!$AO$182),"")</f>
        <v>2673</v>
      </c>
      <c r="AP182">
        <f ca="1">IFERROR(IF(0=LEN(ReferenceData!$AP$182),"",ReferenceData!$AP$182),"")</f>
        <v>3080</v>
      </c>
      <c r="AQ182">
        <f ca="1">IFERROR(IF(0=LEN(ReferenceData!$AQ$182),"",ReferenceData!$AQ$182),"")</f>
        <v>2792</v>
      </c>
      <c r="AR182">
        <f ca="1">IFERROR(IF(0=LEN(ReferenceData!$AR$182),"",ReferenceData!$AR$182),"")</f>
        <v>2635</v>
      </c>
      <c r="AS182">
        <f ca="1">IFERROR(IF(0=LEN(ReferenceData!$AS$182),"",ReferenceData!$AS$182),"")</f>
        <v>2520</v>
      </c>
    </row>
    <row r="183" spans="1:45" x14ac:dyDescent="0.25">
      <c r="A183" t="str">
        <f>IFERROR(IF(0=LEN(ReferenceData!$A$183),"",ReferenceData!$A$183),"")</f>
        <v xml:space="preserve">    Volvo - Volvo Truck</v>
      </c>
      <c r="B183" t="str">
        <f>IFERROR(IF(0=LEN(ReferenceData!$B$183),"",ReferenceData!$B$183),"")</f>
        <v>VOLVB SS Equity</v>
      </c>
      <c r="C183" t="str">
        <f>IFERROR(IF(0=LEN(ReferenceData!$C$183),"",ReferenceData!$C$183),"")</f>
        <v>X1701</v>
      </c>
      <c r="D183" t="str">
        <f>IFERROR(IF(0=LEN(ReferenceData!$D$183),"",ReferenceData!$D$183),"")</f>
        <v>WARDS_RETAIL_SALES_UNITS</v>
      </c>
      <c r="E183" t="str">
        <f>IFERROR(IF(0=LEN(ReferenceData!$E$183),"",ReferenceData!$E$183),"")</f>
        <v>Dynamic</v>
      </c>
      <c r="F183">
        <f ca="1">IFERROR(IF(0=LEN(ReferenceData!$F$183),"",ReferenceData!$F$183),"")</f>
        <v>1500</v>
      </c>
      <c r="G183">
        <f ca="1">IFERROR(IF(0=LEN(ReferenceData!$G$183),"",ReferenceData!$G$183),"")</f>
        <v>1384</v>
      </c>
      <c r="H183">
        <f ca="1">IFERROR(IF(0=LEN(ReferenceData!$H$183),"",ReferenceData!$H$183),"")</f>
        <v>1513</v>
      </c>
      <c r="I183">
        <f ca="1">IFERROR(IF(0=LEN(ReferenceData!$I$183),"",ReferenceData!$I$183),"")</f>
        <v>1282</v>
      </c>
      <c r="J183">
        <f ca="1">IFERROR(IF(0=LEN(ReferenceData!$J$183),"",ReferenceData!$J$183),"")</f>
        <v>1630</v>
      </c>
      <c r="K183">
        <f ca="1">IFERROR(IF(0=LEN(ReferenceData!$K$183),"",ReferenceData!$K$183),"")</f>
        <v>1351</v>
      </c>
      <c r="L183">
        <f ca="1">IFERROR(IF(0=LEN(ReferenceData!$L$183),"",ReferenceData!$L$183),"")</f>
        <v>1226</v>
      </c>
      <c r="M183">
        <f ca="1">IFERROR(IF(0=LEN(ReferenceData!$M$183),"",ReferenceData!$M$183),"")</f>
        <v>1640</v>
      </c>
      <c r="N183">
        <f ca="1">IFERROR(IF(0=LEN(ReferenceData!$N$183),"",ReferenceData!$N$183),"")</f>
        <v>1048</v>
      </c>
      <c r="O183">
        <f ca="1">IFERROR(IF(0=LEN(ReferenceData!$O$183),"",ReferenceData!$O$183),"")</f>
        <v>1178</v>
      </c>
      <c r="P183">
        <f ca="1">IFERROR(IF(0=LEN(ReferenceData!$P$183),"",ReferenceData!$P$183),"")</f>
        <v>2354</v>
      </c>
      <c r="Q183">
        <f ca="1">IFERROR(IF(0=LEN(ReferenceData!$Q$183),"",ReferenceData!$Q$183),"")</f>
        <v>1451</v>
      </c>
      <c r="R183">
        <f ca="1">IFERROR(IF(0=LEN(ReferenceData!$R$183),"",ReferenceData!$R$183),"")</f>
        <v>1414</v>
      </c>
      <c r="S183">
        <f ca="1">IFERROR(IF(0=LEN(ReferenceData!$S$183),"",ReferenceData!$S$183),"")</f>
        <v>1557</v>
      </c>
      <c r="T183">
        <f ca="1">IFERROR(IF(0=LEN(ReferenceData!$T$183),"",ReferenceData!$T$183),"")</f>
        <v>1696</v>
      </c>
      <c r="U183">
        <f ca="1">IFERROR(IF(0=LEN(ReferenceData!$U$183),"",ReferenceData!$U$183),"")</f>
        <v>1562</v>
      </c>
      <c r="V183">
        <f ca="1">IFERROR(IF(0=LEN(ReferenceData!$V$183),"",ReferenceData!$V$183),"")</f>
        <v>2465</v>
      </c>
      <c r="W183">
        <f ca="1">IFERROR(IF(0=LEN(ReferenceData!$W$183),"",ReferenceData!$W$183),"")</f>
        <v>1775</v>
      </c>
      <c r="X183">
        <f ca="1">IFERROR(IF(0=LEN(ReferenceData!$X$183),"",ReferenceData!$X$183),"")</f>
        <v>1828</v>
      </c>
      <c r="Y183">
        <f ca="1">IFERROR(IF(0=LEN(ReferenceData!$Y$183),"",ReferenceData!$Y$183),"")</f>
        <v>1468</v>
      </c>
      <c r="Z183">
        <f ca="1">IFERROR(IF(0=LEN(ReferenceData!$Z$183),"",ReferenceData!$Z$183),"")</f>
        <v>1888</v>
      </c>
      <c r="AA183">
        <f ca="1">IFERROR(IF(0=LEN(ReferenceData!$AA$183),"",ReferenceData!$AA$183),"")</f>
        <v>1085</v>
      </c>
      <c r="AB183">
        <f ca="1">IFERROR(IF(0=LEN(ReferenceData!$AB$183),"",ReferenceData!$AB$183),"")</f>
        <v>3394</v>
      </c>
      <c r="AC183">
        <f ca="1">IFERROR(IF(0=LEN(ReferenceData!$AC$183),"",ReferenceData!$AC$183),"")</f>
        <v>2192</v>
      </c>
      <c r="AD183">
        <f ca="1">IFERROR(IF(0=LEN(ReferenceData!$AD$183),"",ReferenceData!$AD$183),"")</f>
        <v>2317</v>
      </c>
      <c r="AE183">
        <f ca="1">IFERROR(IF(0=LEN(ReferenceData!$AE$183),"",ReferenceData!$AE$183),"")</f>
        <v>2272</v>
      </c>
      <c r="AF183">
        <f ca="1">IFERROR(IF(0=LEN(ReferenceData!$AF$183),"",ReferenceData!$AF$183),"")</f>
        <v>2500</v>
      </c>
      <c r="AG183">
        <f ca="1">IFERROR(IF(0=LEN(ReferenceData!$AG$183),"",ReferenceData!$AG$183),"")</f>
        <v>2656</v>
      </c>
      <c r="AH183">
        <f ca="1">IFERROR(IF(0=LEN(ReferenceData!$AH$183),"",ReferenceData!$AH$183),"")</f>
        <v>3276</v>
      </c>
      <c r="AI183">
        <f ca="1">IFERROR(IF(0=LEN(ReferenceData!$AI$183),"",ReferenceData!$AI$183),"")</f>
        <v>2799</v>
      </c>
      <c r="AJ183">
        <f ca="1">IFERROR(IF(0=LEN(ReferenceData!$AJ$183),"",ReferenceData!$AJ$183),"")</f>
        <v>2712</v>
      </c>
      <c r="AK183">
        <f ca="1">IFERROR(IF(0=LEN(ReferenceData!$AK$183),"",ReferenceData!$AK$183),"")</f>
        <v>2874</v>
      </c>
      <c r="AL183">
        <f ca="1">IFERROR(IF(0=LEN(ReferenceData!$AL$183),"",ReferenceData!$AL$183),"")</f>
        <v>2211</v>
      </c>
      <c r="AM183">
        <f ca="1">IFERROR(IF(0=LEN(ReferenceData!$AM$183),"",ReferenceData!$AM$183),"")</f>
        <v>1727</v>
      </c>
      <c r="AN183">
        <f ca="1">IFERROR(IF(0=LEN(ReferenceData!$AN$183),"",ReferenceData!$AN$183),"")</f>
        <v>2929</v>
      </c>
      <c r="AO183">
        <f ca="1">IFERROR(IF(0=LEN(ReferenceData!$AO$183),"",ReferenceData!$AO$183),"")</f>
        <v>1904</v>
      </c>
      <c r="AP183">
        <f ca="1">IFERROR(IF(0=LEN(ReferenceData!$AP$183),"",ReferenceData!$AP$183),"")</f>
        <v>2378</v>
      </c>
      <c r="AQ183">
        <f ca="1">IFERROR(IF(0=LEN(ReferenceData!$AQ$183),"",ReferenceData!$AQ$183),"")</f>
        <v>2477</v>
      </c>
      <c r="AR183">
        <f ca="1">IFERROR(IF(0=LEN(ReferenceData!$AR$183),"",ReferenceData!$AR$183),"")</f>
        <v>2326</v>
      </c>
      <c r="AS183">
        <f ca="1">IFERROR(IF(0=LEN(ReferenceData!$AS$183),"",ReferenceData!$AS$183),"")</f>
        <v>1930</v>
      </c>
    </row>
    <row r="184" spans="1:45" x14ac:dyDescent="0.25">
      <c r="A184" t="str">
        <f>IFERROR(IF(0=LEN(ReferenceData!$A$184),"",ReferenceData!$A$184),"")</f>
        <v xml:space="preserve">    Volvo - Mack</v>
      </c>
      <c r="B184" t="str">
        <f>IFERROR(IF(0=LEN(ReferenceData!$B$184),"",ReferenceData!$B$184),"")</f>
        <v>VOLVB SS Equity</v>
      </c>
      <c r="C184" t="str">
        <f>IFERROR(IF(0=LEN(ReferenceData!$C$184),"",ReferenceData!$C$184),"")</f>
        <v>X1701</v>
      </c>
      <c r="D184" t="str">
        <f>IFERROR(IF(0=LEN(ReferenceData!$D$184),"",ReferenceData!$D$184),"")</f>
        <v>WARDS_RETAIL_SALES_UNITS</v>
      </c>
      <c r="E184" t="str">
        <f>IFERROR(IF(0=LEN(ReferenceData!$E$184),"",ReferenceData!$E$184),"")</f>
        <v>Dynamic</v>
      </c>
      <c r="F184">
        <f ca="1">IFERROR(IF(0=LEN(ReferenceData!$F$184),"",ReferenceData!$F$184),"")</f>
        <v>1063</v>
      </c>
      <c r="G184">
        <f ca="1">IFERROR(IF(0=LEN(ReferenceData!$G$184),"",ReferenceData!$G$184),"")</f>
        <v>1312</v>
      </c>
      <c r="H184">
        <f ca="1">IFERROR(IF(0=LEN(ReferenceData!$H$184),"",ReferenceData!$H$184),"")</f>
        <v>1372</v>
      </c>
      <c r="I184">
        <f ca="1">IFERROR(IF(0=LEN(ReferenceData!$I$184),"",ReferenceData!$I$184),"")</f>
        <v>1141</v>
      </c>
      <c r="J184">
        <f ca="1">IFERROR(IF(0=LEN(ReferenceData!$J$184),"",ReferenceData!$J$184),"")</f>
        <v>1764</v>
      </c>
      <c r="K184">
        <f ca="1">IFERROR(IF(0=LEN(ReferenceData!$K$184),"",ReferenceData!$K$184),"")</f>
        <v>1176</v>
      </c>
      <c r="L184">
        <f ca="1">IFERROR(IF(0=LEN(ReferenceData!$L$184),"",ReferenceData!$L$184),"")</f>
        <v>1061</v>
      </c>
      <c r="M184">
        <f ca="1">IFERROR(IF(0=LEN(ReferenceData!$M$184),"",ReferenceData!$M$184),"")</f>
        <v>1658</v>
      </c>
      <c r="N184">
        <f ca="1">IFERROR(IF(0=LEN(ReferenceData!$N$184),"",ReferenceData!$N$184),"")</f>
        <v>1105</v>
      </c>
      <c r="O184">
        <f ca="1">IFERROR(IF(0=LEN(ReferenceData!$O$184),"",ReferenceData!$O$184),"")</f>
        <v>1070</v>
      </c>
      <c r="P184">
        <f ca="1">IFERROR(IF(0=LEN(ReferenceData!$P$184),"",ReferenceData!$P$184),"")</f>
        <v>1903</v>
      </c>
      <c r="Q184">
        <f ca="1">IFERROR(IF(0=LEN(ReferenceData!$Q$184),"",ReferenceData!$Q$184),"")</f>
        <v>1096</v>
      </c>
      <c r="R184">
        <f ca="1">IFERROR(IF(0=LEN(ReferenceData!$R$184),"",ReferenceData!$R$184),"")</f>
        <v>1142</v>
      </c>
      <c r="S184">
        <f ca="1">IFERROR(IF(0=LEN(ReferenceData!$S$184),"",ReferenceData!$S$184),"")</f>
        <v>1372</v>
      </c>
      <c r="T184">
        <f ca="1">IFERROR(IF(0=LEN(ReferenceData!$T$184),"",ReferenceData!$T$184),"")</f>
        <v>1292</v>
      </c>
      <c r="U184">
        <f ca="1">IFERROR(IF(0=LEN(ReferenceData!$U$184),"",ReferenceData!$U$184),"")</f>
        <v>1370</v>
      </c>
      <c r="V184">
        <f ca="1">IFERROR(IF(0=LEN(ReferenceData!$V$184),"",ReferenceData!$V$184),"")</f>
        <v>2055</v>
      </c>
      <c r="W184">
        <f ca="1">IFERROR(IF(0=LEN(ReferenceData!$W$184),"",ReferenceData!$W$184),"")</f>
        <v>1376</v>
      </c>
      <c r="X184">
        <f ca="1">IFERROR(IF(0=LEN(ReferenceData!$X$184),"",ReferenceData!$X$184),"")</f>
        <v>1194</v>
      </c>
      <c r="Y184">
        <f ca="1">IFERROR(IF(0=LEN(ReferenceData!$Y$184),"",ReferenceData!$Y$184),"")</f>
        <v>1918</v>
      </c>
      <c r="Z184">
        <f ca="1">IFERROR(IF(0=LEN(ReferenceData!$Z$184),"",ReferenceData!$Z$184),"")</f>
        <v>1254</v>
      </c>
      <c r="AA184">
        <f ca="1">IFERROR(IF(0=LEN(ReferenceData!$AA$184),"",ReferenceData!$AA$184),"")</f>
        <v>1181</v>
      </c>
      <c r="AB184">
        <f ca="1">IFERROR(IF(0=LEN(ReferenceData!$AB$184),"",ReferenceData!$AB$184),"")</f>
        <v>2350</v>
      </c>
      <c r="AC184">
        <f ca="1">IFERROR(IF(0=LEN(ReferenceData!$AC$184),"",ReferenceData!$AC$184),"")</f>
        <v>1471</v>
      </c>
      <c r="AD184">
        <f ca="1">IFERROR(IF(0=LEN(ReferenceData!$AD$184),"",ReferenceData!$AD$184),"")</f>
        <v>1220</v>
      </c>
      <c r="AE184">
        <f ca="1">IFERROR(IF(0=LEN(ReferenceData!$AE$184),"",ReferenceData!$AE$184),"")</f>
        <v>1810</v>
      </c>
      <c r="AF184">
        <f ca="1">IFERROR(IF(0=LEN(ReferenceData!$AF$184),"",ReferenceData!$AF$184),"")</f>
        <v>1764</v>
      </c>
      <c r="AG184">
        <f ca="1">IFERROR(IF(0=LEN(ReferenceData!$AG$184),"",ReferenceData!$AG$184),"")</f>
        <v>1748</v>
      </c>
      <c r="AH184">
        <f ca="1">IFERROR(IF(0=LEN(ReferenceData!$AH$184),"",ReferenceData!$AH$184),"")</f>
        <v>2145</v>
      </c>
      <c r="AI184">
        <f ca="1">IFERROR(IF(0=LEN(ReferenceData!$AI$184),"",ReferenceData!$AI$184),"")</f>
        <v>1618</v>
      </c>
      <c r="AJ184">
        <f ca="1">IFERROR(IF(0=LEN(ReferenceData!$AJ$184),"",ReferenceData!$AJ$184),"")</f>
        <v>1747</v>
      </c>
      <c r="AK184">
        <f ca="1">IFERROR(IF(0=LEN(ReferenceData!$AK$184),"",ReferenceData!$AK$184),"")</f>
        <v>1753</v>
      </c>
      <c r="AL184">
        <f ca="1">IFERROR(IF(0=LEN(ReferenceData!$AL$184),"",ReferenceData!$AL$184),"")</f>
        <v>1206</v>
      </c>
      <c r="AM184">
        <f ca="1">IFERROR(IF(0=LEN(ReferenceData!$AM$184),"",ReferenceData!$AM$184),"")</f>
        <v>994</v>
      </c>
      <c r="AN184">
        <f ca="1">IFERROR(IF(0=LEN(ReferenceData!$AN$184),"",ReferenceData!$AN$184),"")</f>
        <v>2825</v>
      </c>
      <c r="AO184">
        <f ca="1">IFERROR(IF(0=LEN(ReferenceData!$AO$184),"",ReferenceData!$AO$184),"")</f>
        <v>1704</v>
      </c>
      <c r="AP184">
        <f ca="1">IFERROR(IF(0=LEN(ReferenceData!$AP$184),"",ReferenceData!$AP$184),"")</f>
        <v>1507</v>
      </c>
      <c r="AQ184">
        <f ca="1">IFERROR(IF(0=LEN(ReferenceData!$AQ$184),"",ReferenceData!$AQ$184),"")</f>
        <v>1656</v>
      </c>
      <c r="AR184">
        <f ca="1">IFERROR(IF(0=LEN(ReferenceData!$AR$184),"",ReferenceData!$AR$184),"")</f>
        <v>1862</v>
      </c>
      <c r="AS184">
        <f ca="1">IFERROR(IF(0=LEN(ReferenceData!$AS$184),"",ReferenceData!$AS$184),"")</f>
        <v>1873</v>
      </c>
    </row>
    <row r="185" spans="1:45" x14ac:dyDescent="0.25">
      <c r="A185" t="str">
        <f>IFERROR(IF(0=LEN(ReferenceData!$A$185),"",ReferenceData!$A$185),"")</f>
        <v xml:space="preserve">    Navistar - International</v>
      </c>
      <c r="B185" t="str">
        <f>IFERROR(IF(0=LEN(ReferenceData!$B$185),"",ReferenceData!$B$185),"")</f>
        <v>NAV US Equity</v>
      </c>
      <c r="C185" t="str">
        <f>IFERROR(IF(0=LEN(ReferenceData!$C$185),"",ReferenceData!$C$185),"")</f>
        <v>X1701</v>
      </c>
      <c r="D185" t="str">
        <f>IFERROR(IF(0=LEN(ReferenceData!$D$185),"",ReferenceData!$D$185),"")</f>
        <v>WARDS_RETAIL_SALES_UNITS</v>
      </c>
      <c r="E185" t="str">
        <f>IFERROR(IF(0=LEN(ReferenceData!$E$185),"",ReferenceData!$E$185),"")</f>
        <v>Dynamic</v>
      </c>
      <c r="F185">
        <f ca="1">IFERROR(IF(0=LEN(ReferenceData!$F$185),"",ReferenceData!$F$185),"")</f>
        <v>2801</v>
      </c>
      <c r="G185">
        <f ca="1">IFERROR(IF(0=LEN(ReferenceData!$G$185),"",ReferenceData!$G$185),"")</f>
        <v>1995</v>
      </c>
      <c r="H185">
        <f ca="1">IFERROR(IF(0=LEN(ReferenceData!$H$185),"",ReferenceData!$H$185),"")</f>
        <v>2751</v>
      </c>
      <c r="I185">
        <f ca="1">IFERROR(IF(0=LEN(ReferenceData!$I$185),"",ReferenceData!$I$185),"")</f>
        <v>1625</v>
      </c>
      <c r="J185">
        <f ca="1">IFERROR(IF(0=LEN(ReferenceData!$J$185),"",ReferenceData!$J$185),"")</f>
        <v>1710</v>
      </c>
      <c r="K185">
        <f ca="1">IFERROR(IF(0=LEN(ReferenceData!$K$185),"",ReferenceData!$K$185),"")</f>
        <v>1537</v>
      </c>
      <c r="L185">
        <f ca="1">IFERROR(IF(0=LEN(ReferenceData!$L$185),"",ReferenceData!$L$185),"")</f>
        <v>1535</v>
      </c>
      <c r="M185">
        <f ca="1">IFERROR(IF(0=LEN(ReferenceData!$M$185),"",ReferenceData!$M$185),"")</f>
        <v>1420</v>
      </c>
      <c r="N185">
        <f ca="1">IFERROR(IF(0=LEN(ReferenceData!$N$185),"",ReferenceData!$N$185),"")</f>
        <v>1306</v>
      </c>
      <c r="O185">
        <f ca="1">IFERROR(IF(0=LEN(ReferenceData!$O$185),"",ReferenceData!$O$185),"")</f>
        <v>1293</v>
      </c>
      <c r="P185">
        <f ca="1">IFERROR(IF(0=LEN(ReferenceData!$P$185),"",ReferenceData!$P$185),"")</f>
        <v>1269</v>
      </c>
      <c r="Q185">
        <f ca="1">IFERROR(IF(0=LEN(ReferenceData!$Q$185),"",ReferenceData!$Q$185),"")</f>
        <v>1418</v>
      </c>
      <c r="R185">
        <f ca="1">IFERROR(IF(0=LEN(ReferenceData!$R$185),"",ReferenceData!$R$185),"")</f>
        <v>2188</v>
      </c>
      <c r="S185">
        <f ca="1">IFERROR(IF(0=LEN(ReferenceData!$S$185),"",ReferenceData!$S$185),"")</f>
        <v>1608</v>
      </c>
      <c r="T185">
        <f ca="1">IFERROR(IF(0=LEN(ReferenceData!$T$185),"",ReferenceData!$T$185),"")</f>
        <v>1967</v>
      </c>
      <c r="U185">
        <f ca="1">IFERROR(IF(0=LEN(ReferenceData!$U$185),"",ReferenceData!$U$185),"")</f>
        <v>1276</v>
      </c>
      <c r="V185">
        <f ca="1">IFERROR(IF(0=LEN(ReferenceData!$V$185),"",ReferenceData!$V$185),"")</f>
        <v>1552</v>
      </c>
      <c r="W185">
        <f ca="1">IFERROR(IF(0=LEN(ReferenceData!$W$185),"",ReferenceData!$W$185),"")</f>
        <v>1743</v>
      </c>
      <c r="X185">
        <f ca="1">IFERROR(IF(0=LEN(ReferenceData!$X$185),"",ReferenceData!$X$185),"")</f>
        <v>1893</v>
      </c>
      <c r="Y185">
        <f ca="1">IFERROR(IF(0=LEN(ReferenceData!$Y$185),"",ReferenceData!$Y$185),"")</f>
        <v>2354</v>
      </c>
      <c r="Z185">
        <f ca="1">IFERROR(IF(0=LEN(ReferenceData!$Z$185),"",ReferenceData!$Z$185),"")</f>
        <v>1499</v>
      </c>
      <c r="AA185">
        <f ca="1">IFERROR(IF(0=LEN(ReferenceData!$AA$185),"",ReferenceData!$AA$185),"")</f>
        <v>2605</v>
      </c>
      <c r="AB185">
        <f ca="1">IFERROR(IF(0=LEN(ReferenceData!$AB$185),"",ReferenceData!$AB$185),"")</f>
        <v>2166</v>
      </c>
      <c r="AC185">
        <f ca="1">IFERROR(IF(0=LEN(ReferenceData!$AC$185),"",ReferenceData!$AC$185),"")</f>
        <v>1420</v>
      </c>
      <c r="AD185">
        <f ca="1">IFERROR(IF(0=LEN(ReferenceData!$AD$185),"",ReferenceData!$AD$185),"")</f>
        <v>2155</v>
      </c>
      <c r="AE185">
        <f ca="1">IFERROR(IF(0=LEN(ReferenceData!$AE$185),"",ReferenceData!$AE$185),"")</f>
        <v>2290</v>
      </c>
      <c r="AF185">
        <f ca="1">IFERROR(IF(0=LEN(ReferenceData!$AF$185),"",ReferenceData!$AF$185),"")</f>
        <v>2408</v>
      </c>
      <c r="AG185">
        <f ca="1">IFERROR(IF(0=LEN(ReferenceData!$AG$185),"",ReferenceData!$AG$185),"")</f>
        <v>2945</v>
      </c>
      <c r="AH185">
        <f ca="1">IFERROR(IF(0=LEN(ReferenceData!$AH$185),"",ReferenceData!$AH$185),"")</f>
        <v>3339</v>
      </c>
      <c r="AI185">
        <f ca="1">IFERROR(IF(0=LEN(ReferenceData!$AI$185),"",ReferenceData!$AI$185),"")</f>
        <v>2401</v>
      </c>
      <c r="AJ185">
        <f ca="1">IFERROR(IF(0=LEN(ReferenceData!$AJ$185),"",ReferenceData!$AJ$185),"")</f>
        <v>2581</v>
      </c>
      <c r="AK185">
        <f ca="1">IFERROR(IF(0=LEN(ReferenceData!$AK$185),"",ReferenceData!$AK$185),"")</f>
        <v>3073</v>
      </c>
      <c r="AL185">
        <f ca="1">IFERROR(IF(0=LEN(ReferenceData!$AL$185),"",ReferenceData!$AL$185),"")</f>
        <v>1902</v>
      </c>
      <c r="AM185">
        <f ca="1">IFERROR(IF(0=LEN(ReferenceData!$AM$185),"",ReferenceData!$AM$185),"")</f>
        <v>2160</v>
      </c>
      <c r="AN185">
        <f ca="1">IFERROR(IF(0=LEN(ReferenceData!$AN$185),"",ReferenceData!$AN$185),"")</f>
        <v>2276</v>
      </c>
      <c r="AO185">
        <f ca="1">IFERROR(IF(0=LEN(ReferenceData!$AO$185),"",ReferenceData!$AO$185),"")</f>
        <v>1773</v>
      </c>
      <c r="AP185">
        <f ca="1">IFERROR(IF(0=LEN(ReferenceData!$AP$185),"",ReferenceData!$AP$185),"")</f>
        <v>3514</v>
      </c>
      <c r="AQ185">
        <f ca="1">IFERROR(IF(0=LEN(ReferenceData!$AQ$185),"",ReferenceData!$AQ$185),"")</f>
        <v>2892</v>
      </c>
      <c r="AR185">
        <f ca="1">IFERROR(IF(0=LEN(ReferenceData!$AR$185),"",ReferenceData!$AR$185),"")</f>
        <v>2762</v>
      </c>
      <c r="AS185">
        <f ca="1">IFERROR(IF(0=LEN(ReferenceData!$AS$185),"",ReferenceData!$AS$185),"")</f>
        <v>3088</v>
      </c>
    </row>
    <row r="186" spans="1:45" x14ac:dyDescent="0.25">
      <c r="A186" t="str">
        <f>IFERROR(IF(0=LEN(ReferenceData!$A$186),"",ReferenceData!$A$186),"")</f>
        <v xml:space="preserve">    Other</v>
      </c>
      <c r="B186" t="str">
        <f>IFERROR(IF(0=LEN(ReferenceData!$B$186),"",ReferenceData!$B$186),"")</f>
        <v/>
      </c>
      <c r="C186" t="str">
        <f>IFERROR(IF(0=LEN(ReferenceData!$C$186),"",ReferenceData!$C$186),"")</f>
        <v/>
      </c>
      <c r="D186" t="str">
        <f>IFERROR(IF(0=LEN(ReferenceData!$D$186),"",ReferenceData!$D$186),"")</f>
        <v/>
      </c>
      <c r="E186" t="str">
        <f>IFERROR(IF(0=LEN(ReferenceData!$E$186),"",ReferenceData!$E$186),"")</f>
        <v>Expression</v>
      </c>
      <c r="F186">
        <f ca="1">IFERROR(IF(0=LEN(ReferenceData!$F$186),"",ReferenceData!$F$186),"")</f>
        <v>12</v>
      </c>
      <c r="G186">
        <f ca="1">IFERROR(IF(0=LEN(ReferenceData!$G$186),"",ReferenceData!$G$186),"")</f>
        <v>18</v>
      </c>
      <c r="H186">
        <f ca="1">IFERROR(IF(0=LEN(ReferenceData!$H$186),"",ReferenceData!$H$186),"")</f>
        <v>21</v>
      </c>
      <c r="I186">
        <f ca="1">IFERROR(IF(0=LEN(ReferenceData!$I$186),"",ReferenceData!$I$186),"")</f>
        <v>21</v>
      </c>
      <c r="J186">
        <f ca="1">IFERROR(IF(0=LEN(ReferenceData!$J$186),"",ReferenceData!$J$186),"")</f>
        <v>22</v>
      </c>
      <c r="K186">
        <f ca="1">IFERROR(IF(0=LEN(ReferenceData!$K$186),"",ReferenceData!$K$186),"")</f>
        <v>11</v>
      </c>
      <c r="L186">
        <f ca="1">IFERROR(IF(0=LEN(ReferenceData!$L$186),"",ReferenceData!$L$186),"")</f>
        <v>9</v>
      </c>
      <c r="M186">
        <f ca="1">IFERROR(IF(0=LEN(ReferenceData!$M$186),"",ReferenceData!$M$186),"")</f>
        <v>2</v>
      </c>
      <c r="N186">
        <f ca="1">IFERROR(IF(0=LEN(ReferenceData!$N$186),"",ReferenceData!$N$186),"")</f>
        <v>3</v>
      </c>
      <c r="O186">
        <f ca="1">IFERROR(IF(0=LEN(ReferenceData!$O$186),"",ReferenceData!$O$186),"")</f>
        <v>4</v>
      </c>
      <c r="P186">
        <f ca="1">IFERROR(IF(0=LEN(ReferenceData!$P$186),"",ReferenceData!$P$186),"")</f>
        <v>8</v>
      </c>
      <c r="Q186">
        <f ca="1">IFERROR(IF(0=LEN(ReferenceData!$Q$186),"",ReferenceData!$Q$186),"")</f>
        <v>10</v>
      </c>
      <c r="R186">
        <f ca="1">IFERROR(IF(0=LEN(ReferenceData!$R$186),"",ReferenceData!$R$186),"")</f>
        <v>3</v>
      </c>
      <c r="S186">
        <f ca="1">IFERROR(IF(0=LEN(ReferenceData!$S$186),"",ReferenceData!$S$186),"")</f>
        <v>24</v>
      </c>
      <c r="T186">
        <f ca="1">IFERROR(IF(0=LEN(ReferenceData!$T$186),"",ReferenceData!$T$186),"")</f>
        <v>18</v>
      </c>
      <c r="U186">
        <f ca="1">IFERROR(IF(0=LEN(ReferenceData!$U$186),"",ReferenceData!$U$186),"")</f>
        <v>11</v>
      </c>
      <c r="V186">
        <f ca="1">IFERROR(IF(0=LEN(ReferenceData!$V$186),"",ReferenceData!$V$186),"")</f>
        <v>30</v>
      </c>
      <c r="W186">
        <f ca="1">IFERROR(IF(0=LEN(ReferenceData!$W$186),"",ReferenceData!$W$186),"")</f>
        <v>9</v>
      </c>
      <c r="X186">
        <f ca="1">IFERROR(IF(0=LEN(ReferenceData!$X$186),"",ReferenceData!$X$186),"")</f>
        <v>7</v>
      </c>
      <c r="Y186">
        <f ca="1">IFERROR(IF(0=LEN(ReferenceData!$Y$186),"",ReferenceData!$Y$186),"")</f>
        <v>4</v>
      </c>
      <c r="Z186">
        <f ca="1">IFERROR(IF(0=LEN(ReferenceData!$Z$186),"",ReferenceData!$Z$186),"")</f>
        <v>0</v>
      </c>
      <c r="AA186">
        <f ca="1">IFERROR(IF(0=LEN(ReferenceData!$AA$186),"",ReferenceData!$AA$186),"")</f>
        <v>4</v>
      </c>
      <c r="AB186">
        <f ca="1">IFERROR(IF(0=LEN(ReferenceData!$AB$186),"",ReferenceData!$AB$186),"")</f>
        <v>3</v>
      </c>
      <c r="AC186">
        <f ca="1">IFERROR(IF(0=LEN(ReferenceData!$AC$186),"",ReferenceData!$AC$186),"")</f>
        <v>2</v>
      </c>
      <c r="AD186">
        <f ca="1">IFERROR(IF(0=LEN(ReferenceData!$AD$186),"",ReferenceData!$AD$186),"")</f>
        <v>5</v>
      </c>
      <c r="AE186">
        <f ca="1">IFERROR(IF(0=LEN(ReferenceData!$AE$186),"",ReferenceData!$AE$186),"")</f>
        <v>4</v>
      </c>
      <c r="AF186">
        <f ca="1">IFERROR(IF(0=LEN(ReferenceData!$AF$186),"",ReferenceData!$AF$186),"")</f>
        <v>15</v>
      </c>
      <c r="AG186">
        <f ca="1">IFERROR(IF(0=LEN(ReferenceData!$AG$186),"",ReferenceData!$AG$186),"")</f>
        <v>13</v>
      </c>
      <c r="AH186">
        <f ca="1">IFERROR(IF(0=LEN(ReferenceData!$AH$186),"",ReferenceData!$AH$186),"")</f>
        <v>15</v>
      </c>
      <c r="AI186">
        <f ca="1">IFERROR(IF(0=LEN(ReferenceData!$AI$186),"",ReferenceData!$AI$186),"")</f>
        <v>4</v>
      </c>
      <c r="AJ186">
        <f ca="1">IFERROR(IF(0=LEN(ReferenceData!$AJ$186),"",ReferenceData!$AJ$186),"")</f>
        <v>6</v>
      </c>
      <c r="AK186">
        <f ca="1">IFERROR(IF(0=LEN(ReferenceData!$AK$186),"",ReferenceData!$AK$186),"")</f>
        <v>1</v>
      </c>
      <c r="AL186">
        <f ca="1">IFERROR(IF(0=LEN(ReferenceData!$AL$186),"",ReferenceData!$AL$186),"")</f>
        <v>1</v>
      </c>
      <c r="AM186">
        <f ca="1">IFERROR(IF(0=LEN(ReferenceData!$AM$186),"",ReferenceData!$AM$186),"")</f>
        <v>3</v>
      </c>
      <c r="AN186">
        <f ca="1">IFERROR(IF(0=LEN(ReferenceData!$AN$186),"",ReferenceData!$AN$186),"")</f>
        <v>1</v>
      </c>
      <c r="AO186">
        <f ca="1">IFERROR(IF(0=LEN(ReferenceData!$AO$186),"",ReferenceData!$AO$186),"")</f>
        <v>7</v>
      </c>
      <c r="AP186">
        <f ca="1">IFERROR(IF(0=LEN(ReferenceData!$AP$186),"",ReferenceData!$AP$186),"")</f>
        <v>3</v>
      </c>
      <c r="AQ186">
        <f ca="1">IFERROR(IF(0=LEN(ReferenceData!$AQ$186),"",ReferenceData!$AQ$186),"")</f>
        <v>5</v>
      </c>
      <c r="AR186">
        <f ca="1">IFERROR(IF(0=LEN(ReferenceData!$AR$186),"",ReferenceData!$AR$186),"")</f>
        <v>11</v>
      </c>
      <c r="AS186">
        <f ca="1">IFERROR(IF(0=LEN(ReferenceData!$AS$186),"",ReferenceData!$AS$186),"")</f>
        <v>12</v>
      </c>
    </row>
    <row r="187" spans="1:45" x14ac:dyDescent="0.25">
      <c r="A187" t="str">
        <f>IFERROR(IF(0=LEN(ReferenceData!$A$187),"",ReferenceData!$A$187),"")</f>
        <v>Canada (Class 8)</v>
      </c>
      <c r="B187" t="str">
        <f>IFERROR(IF(0=LEN(ReferenceData!$B$187),"",ReferenceData!$B$187),"")</f>
        <v>TRCKCA8S Index</v>
      </c>
      <c r="C187" t="str">
        <f>IFERROR(IF(0=LEN(ReferenceData!$C$187),"",ReferenceData!$C$187),"")</f>
        <v>PR005</v>
      </c>
      <c r="D187" t="str">
        <f>IFERROR(IF(0=LEN(ReferenceData!$D$187),"",ReferenceData!$D$187),"")</f>
        <v>PX_LAST</v>
      </c>
      <c r="E187" t="str">
        <f>IFERROR(IF(0=LEN(ReferenceData!$E$187),"",ReferenceData!$E$187),"")</f>
        <v>Dynamic</v>
      </c>
      <c r="F187">
        <f ca="1">IFERROR(IF(0=LEN(ReferenceData!$F$187),"",ReferenceData!$F$187),"")</f>
        <v>2719</v>
      </c>
      <c r="G187">
        <f ca="1">IFERROR(IF(0=LEN(ReferenceData!$G$187),"",ReferenceData!$G$187),"")</f>
        <v>2426</v>
      </c>
      <c r="H187">
        <f ca="1">IFERROR(IF(0=LEN(ReferenceData!$H$187),"",ReferenceData!$H$187),"")</f>
        <v>2228</v>
      </c>
      <c r="I187">
        <f ca="1">IFERROR(IF(0=LEN(ReferenceData!$I$187),"",ReferenceData!$I$187),"")</f>
        <v>2086</v>
      </c>
      <c r="J187">
        <f ca="1">IFERROR(IF(0=LEN(ReferenceData!$J$187),"",ReferenceData!$J$187),"")</f>
        <v>2478</v>
      </c>
      <c r="K187">
        <f ca="1">IFERROR(IF(0=LEN(ReferenceData!$K$187),"",ReferenceData!$K$187),"")</f>
        <v>2395</v>
      </c>
      <c r="L187">
        <f ca="1">IFERROR(IF(0=LEN(ReferenceData!$L$187),"",ReferenceData!$L$187),"")</f>
        <v>1920</v>
      </c>
      <c r="M187">
        <f ca="1">IFERROR(IF(0=LEN(ReferenceData!$M$187),"",ReferenceData!$M$187),"")</f>
        <v>2051</v>
      </c>
      <c r="N187">
        <f ca="1">IFERROR(IF(0=LEN(ReferenceData!$N$187),"",ReferenceData!$N$187),"")</f>
        <v>1466</v>
      </c>
      <c r="O187">
        <f ca="1">IFERROR(IF(0=LEN(ReferenceData!$O$187),"",ReferenceData!$O$187),"")</f>
        <v>1377</v>
      </c>
      <c r="P187">
        <f ca="1">IFERROR(IF(0=LEN(ReferenceData!$P$187),"",ReferenceData!$P$187),"")</f>
        <v>1911</v>
      </c>
      <c r="Q187">
        <f ca="1">IFERROR(IF(0=LEN(ReferenceData!$Q$187),"",ReferenceData!$Q$187),"")</f>
        <v>1899</v>
      </c>
      <c r="R187">
        <f ca="1">IFERROR(IF(0=LEN(ReferenceData!$R$187),"",ReferenceData!$R$187),"")</f>
        <v>1979</v>
      </c>
      <c r="S187">
        <f ca="1">IFERROR(IF(0=LEN(ReferenceData!$S$187),"",ReferenceData!$S$187),"")</f>
        <v>2124</v>
      </c>
      <c r="T187">
        <f ca="1">IFERROR(IF(0=LEN(ReferenceData!$T$187),"",ReferenceData!$T$187),"")</f>
        <v>1810</v>
      </c>
      <c r="U187">
        <f ca="1">IFERROR(IF(0=LEN(ReferenceData!$U$187),"",ReferenceData!$U$187),"")</f>
        <v>1676</v>
      </c>
      <c r="V187">
        <f ca="1">IFERROR(IF(0=LEN(ReferenceData!$V$187),"",ReferenceData!$V$187),"")</f>
        <v>2016</v>
      </c>
      <c r="W187">
        <f ca="1">IFERROR(IF(0=LEN(ReferenceData!$W$187),"",ReferenceData!$W$187),"")</f>
        <v>2342</v>
      </c>
      <c r="X187">
        <f ca="1">IFERROR(IF(0=LEN(ReferenceData!$X$187),"",ReferenceData!$X$187),"")</f>
        <v>1955</v>
      </c>
      <c r="Y187">
        <f ca="1">IFERROR(IF(0=LEN(ReferenceData!$Y$187),"",ReferenceData!$Y$187),"")</f>
        <v>1915</v>
      </c>
      <c r="Z187">
        <f ca="1">IFERROR(IF(0=LEN(ReferenceData!$Z$187),"",ReferenceData!$Z$187),"")</f>
        <v>1858</v>
      </c>
      <c r="AA187">
        <f ca="1">IFERROR(IF(0=LEN(ReferenceData!$AA$187),"",ReferenceData!$AA$187),"")</f>
        <v>1552</v>
      </c>
      <c r="AB187">
        <f ca="1">IFERROR(IF(0=LEN(ReferenceData!$AB$187),"",ReferenceData!$AB$187),"")</f>
        <v>2327</v>
      </c>
      <c r="AC187">
        <f ca="1">IFERROR(IF(0=LEN(ReferenceData!$AC$187),"",ReferenceData!$AC$187),"")</f>
        <v>2203</v>
      </c>
      <c r="AD187">
        <f ca="1">IFERROR(IF(0=LEN(ReferenceData!$AD$187),"",ReferenceData!$AD$187),"")</f>
        <v>2636</v>
      </c>
      <c r="AE187">
        <f ca="1">IFERROR(IF(0=LEN(ReferenceData!$AE$187),"",ReferenceData!$AE$187),"")</f>
        <v>2906</v>
      </c>
      <c r="AF187">
        <f ca="1">IFERROR(IF(0=LEN(ReferenceData!$AF$187),"",ReferenceData!$AF$187),"")</f>
        <v>2114</v>
      </c>
      <c r="AG187">
        <f ca="1">IFERROR(IF(0=LEN(ReferenceData!$AG$187),"",ReferenceData!$AG$187),"")</f>
        <v>2463</v>
      </c>
      <c r="AH187">
        <f ca="1">IFERROR(IF(0=LEN(ReferenceData!$AH$187),"",ReferenceData!$AH$187),"")</f>
        <v>2625</v>
      </c>
      <c r="AI187">
        <f ca="1">IFERROR(IF(0=LEN(ReferenceData!$AI$187),"",ReferenceData!$AI$187),"")</f>
        <v>2647</v>
      </c>
      <c r="AJ187">
        <f ca="1">IFERROR(IF(0=LEN(ReferenceData!$AJ$187),"",ReferenceData!$AJ$187),"")</f>
        <v>2610</v>
      </c>
      <c r="AK187">
        <f ca="1">IFERROR(IF(0=LEN(ReferenceData!$AK$187),"",ReferenceData!$AK$187),"")</f>
        <v>2880</v>
      </c>
      <c r="AL187">
        <f ca="1">IFERROR(IF(0=LEN(ReferenceData!$AL$187),"",ReferenceData!$AL$187),"")</f>
        <v>2043</v>
      </c>
      <c r="AM187">
        <f ca="1">IFERROR(IF(0=LEN(ReferenceData!$AM$187),"",ReferenceData!$AM$187),"")</f>
        <v>2127</v>
      </c>
      <c r="AN187">
        <f ca="1">IFERROR(IF(0=LEN(ReferenceData!$AN$187),"",ReferenceData!$AN$187),"")</f>
        <v>2666</v>
      </c>
      <c r="AO187">
        <f ca="1">IFERROR(IF(0=LEN(ReferenceData!$AO$187),"",ReferenceData!$AO$187),"")</f>
        <v>2401</v>
      </c>
      <c r="AP187">
        <f ca="1">IFERROR(IF(0=LEN(ReferenceData!$AP$187),"",ReferenceData!$AP$187),"")</f>
        <v>2916</v>
      </c>
      <c r="AQ187">
        <f ca="1">IFERROR(IF(0=LEN(ReferenceData!$AQ$187),"",ReferenceData!$AQ$187),"")</f>
        <v>2554</v>
      </c>
      <c r="AR187">
        <f ca="1">IFERROR(IF(0=LEN(ReferenceData!$AR$187),"",ReferenceData!$AR$187),"")</f>
        <v>2157</v>
      </c>
      <c r="AS187">
        <f ca="1">IFERROR(IF(0=LEN(ReferenceData!$AS$187),"",ReferenceData!$AS$187),"")</f>
        <v>2536</v>
      </c>
    </row>
    <row r="188" spans="1:45" x14ac:dyDescent="0.25">
      <c r="A188" t="str">
        <f>IFERROR(IF(0=LEN(ReferenceData!$A$188),"",ReferenceData!$A$188),"")</f>
        <v xml:space="preserve">    Daimler - Freightliner</v>
      </c>
      <c r="B188" t="str">
        <f>IFERROR(IF(0=LEN(ReferenceData!$B$188),"",ReferenceData!$B$188),"")</f>
        <v>DAI GR Equity</v>
      </c>
      <c r="C188" t="str">
        <f>IFERROR(IF(0=LEN(ReferenceData!$C$188),"",ReferenceData!$C$188),"")</f>
        <v>X1701</v>
      </c>
      <c r="D188" t="str">
        <f>IFERROR(IF(0=LEN(ReferenceData!$D$188),"",ReferenceData!$D$188),"")</f>
        <v>WARDS_RETAIL_SALES_UNITS</v>
      </c>
      <c r="E188" t="str">
        <f>IFERROR(IF(0=LEN(ReferenceData!$E$188),"",ReferenceData!$E$188),"")</f>
        <v>Dynamic</v>
      </c>
      <c r="F188">
        <f ca="1">IFERROR(IF(0=LEN(ReferenceData!$F$188),"",ReferenceData!$F$188),"")</f>
        <v>753</v>
      </c>
      <c r="G188">
        <f ca="1">IFERROR(IF(0=LEN(ReferenceData!$G$188),"",ReferenceData!$G$188),"")</f>
        <v>690</v>
      </c>
      <c r="H188">
        <f ca="1">IFERROR(IF(0=LEN(ReferenceData!$H$188),"",ReferenceData!$H$188),"")</f>
        <v>544</v>
      </c>
      <c r="I188">
        <f ca="1">IFERROR(IF(0=LEN(ReferenceData!$I$188),"",ReferenceData!$I$188),"")</f>
        <v>515</v>
      </c>
      <c r="J188">
        <f ca="1">IFERROR(IF(0=LEN(ReferenceData!$J$188),"",ReferenceData!$J$188),"")</f>
        <v>699</v>
      </c>
      <c r="K188">
        <f ca="1">IFERROR(IF(0=LEN(ReferenceData!$K$188),"",ReferenceData!$K$188),"")</f>
        <v>716</v>
      </c>
      <c r="L188">
        <f ca="1">IFERROR(IF(0=LEN(ReferenceData!$L$188),"",ReferenceData!$L$188),"")</f>
        <v>628</v>
      </c>
      <c r="M188">
        <f ca="1">IFERROR(IF(0=LEN(ReferenceData!$M$188),"",ReferenceData!$M$188),"")</f>
        <v>587</v>
      </c>
      <c r="N188">
        <f ca="1">IFERROR(IF(0=LEN(ReferenceData!$N$188),"",ReferenceData!$N$188),"")</f>
        <v>486</v>
      </c>
      <c r="O188">
        <f ca="1">IFERROR(IF(0=LEN(ReferenceData!$O$188),"",ReferenceData!$O$188),"")</f>
        <v>519</v>
      </c>
      <c r="P188">
        <f ca="1">IFERROR(IF(0=LEN(ReferenceData!$P$188),"",ReferenceData!$P$188),"")</f>
        <v>557</v>
      </c>
      <c r="Q188">
        <f ca="1">IFERROR(IF(0=LEN(ReferenceData!$Q$188),"",ReferenceData!$Q$188),"")</f>
        <v>693</v>
      </c>
      <c r="R188">
        <f ca="1">IFERROR(IF(0=LEN(ReferenceData!$R$188),"",ReferenceData!$R$188),"")</f>
        <v>525</v>
      </c>
      <c r="S188">
        <f ca="1">IFERROR(IF(0=LEN(ReferenceData!$S$188),"",ReferenceData!$S$188),"")</f>
        <v>669</v>
      </c>
      <c r="T188">
        <f ca="1">IFERROR(IF(0=LEN(ReferenceData!$T$188),"",ReferenceData!$T$188),"")</f>
        <v>557</v>
      </c>
      <c r="U188">
        <f ca="1">IFERROR(IF(0=LEN(ReferenceData!$U$188),"",ReferenceData!$U$188),"")</f>
        <v>571</v>
      </c>
      <c r="V188">
        <f ca="1">IFERROR(IF(0=LEN(ReferenceData!$V$188),"",ReferenceData!$V$188),"")</f>
        <v>607</v>
      </c>
      <c r="W188">
        <f ca="1">IFERROR(IF(0=LEN(ReferenceData!$W$188),"",ReferenceData!$W$188),"")</f>
        <v>808</v>
      </c>
      <c r="X188">
        <f ca="1">IFERROR(IF(0=LEN(ReferenceData!$X$188),"",ReferenceData!$X$188),"")</f>
        <v>615</v>
      </c>
      <c r="Y188">
        <f ca="1">IFERROR(IF(0=LEN(ReferenceData!$Y$188),"",ReferenceData!$Y$188),"")</f>
        <v>752</v>
      </c>
      <c r="Z188">
        <f ca="1">IFERROR(IF(0=LEN(ReferenceData!$Z$188),"",ReferenceData!$Z$188),"")</f>
        <v>758</v>
      </c>
      <c r="AA188">
        <f ca="1">IFERROR(IF(0=LEN(ReferenceData!$AA$188),"",ReferenceData!$AA$188),"")</f>
        <v>548</v>
      </c>
      <c r="AB188">
        <f ca="1">IFERROR(IF(0=LEN(ReferenceData!$AB$188),"",ReferenceData!$AB$188),"")</f>
        <v>719</v>
      </c>
      <c r="AC188">
        <f ca="1">IFERROR(IF(0=LEN(ReferenceData!$AC$188),"",ReferenceData!$AC$188),"")</f>
        <v>703</v>
      </c>
      <c r="AD188">
        <f ca="1">IFERROR(IF(0=LEN(ReferenceData!$AD$188),"",ReferenceData!$AD$188),"")</f>
        <v>877</v>
      </c>
      <c r="AE188">
        <f ca="1">IFERROR(IF(0=LEN(ReferenceData!$AE$188),"",ReferenceData!$AE$188),"")</f>
        <v>1052</v>
      </c>
      <c r="AF188">
        <f ca="1">IFERROR(IF(0=LEN(ReferenceData!$AF$188),"",ReferenceData!$AF$188),"")</f>
        <v>560</v>
      </c>
      <c r="AG188">
        <f ca="1">IFERROR(IF(0=LEN(ReferenceData!$AG$188),"",ReferenceData!$AG$188),"")</f>
        <v>675</v>
      </c>
      <c r="AH188">
        <f ca="1">IFERROR(IF(0=LEN(ReferenceData!$AH$188),"",ReferenceData!$AH$188),"")</f>
        <v>738</v>
      </c>
      <c r="AI188">
        <f ca="1">IFERROR(IF(0=LEN(ReferenceData!$AI$188),"",ReferenceData!$AI$188),"")</f>
        <v>653</v>
      </c>
      <c r="AJ188">
        <f ca="1">IFERROR(IF(0=LEN(ReferenceData!$AJ$188),"",ReferenceData!$AJ$188),"")</f>
        <v>739</v>
      </c>
      <c r="AK188">
        <f ca="1">IFERROR(IF(0=LEN(ReferenceData!$AK$188),"",ReferenceData!$AK$188),"")</f>
        <v>978</v>
      </c>
      <c r="AL188">
        <f ca="1">IFERROR(IF(0=LEN(ReferenceData!$AL$188),"",ReferenceData!$AL$188),"")</f>
        <v>613</v>
      </c>
      <c r="AM188">
        <f ca="1">IFERROR(IF(0=LEN(ReferenceData!$AM$188),"",ReferenceData!$AM$188),"")</f>
        <v>548</v>
      </c>
      <c r="AN188">
        <f ca="1">IFERROR(IF(0=LEN(ReferenceData!$AN$188),"",ReferenceData!$AN$188),"")</f>
        <v>716</v>
      </c>
      <c r="AO188">
        <f ca="1">IFERROR(IF(0=LEN(ReferenceData!$AO$188),"",ReferenceData!$AO$188),"")</f>
        <v>604</v>
      </c>
      <c r="AP188">
        <f ca="1">IFERROR(IF(0=LEN(ReferenceData!$AP$188),"",ReferenceData!$AP$188),"")</f>
        <v>848</v>
      </c>
      <c r="AQ188">
        <f ca="1">IFERROR(IF(0=LEN(ReferenceData!$AQ$188),"",ReferenceData!$AQ$188),"")</f>
        <v>639</v>
      </c>
      <c r="AR188">
        <f ca="1">IFERROR(IF(0=LEN(ReferenceData!$AR$188),"",ReferenceData!$AR$188),"")</f>
        <v>540</v>
      </c>
      <c r="AS188">
        <f ca="1">IFERROR(IF(0=LEN(ReferenceData!$AS$188),"",ReferenceData!$AS$188),"")</f>
        <v>609</v>
      </c>
    </row>
    <row r="189" spans="1:45" x14ac:dyDescent="0.25">
      <c r="A189" t="str">
        <f>IFERROR(IF(0=LEN(ReferenceData!$A$189),"",ReferenceData!$A$189),"")</f>
        <v xml:space="preserve">    Daimler - Western Star</v>
      </c>
      <c r="B189" t="str">
        <f>IFERROR(IF(0=LEN(ReferenceData!$B$189),"",ReferenceData!$B$189),"")</f>
        <v>DAI GR Equity</v>
      </c>
      <c r="C189" t="str">
        <f>IFERROR(IF(0=LEN(ReferenceData!$C$189),"",ReferenceData!$C$189),"")</f>
        <v>X1701</v>
      </c>
      <c r="D189" t="str">
        <f>IFERROR(IF(0=LEN(ReferenceData!$D$189),"",ReferenceData!$D$189),"")</f>
        <v>WARDS_RETAIL_SALES_UNITS</v>
      </c>
      <c r="E189" t="str">
        <f>IFERROR(IF(0=LEN(ReferenceData!$E$189),"",ReferenceData!$E$189),"")</f>
        <v>Dynamic</v>
      </c>
      <c r="F189">
        <f ca="1">IFERROR(IF(0=LEN(ReferenceData!$F$189),"",ReferenceData!$F$189),"")</f>
        <v>229</v>
      </c>
      <c r="G189">
        <f ca="1">IFERROR(IF(0=LEN(ReferenceData!$G$189),"",ReferenceData!$G$189),"")</f>
        <v>233</v>
      </c>
      <c r="H189">
        <f ca="1">IFERROR(IF(0=LEN(ReferenceData!$H$189),"",ReferenceData!$H$189),"")</f>
        <v>224</v>
      </c>
      <c r="I189">
        <f ca="1">IFERROR(IF(0=LEN(ReferenceData!$I$189),"",ReferenceData!$I$189),"")</f>
        <v>227</v>
      </c>
      <c r="J189">
        <f ca="1">IFERROR(IF(0=LEN(ReferenceData!$J$189),"",ReferenceData!$J$189),"")</f>
        <v>233</v>
      </c>
      <c r="K189">
        <f ca="1">IFERROR(IF(0=LEN(ReferenceData!$K$189),"",ReferenceData!$K$189),"")</f>
        <v>212</v>
      </c>
      <c r="L189">
        <f ca="1">IFERROR(IF(0=LEN(ReferenceData!$L$189),"",ReferenceData!$L$189),"")</f>
        <v>186</v>
      </c>
      <c r="M189">
        <f ca="1">IFERROR(IF(0=LEN(ReferenceData!$M$189),"",ReferenceData!$M$189),"")</f>
        <v>191</v>
      </c>
      <c r="N189">
        <f ca="1">IFERROR(IF(0=LEN(ReferenceData!$N$189),"",ReferenceData!$N$189),"")</f>
        <v>129</v>
      </c>
      <c r="O189">
        <f ca="1">IFERROR(IF(0=LEN(ReferenceData!$O$189),"",ReferenceData!$O$189),"")</f>
        <v>118</v>
      </c>
      <c r="P189">
        <f ca="1">IFERROR(IF(0=LEN(ReferenceData!$P$189),"",ReferenceData!$P$189),"")</f>
        <v>187</v>
      </c>
      <c r="Q189">
        <f ca="1">IFERROR(IF(0=LEN(ReferenceData!$Q$189),"",ReferenceData!$Q$189),"")</f>
        <v>198</v>
      </c>
      <c r="R189">
        <f ca="1">IFERROR(IF(0=LEN(ReferenceData!$R$189),"",ReferenceData!$R$189),"")</f>
        <v>146</v>
      </c>
      <c r="S189">
        <f ca="1">IFERROR(IF(0=LEN(ReferenceData!$S$189),"",ReferenceData!$S$189),"")</f>
        <v>230</v>
      </c>
      <c r="T189">
        <f ca="1">IFERROR(IF(0=LEN(ReferenceData!$T$189),"",ReferenceData!$T$189),"")</f>
        <v>179</v>
      </c>
      <c r="U189">
        <f ca="1">IFERROR(IF(0=LEN(ReferenceData!$U$189),"",ReferenceData!$U$189),"")</f>
        <v>175</v>
      </c>
      <c r="V189">
        <f ca="1">IFERROR(IF(0=LEN(ReferenceData!$V$189),"",ReferenceData!$V$189),"")</f>
        <v>277</v>
      </c>
      <c r="W189">
        <f ca="1">IFERROR(IF(0=LEN(ReferenceData!$W$189),"",ReferenceData!$W$189),"")</f>
        <v>266</v>
      </c>
      <c r="X189">
        <f ca="1">IFERROR(IF(0=LEN(ReferenceData!$X$189),"",ReferenceData!$X$189),"")</f>
        <v>207</v>
      </c>
      <c r="Y189">
        <f ca="1">IFERROR(IF(0=LEN(ReferenceData!$Y$189),"",ReferenceData!$Y$189),"")</f>
        <v>169</v>
      </c>
      <c r="Z189">
        <f ca="1">IFERROR(IF(0=LEN(ReferenceData!$Z$189),"",ReferenceData!$Z$189),"")</f>
        <v>174</v>
      </c>
      <c r="AA189">
        <f ca="1">IFERROR(IF(0=LEN(ReferenceData!$AA$189),"",ReferenceData!$AA$189),"")</f>
        <v>166</v>
      </c>
      <c r="AB189">
        <f ca="1">IFERROR(IF(0=LEN(ReferenceData!$AB$189),"",ReferenceData!$AB$189),"")</f>
        <v>236</v>
      </c>
      <c r="AC189">
        <f ca="1">IFERROR(IF(0=LEN(ReferenceData!$AC$189),"",ReferenceData!$AC$189),"")</f>
        <v>221</v>
      </c>
      <c r="AD189">
        <f ca="1">IFERROR(IF(0=LEN(ReferenceData!$AD$189),"",ReferenceData!$AD$189),"")</f>
        <v>219</v>
      </c>
      <c r="AE189">
        <f ca="1">IFERROR(IF(0=LEN(ReferenceData!$AE$189),"",ReferenceData!$AE$189),"")</f>
        <v>280</v>
      </c>
      <c r="AF189">
        <f ca="1">IFERROR(IF(0=LEN(ReferenceData!$AF$189),"",ReferenceData!$AF$189),"")</f>
        <v>139</v>
      </c>
      <c r="AG189">
        <f ca="1">IFERROR(IF(0=LEN(ReferenceData!$AG$189),"",ReferenceData!$AG$189),"")</f>
        <v>182</v>
      </c>
      <c r="AH189">
        <f ca="1">IFERROR(IF(0=LEN(ReferenceData!$AH$189),"",ReferenceData!$AH$189),"")</f>
        <v>261</v>
      </c>
      <c r="AI189">
        <f ca="1">IFERROR(IF(0=LEN(ReferenceData!$AI$189),"",ReferenceData!$AI$189),"")</f>
        <v>214</v>
      </c>
      <c r="AJ189">
        <f ca="1">IFERROR(IF(0=LEN(ReferenceData!$AJ$189),"",ReferenceData!$AJ$189),"")</f>
        <v>183</v>
      </c>
      <c r="AK189">
        <f ca="1">IFERROR(IF(0=LEN(ReferenceData!$AK$189),"",ReferenceData!$AK$189),"")</f>
        <v>202</v>
      </c>
      <c r="AL189">
        <f ca="1">IFERROR(IF(0=LEN(ReferenceData!$AL$189),"",ReferenceData!$AL$189),"")</f>
        <v>148</v>
      </c>
      <c r="AM189">
        <f ca="1">IFERROR(IF(0=LEN(ReferenceData!$AM$189),"",ReferenceData!$AM$189),"")</f>
        <v>175</v>
      </c>
      <c r="AN189">
        <f ca="1">IFERROR(IF(0=LEN(ReferenceData!$AN$189),"",ReferenceData!$AN$189),"")</f>
        <v>279</v>
      </c>
      <c r="AO189">
        <f ca="1">IFERROR(IF(0=LEN(ReferenceData!$AO$189),"",ReferenceData!$AO$189),"")</f>
        <v>227</v>
      </c>
      <c r="AP189">
        <f ca="1">IFERROR(IF(0=LEN(ReferenceData!$AP$189),"",ReferenceData!$AP$189),"")</f>
        <v>251</v>
      </c>
      <c r="AQ189">
        <f ca="1">IFERROR(IF(0=LEN(ReferenceData!$AQ$189),"",ReferenceData!$AQ$189),"")</f>
        <v>222</v>
      </c>
      <c r="AR189">
        <f ca="1">IFERROR(IF(0=LEN(ReferenceData!$AR$189),"",ReferenceData!$AR$189),"")</f>
        <v>191</v>
      </c>
      <c r="AS189">
        <f ca="1">IFERROR(IF(0=LEN(ReferenceData!$AS$189),"",ReferenceData!$AS$189),"")</f>
        <v>205</v>
      </c>
    </row>
    <row r="190" spans="1:45" x14ac:dyDescent="0.25">
      <c r="A190" t="str">
        <f>IFERROR(IF(0=LEN(ReferenceData!$A$190),"",ReferenceData!$A$190),"")</f>
        <v xml:space="preserve">    Daimler - Sterling</v>
      </c>
      <c r="B190" t="str">
        <f>IFERROR(IF(0=LEN(ReferenceData!$B$190),"",ReferenceData!$B$190),"")</f>
        <v>DAI GR Equity</v>
      </c>
      <c r="C190" t="str">
        <f>IFERROR(IF(0=LEN(ReferenceData!$C$190),"",ReferenceData!$C$190),"")</f>
        <v>X1701</v>
      </c>
      <c r="D190" t="str">
        <f>IFERROR(IF(0=LEN(ReferenceData!$D$190),"",ReferenceData!$D$190),"")</f>
        <v>WARDS_RETAIL_SALES_UNITS</v>
      </c>
      <c r="E190" t="str">
        <f>IFERROR(IF(0=LEN(ReferenceData!$E$190),"",ReferenceData!$E$190),"")</f>
        <v>Dynamic</v>
      </c>
      <c r="F190" t="str">
        <f ca="1">IFERROR(IF(0=LEN(ReferenceData!$F$190),"",ReferenceData!$F$190),"")</f>
        <v/>
      </c>
      <c r="G190" t="str">
        <f ca="1">IFERROR(IF(0=LEN(ReferenceData!$G$190),"",ReferenceData!$G$190),"")</f>
        <v/>
      </c>
      <c r="H190" t="str">
        <f ca="1">IFERROR(IF(0=LEN(ReferenceData!$H$190),"",ReferenceData!$H$190),"")</f>
        <v/>
      </c>
      <c r="I190" t="str">
        <f ca="1">IFERROR(IF(0=LEN(ReferenceData!$I$190),"",ReferenceData!$I$190),"")</f>
        <v/>
      </c>
      <c r="J190" t="str">
        <f ca="1">IFERROR(IF(0=LEN(ReferenceData!$J$190),"",ReferenceData!$J$190),"")</f>
        <v/>
      </c>
      <c r="K190" t="str">
        <f ca="1">IFERROR(IF(0=LEN(ReferenceData!$K$190),"",ReferenceData!$K$190),"")</f>
        <v/>
      </c>
      <c r="L190" t="str">
        <f ca="1">IFERROR(IF(0=LEN(ReferenceData!$L$190),"",ReferenceData!$L$190),"")</f>
        <v/>
      </c>
      <c r="M190" t="str">
        <f ca="1">IFERROR(IF(0=LEN(ReferenceData!$M$190),"",ReferenceData!$M$190),"")</f>
        <v/>
      </c>
      <c r="N190" t="str">
        <f ca="1">IFERROR(IF(0=LEN(ReferenceData!$N$190),"",ReferenceData!$N$190),"")</f>
        <v/>
      </c>
      <c r="O190" t="str">
        <f ca="1">IFERROR(IF(0=LEN(ReferenceData!$O$190),"",ReferenceData!$O$190),"")</f>
        <v/>
      </c>
      <c r="P190" t="str">
        <f ca="1">IFERROR(IF(0=LEN(ReferenceData!$P$190),"",ReferenceData!$P$190),"")</f>
        <v/>
      </c>
      <c r="Q190" t="str">
        <f ca="1">IFERROR(IF(0=LEN(ReferenceData!$Q$190),"",ReferenceData!$Q$190),"")</f>
        <v/>
      </c>
      <c r="R190" t="str">
        <f ca="1">IFERROR(IF(0=LEN(ReferenceData!$R$190),"",ReferenceData!$R$190),"")</f>
        <v/>
      </c>
      <c r="S190" t="str">
        <f ca="1">IFERROR(IF(0=LEN(ReferenceData!$S$190),"",ReferenceData!$S$190),"")</f>
        <v/>
      </c>
      <c r="T190" t="str">
        <f ca="1">IFERROR(IF(0=LEN(ReferenceData!$T$190),"",ReferenceData!$T$190),"")</f>
        <v/>
      </c>
      <c r="U190" t="str">
        <f ca="1">IFERROR(IF(0=LEN(ReferenceData!$U$190),"",ReferenceData!$U$190),"")</f>
        <v/>
      </c>
      <c r="V190" t="str">
        <f ca="1">IFERROR(IF(0=LEN(ReferenceData!$V$190),"",ReferenceData!$V$190),"")</f>
        <v/>
      </c>
      <c r="W190" t="str">
        <f ca="1">IFERROR(IF(0=LEN(ReferenceData!$W$190),"",ReferenceData!$W$190),"")</f>
        <v/>
      </c>
      <c r="X190" t="str">
        <f ca="1">IFERROR(IF(0=LEN(ReferenceData!$X$190),"",ReferenceData!$X$190),"")</f>
        <v/>
      </c>
      <c r="Y190" t="str">
        <f ca="1">IFERROR(IF(0=LEN(ReferenceData!$Y$190),"",ReferenceData!$Y$190),"")</f>
        <v/>
      </c>
      <c r="Z190" t="str">
        <f ca="1">IFERROR(IF(0=LEN(ReferenceData!$Z$190),"",ReferenceData!$Z$190),"")</f>
        <v/>
      </c>
      <c r="AA190" t="str">
        <f ca="1">IFERROR(IF(0=LEN(ReferenceData!$AA$190),"",ReferenceData!$AA$190),"")</f>
        <v/>
      </c>
      <c r="AB190" t="str">
        <f ca="1">IFERROR(IF(0=LEN(ReferenceData!$AB$190),"",ReferenceData!$AB$190),"")</f>
        <v/>
      </c>
      <c r="AC190" t="str">
        <f ca="1">IFERROR(IF(0=LEN(ReferenceData!$AC$190),"",ReferenceData!$AC$190),"")</f>
        <v/>
      </c>
      <c r="AD190" t="str">
        <f ca="1">IFERROR(IF(0=LEN(ReferenceData!$AD$190),"",ReferenceData!$AD$190),"")</f>
        <v/>
      </c>
      <c r="AE190" t="str">
        <f ca="1">IFERROR(IF(0=LEN(ReferenceData!$AE$190),"",ReferenceData!$AE$190),"")</f>
        <v/>
      </c>
      <c r="AF190" t="str">
        <f ca="1">IFERROR(IF(0=LEN(ReferenceData!$AF$190),"",ReferenceData!$AF$190),"")</f>
        <v/>
      </c>
      <c r="AG190" t="str">
        <f ca="1">IFERROR(IF(0=LEN(ReferenceData!$AG$190),"",ReferenceData!$AG$190),"")</f>
        <v/>
      </c>
      <c r="AH190" t="str">
        <f ca="1">IFERROR(IF(0=LEN(ReferenceData!$AH$190),"",ReferenceData!$AH$190),"")</f>
        <v/>
      </c>
      <c r="AI190" t="str">
        <f ca="1">IFERROR(IF(0=LEN(ReferenceData!$AI$190),"",ReferenceData!$AI$190),"")</f>
        <v/>
      </c>
      <c r="AJ190" t="str">
        <f ca="1">IFERROR(IF(0=LEN(ReferenceData!$AJ$190),"",ReferenceData!$AJ$190),"")</f>
        <v/>
      </c>
      <c r="AK190" t="str">
        <f ca="1">IFERROR(IF(0=LEN(ReferenceData!$AK$190),"",ReferenceData!$AK$190),"")</f>
        <v/>
      </c>
      <c r="AL190" t="str">
        <f ca="1">IFERROR(IF(0=LEN(ReferenceData!$AL$190),"",ReferenceData!$AL$190),"")</f>
        <v/>
      </c>
      <c r="AM190" t="str">
        <f ca="1">IFERROR(IF(0=LEN(ReferenceData!$AM$190),"",ReferenceData!$AM$190),"")</f>
        <v/>
      </c>
      <c r="AN190" t="str">
        <f ca="1">IFERROR(IF(0=LEN(ReferenceData!$AN$190),"",ReferenceData!$AN$190),"")</f>
        <v/>
      </c>
      <c r="AO190" t="str">
        <f ca="1">IFERROR(IF(0=LEN(ReferenceData!$AO$190),"",ReferenceData!$AO$190),"")</f>
        <v/>
      </c>
      <c r="AP190" t="str">
        <f ca="1">IFERROR(IF(0=LEN(ReferenceData!$AP$190),"",ReferenceData!$AP$190),"")</f>
        <v/>
      </c>
      <c r="AQ190" t="str">
        <f ca="1">IFERROR(IF(0=LEN(ReferenceData!$AQ$190),"",ReferenceData!$AQ$190),"")</f>
        <v/>
      </c>
      <c r="AR190" t="str">
        <f ca="1">IFERROR(IF(0=LEN(ReferenceData!$AR$190),"",ReferenceData!$AR$190),"")</f>
        <v/>
      </c>
      <c r="AS190" t="str">
        <f ca="1">IFERROR(IF(0=LEN(ReferenceData!$AS$190),"",ReferenceData!$AS$190),"")</f>
        <v/>
      </c>
    </row>
    <row r="191" spans="1:45" x14ac:dyDescent="0.25">
      <c r="A191" t="str">
        <f>IFERROR(IF(0=LEN(ReferenceData!$A$191),"",ReferenceData!$A$191),"")</f>
        <v xml:space="preserve">    PACCAR - Kenworth</v>
      </c>
      <c r="B191" t="str">
        <f>IFERROR(IF(0=LEN(ReferenceData!$B$191),"",ReferenceData!$B$191),"")</f>
        <v>PCAR US Equity</v>
      </c>
      <c r="C191" t="str">
        <f>IFERROR(IF(0=LEN(ReferenceData!$C$191),"",ReferenceData!$C$191),"")</f>
        <v>X1701</v>
      </c>
      <c r="D191" t="str">
        <f>IFERROR(IF(0=LEN(ReferenceData!$D$191),"",ReferenceData!$D$191),"")</f>
        <v>WARDS_RETAIL_SALES_UNITS</v>
      </c>
      <c r="E191" t="str">
        <f>IFERROR(IF(0=LEN(ReferenceData!$E$191),"",ReferenceData!$E$191),"")</f>
        <v>Dynamic</v>
      </c>
      <c r="F191">
        <f ca="1">IFERROR(IF(0=LEN(ReferenceData!$F$191),"",ReferenceData!$F$191),"")</f>
        <v>450</v>
      </c>
      <c r="G191">
        <f ca="1">IFERROR(IF(0=LEN(ReferenceData!$G$191),"",ReferenceData!$G$191),"")</f>
        <v>420</v>
      </c>
      <c r="H191">
        <f ca="1">IFERROR(IF(0=LEN(ReferenceData!$H$191),"",ReferenceData!$H$191),"")</f>
        <v>374</v>
      </c>
      <c r="I191">
        <f ca="1">IFERROR(IF(0=LEN(ReferenceData!$I$191),"",ReferenceData!$I$191),"")</f>
        <v>428</v>
      </c>
      <c r="J191">
        <f ca="1">IFERROR(IF(0=LEN(ReferenceData!$J$191),"",ReferenceData!$J$191),"")</f>
        <v>392</v>
      </c>
      <c r="K191">
        <f ca="1">IFERROR(IF(0=LEN(ReferenceData!$K$191),"",ReferenceData!$K$191),"")</f>
        <v>418</v>
      </c>
      <c r="L191">
        <f ca="1">IFERROR(IF(0=LEN(ReferenceData!$L$191),"",ReferenceData!$L$191),"")</f>
        <v>255</v>
      </c>
      <c r="M191">
        <f ca="1">IFERROR(IF(0=LEN(ReferenceData!$M$191),"",ReferenceData!$M$191),"")</f>
        <v>297</v>
      </c>
      <c r="N191">
        <f ca="1">IFERROR(IF(0=LEN(ReferenceData!$N$191),"",ReferenceData!$N$191),"")</f>
        <v>203</v>
      </c>
      <c r="O191">
        <f ca="1">IFERROR(IF(0=LEN(ReferenceData!$O$191),"",ReferenceData!$O$191),"")</f>
        <v>204</v>
      </c>
      <c r="P191">
        <f ca="1">IFERROR(IF(0=LEN(ReferenceData!$P$191),"",ReferenceData!$P$191),"")</f>
        <v>283</v>
      </c>
      <c r="Q191">
        <f ca="1">IFERROR(IF(0=LEN(ReferenceData!$Q$191),"",ReferenceData!$Q$191),"")</f>
        <v>260</v>
      </c>
      <c r="R191">
        <f ca="1">IFERROR(IF(0=LEN(ReferenceData!$R$191),"",ReferenceData!$R$191),"")</f>
        <v>296</v>
      </c>
      <c r="S191">
        <f ca="1">IFERROR(IF(0=LEN(ReferenceData!$S$191),"",ReferenceData!$S$191),"")</f>
        <v>322</v>
      </c>
      <c r="T191">
        <f ca="1">IFERROR(IF(0=LEN(ReferenceData!$T$191),"",ReferenceData!$T$191),"")</f>
        <v>287</v>
      </c>
      <c r="U191">
        <f ca="1">IFERROR(IF(0=LEN(ReferenceData!$U$191),"",ReferenceData!$U$191),"")</f>
        <v>267</v>
      </c>
      <c r="V191">
        <f ca="1">IFERROR(IF(0=LEN(ReferenceData!$V$191),"",ReferenceData!$V$191),"")</f>
        <v>279</v>
      </c>
      <c r="W191">
        <f ca="1">IFERROR(IF(0=LEN(ReferenceData!$W$191),"",ReferenceData!$W$191),"")</f>
        <v>282</v>
      </c>
      <c r="X191">
        <f ca="1">IFERROR(IF(0=LEN(ReferenceData!$X$191),"",ReferenceData!$X$191),"")</f>
        <v>246</v>
      </c>
      <c r="Y191">
        <f ca="1">IFERROR(IF(0=LEN(ReferenceData!$Y$191),"",ReferenceData!$Y$191),"")</f>
        <v>250</v>
      </c>
      <c r="Z191">
        <f ca="1">IFERROR(IF(0=LEN(ReferenceData!$Z$191),"",ReferenceData!$Z$191),"")</f>
        <v>185</v>
      </c>
      <c r="AA191">
        <f ca="1">IFERROR(IF(0=LEN(ReferenceData!$AA$191),"",ReferenceData!$AA$191),"")</f>
        <v>140</v>
      </c>
      <c r="AB191">
        <f ca="1">IFERROR(IF(0=LEN(ReferenceData!$AB$191),"",ReferenceData!$AB$191),"")</f>
        <v>281</v>
      </c>
      <c r="AC191">
        <f ca="1">IFERROR(IF(0=LEN(ReferenceData!$AC$191),"",ReferenceData!$AC$191),"")</f>
        <v>294</v>
      </c>
      <c r="AD191">
        <f ca="1">IFERROR(IF(0=LEN(ReferenceData!$AD$191),"",ReferenceData!$AD$191),"")</f>
        <v>294</v>
      </c>
      <c r="AE191">
        <f ca="1">IFERROR(IF(0=LEN(ReferenceData!$AE$191),"",ReferenceData!$AE$191),"")</f>
        <v>404</v>
      </c>
      <c r="AF191">
        <f ca="1">IFERROR(IF(0=LEN(ReferenceData!$AF$191),"",ReferenceData!$AF$191),"")</f>
        <v>318</v>
      </c>
      <c r="AG191">
        <f ca="1">IFERROR(IF(0=LEN(ReferenceData!$AG$191),"",ReferenceData!$AG$191),"")</f>
        <v>351</v>
      </c>
      <c r="AH191">
        <f ca="1">IFERROR(IF(0=LEN(ReferenceData!$AH$191),"",ReferenceData!$AH$191),"")</f>
        <v>299</v>
      </c>
      <c r="AI191">
        <f ca="1">IFERROR(IF(0=LEN(ReferenceData!$AI$191),"",ReferenceData!$AI$191),"")</f>
        <v>384</v>
      </c>
      <c r="AJ191">
        <f ca="1">IFERROR(IF(0=LEN(ReferenceData!$AJ$191),"",ReferenceData!$AJ$191),"")</f>
        <v>393</v>
      </c>
      <c r="AK191">
        <f ca="1">IFERROR(IF(0=LEN(ReferenceData!$AK$191),"",ReferenceData!$AK$191),"")</f>
        <v>436</v>
      </c>
      <c r="AL191">
        <f ca="1">IFERROR(IF(0=LEN(ReferenceData!$AL$191),"",ReferenceData!$AL$191),"")</f>
        <v>343</v>
      </c>
      <c r="AM191">
        <f ca="1">IFERROR(IF(0=LEN(ReferenceData!$AM$191),"",ReferenceData!$AM$191),"")</f>
        <v>342</v>
      </c>
      <c r="AN191">
        <f ca="1">IFERROR(IF(0=LEN(ReferenceData!$AN$191),"",ReferenceData!$AN$191),"")</f>
        <v>445</v>
      </c>
      <c r="AO191">
        <f ca="1">IFERROR(IF(0=LEN(ReferenceData!$AO$191),"",ReferenceData!$AO$191),"")</f>
        <v>412</v>
      </c>
      <c r="AP191">
        <f ca="1">IFERROR(IF(0=LEN(ReferenceData!$AP$191),"",ReferenceData!$AP$191),"")</f>
        <v>496</v>
      </c>
      <c r="AQ191">
        <f ca="1">IFERROR(IF(0=LEN(ReferenceData!$AQ$191),"",ReferenceData!$AQ$191),"")</f>
        <v>493</v>
      </c>
      <c r="AR191">
        <f ca="1">IFERROR(IF(0=LEN(ReferenceData!$AR$191),"",ReferenceData!$AR$191),"")</f>
        <v>416</v>
      </c>
      <c r="AS191">
        <f ca="1">IFERROR(IF(0=LEN(ReferenceData!$AS$191),"",ReferenceData!$AS$191),"")</f>
        <v>419</v>
      </c>
    </row>
    <row r="192" spans="1:45" x14ac:dyDescent="0.25">
      <c r="A192" t="str">
        <f>IFERROR(IF(0=LEN(ReferenceData!$A$192),"",ReferenceData!$A$192),"")</f>
        <v xml:space="preserve">    PACCAR - Peterbilt</v>
      </c>
      <c r="B192" t="str">
        <f>IFERROR(IF(0=LEN(ReferenceData!$B$192),"",ReferenceData!$B$192),"")</f>
        <v>PCAR US Equity</v>
      </c>
      <c r="C192" t="str">
        <f>IFERROR(IF(0=LEN(ReferenceData!$C$192),"",ReferenceData!$C$192),"")</f>
        <v>X1701</v>
      </c>
      <c r="D192" t="str">
        <f>IFERROR(IF(0=LEN(ReferenceData!$D$192),"",ReferenceData!$D$192),"")</f>
        <v>WARDS_RETAIL_SALES_UNITS</v>
      </c>
      <c r="E192" t="str">
        <f>IFERROR(IF(0=LEN(ReferenceData!$E$192),"",ReferenceData!$E$192),"")</f>
        <v>Dynamic</v>
      </c>
      <c r="F192">
        <f ca="1">IFERROR(IF(0=LEN(ReferenceData!$F$192),"",ReferenceData!$F$192),"")</f>
        <v>254</v>
      </c>
      <c r="G192">
        <f ca="1">IFERROR(IF(0=LEN(ReferenceData!$G$192),"",ReferenceData!$G$192),"")</f>
        <v>250</v>
      </c>
      <c r="H192">
        <f ca="1">IFERROR(IF(0=LEN(ReferenceData!$H$192),"",ReferenceData!$H$192),"")</f>
        <v>274</v>
      </c>
      <c r="I192">
        <f ca="1">IFERROR(IF(0=LEN(ReferenceData!$I$192),"",ReferenceData!$I$192),"")</f>
        <v>271</v>
      </c>
      <c r="J192">
        <f ca="1">IFERROR(IF(0=LEN(ReferenceData!$J$192),"",ReferenceData!$J$192),"")</f>
        <v>272</v>
      </c>
      <c r="K192">
        <f ca="1">IFERROR(IF(0=LEN(ReferenceData!$K$192),"",ReferenceData!$K$192),"")</f>
        <v>297</v>
      </c>
      <c r="L192">
        <f ca="1">IFERROR(IF(0=LEN(ReferenceData!$L$192),"",ReferenceData!$L$192),"")</f>
        <v>225</v>
      </c>
      <c r="M192">
        <f ca="1">IFERROR(IF(0=LEN(ReferenceData!$M$192),"",ReferenceData!$M$192),"")</f>
        <v>240</v>
      </c>
      <c r="N192">
        <f ca="1">IFERROR(IF(0=LEN(ReferenceData!$N$192),"",ReferenceData!$N$192),"")</f>
        <v>210</v>
      </c>
      <c r="O192">
        <f ca="1">IFERROR(IF(0=LEN(ReferenceData!$O$192),"",ReferenceData!$O$192),"")</f>
        <v>150</v>
      </c>
      <c r="P192">
        <f ca="1">IFERROR(IF(0=LEN(ReferenceData!$P$192),"",ReferenceData!$P$192),"")</f>
        <v>205</v>
      </c>
      <c r="Q192">
        <f ca="1">IFERROR(IF(0=LEN(ReferenceData!$Q$192),"",ReferenceData!$Q$192),"")</f>
        <v>203</v>
      </c>
      <c r="R192">
        <f ca="1">IFERROR(IF(0=LEN(ReferenceData!$R$192),"",ReferenceData!$R$192),"")</f>
        <v>239</v>
      </c>
      <c r="S192">
        <f ca="1">IFERROR(IF(0=LEN(ReferenceData!$S$192),"",ReferenceData!$S$192),"")</f>
        <v>180</v>
      </c>
      <c r="T192">
        <f ca="1">IFERROR(IF(0=LEN(ReferenceData!$T$192),"",ReferenceData!$T$192),"")</f>
        <v>237</v>
      </c>
      <c r="U192">
        <f ca="1">IFERROR(IF(0=LEN(ReferenceData!$U$192),"",ReferenceData!$U$192),"")</f>
        <v>200</v>
      </c>
      <c r="V192">
        <f ca="1">IFERROR(IF(0=LEN(ReferenceData!$V$192),"",ReferenceData!$V$192),"")</f>
        <v>250</v>
      </c>
      <c r="W192">
        <f ca="1">IFERROR(IF(0=LEN(ReferenceData!$W$192),"",ReferenceData!$W$192),"")</f>
        <v>210</v>
      </c>
      <c r="X192">
        <f ca="1">IFERROR(IF(0=LEN(ReferenceData!$X$192),"",ReferenceData!$X$192),"")</f>
        <v>179</v>
      </c>
      <c r="Y192">
        <f ca="1">IFERROR(IF(0=LEN(ReferenceData!$Y$192),"",ReferenceData!$Y$192),"")</f>
        <v>177</v>
      </c>
      <c r="Z192">
        <f ca="1">IFERROR(IF(0=LEN(ReferenceData!$Z$192),"",ReferenceData!$Z$192),"")</f>
        <v>138</v>
      </c>
      <c r="AA192">
        <f ca="1">IFERROR(IF(0=LEN(ReferenceData!$AA$192),"",ReferenceData!$AA$192),"")</f>
        <v>151</v>
      </c>
      <c r="AB192">
        <f ca="1">IFERROR(IF(0=LEN(ReferenceData!$AB$192),"",ReferenceData!$AB$192),"")</f>
        <v>206</v>
      </c>
      <c r="AC192">
        <f ca="1">IFERROR(IF(0=LEN(ReferenceData!$AC$192),"",ReferenceData!$AC$192),"")</f>
        <v>212</v>
      </c>
      <c r="AD192">
        <f ca="1">IFERROR(IF(0=LEN(ReferenceData!$AD$192),"",ReferenceData!$AD$192),"")</f>
        <v>221</v>
      </c>
      <c r="AE192">
        <f ca="1">IFERROR(IF(0=LEN(ReferenceData!$AE$192),"",ReferenceData!$AE$192),"")</f>
        <v>267</v>
      </c>
      <c r="AF192">
        <f ca="1">IFERROR(IF(0=LEN(ReferenceData!$AF$192),"",ReferenceData!$AF$192),"")</f>
        <v>279</v>
      </c>
      <c r="AG192">
        <f ca="1">IFERROR(IF(0=LEN(ReferenceData!$AG$192),"",ReferenceData!$AG$192),"")</f>
        <v>337</v>
      </c>
      <c r="AH192">
        <f ca="1">IFERROR(IF(0=LEN(ReferenceData!$AH$192),"",ReferenceData!$AH$192),"")</f>
        <v>287</v>
      </c>
      <c r="AI192">
        <f ca="1">IFERROR(IF(0=LEN(ReferenceData!$AI$192),"",ReferenceData!$AI$192),"")</f>
        <v>317</v>
      </c>
      <c r="AJ192">
        <f ca="1">IFERROR(IF(0=LEN(ReferenceData!$AJ$192),"",ReferenceData!$AJ$192),"")</f>
        <v>328</v>
      </c>
      <c r="AK192">
        <f ca="1">IFERROR(IF(0=LEN(ReferenceData!$AK$192),"",ReferenceData!$AK$192),"")</f>
        <v>279</v>
      </c>
      <c r="AL192">
        <f ca="1">IFERROR(IF(0=LEN(ReferenceData!$AL$192),"",ReferenceData!$AL$192),"")</f>
        <v>176</v>
      </c>
      <c r="AM192">
        <f ca="1">IFERROR(IF(0=LEN(ReferenceData!$AM$192),"",ReferenceData!$AM$192),"")</f>
        <v>259</v>
      </c>
      <c r="AN192">
        <f ca="1">IFERROR(IF(0=LEN(ReferenceData!$AN$192),"",ReferenceData!$AN$192),"")</f>
        <v>326</v>
      </c>
      <c r="AO192">
        <f ca="1">IFERROR(IF(0=LEN(ReferenceData!$AO$192),"",ReferenceData!$AO$192),"")</f>
        <v>334</v>
      </c>
      <c r="AP192">
        <f ca="1">IFERROR(IF(0=LEN(ReferenceData!$AP$192),"",ReferenceData!$AP$192),"")</f>
        <v>357</v>
      </c>
      <c r="AQ192">
        <f ca="1">IFERROR(IF(0=LEN(ReferenceData!$AQ$192),"",ReferenceData!$AQ$192),"")</f>
        <v>330</v>
      </c>
      <c r="AR192">
        <f ca="1">IFERROR(IF(0=LEN(ReferenceData!$AR$192),"",ReferenceData!$AR$192),"")</f>
        <v>310</v>
      </c>
      <c r="AS192">
        <f ca="1">IFERROR(IF(0=LEN(ReferenceData!$AS$192),"",ReferenceData!$AS$192),"")</f>
        <v>344</v>
      </c>
    </row>
    <row r="193" spans="1:45" x14ac:dyDescent="0.25">
      <c r="A193" t="str">
        <f>IFERROR(IF(0=LEN(ReferenceData!$A$193),"",ReferenceData!$A$193),"")</f>
        <v xml:space="preserve">    Volvo - Volvo Truck</v>
      </c>
      <c r="B193" t="str">
        <f>IFERROR(IF(0=LEN(ReferenceData!$B$193),"",ReferenceData!$B$193),"")</f>
        <v>VOLVB SS Equity</v>
      </c>
      <c r="C193" t="str">
        <f>IFERROR(IF(0=LEN(ReferenceData!$C$193),"",ReferenceData!$C$193),"")</f>
        <v>X1701</v>
      </c>
      <c r="D193" t="str">
        <f>IFERROR(IF(0=LEN(ReferenceData!$D$193),"",ReferenceData!$D$193),"")</f>
        <v>WARDS_RETAIL_SALES_UNITS</v>
      </c>
      <c r="E193" t="str">
        <f>IFERROR(IF(0=LEN(ReferenceData!$E$193),"",ReferenceData!$E$193),"")</f>
        <v>Dynamic</v>
      </c>
      <c r="F193">
        <f ca="1">IFERROR(IF(0=LEN(ReferenceData!$F$193),"",ReferenceData!$F$193),"")</f>
        <v>261</v>
      </c>
      <c r="G193">
        <f ca="1">IFERROR(IF(0=LEN(ReferenceData!$G$193),"",ReferenceData!$G$193),"")</f>
        <v>312</v>
      </c>
      <c r="H193">
        <f ca="1">IFERROR(IF(0=LEN(ReferenceData!$H$193),"",ReferenceData!$H$193),"")</f>
        <v>315</v>
      </c>
      <c r="I193">
        <f ca="1">IFERROR(IF(0=LEN(ReferenceData!$I$193),"",ReferenceData!$I$193),"")</f>
        <v>228</v>
      </c>
      <c r="J193">
        <f ca="1">IFERROR(IF(0=LEN(ReferenceData!$J$193),"",ReferenceData!$J$193),"")</f>
        <v>269</v>
      </c>
      <c r="K193">
        <f ca="1">IFERROR(IF(0=LEN(ReferenceData!$K$193),"",ReferenceData!$K$193),"")</f>
        <v>254</v>
      </c>
      <c r="L193">
        <f ca="1">IFERROR(IF(0=LEN(ReferenceData!$L$193),"",ReferenceData!$L$193),"")</f>
        <v>184</v>
      </c>
      <c r="M193">
        <f ca="1">IFERROR(IF(0=LEN(ReferenceData!$M$193),"",ReferenceData!$M$193),"")</f>
        <v>241</v>
      </c>
      <c r="N193">
        <f ca="1">IFERROR(IF(0=LEN(ReferenceData!$N$193),"",ReferenceData!$N$193),"")</f>
        <v>164</v>
      </c>
      <c r="O193">
        <f ca="1">IFERROR(IF(0=LEN(ReferenceData!$O$193),"",ReferenceData!$O$193),"")</f>
        <v>71</v>
      </c>
      <c r="P193">
        <f ca="1">IFERROR(IF(0=LEN(ReferenceData!$P$193),"",ReferenceData!$P$193),"")</f>
        <v>339</v>
      </c>
      <c r="Q193">
        <f ca="1">IFERROR(IF(0=LEN(ReferenceData!$Q$193),"",ReferenceData!$Q$193),"")</f>
        <v>243</v>
      </c>
      <c r="R193">
        <f ca="1">IFERROR(IF(0=LEN(ReferenceData!$R$193),"",ReferenceData!$R$193),"")</f>
        <v>245</v>
      </c>
      <c r="S193">
        <f ca="1">IFERROR(IF(0=LEN(ReferenceData!$S$193),"",ReferenceData!$S$193),"")</f>
        <v>262</v>
      </c>
      <c r="T193">
        <f ca="1">IFERROR(IF(0=LEN(ReferenceData!$T$193),"",ReferenceData!$T$193),"")</f>
        <v>226</v>
      </c>
      <c r="U193">
        <f ca="1">IFERROR(IF(0=LEN(ReferenceData!$U$193),"",ReferenceData!$U$193),"")</f>
        <v>135</v>
      </c>
      <c r="V193">
        <f ca="1">IFERROR(IF(0=LEN(ReferenceData!$V$193),"",ReferenceData!$V$193),"")</f>
        <v>181</v>
      </c>
      <c r="W193">
        <f ca="1">IFERROR(IF(0=LEN(ReferenceData!$W$193),"",ReferenceData!$W$193),"")</f>
        <v>338</v>
      </c>
      <c r="X193">
        <f ca="1">IFERROR(IF(0=LEN(ReferenceData!$X$193),"",ReferenceData!$X$193),"")</f>
        <v>261</v>
      </c>
      <c r="Y193">
        <f ca="1">IFERROR(IF(0=LEN(ReferenceData!$Y$193),"",ReferenceData!$Y$193),"")</f>
        <v>179</v>
      </c>
      <c r="Z193">
        <f ca="1">IFERROR(IF(0=LEN(ReferenceData!$Z$193),"",ReferenceData!$Z$193),"")</f>
        <v>282</v>
      </c>
      <c r="AA193">
        <f ca="1">IFERROR(IF(0=LEN(ReferenceData!$AA$193),"",ReferenceData!$AA$193),"")</f>
        <v>213</v>
      </c>
      <c r="AB193">
        <f ca="1">IFERROR(IF(0=LEN(ReferenceData!$AB$193),"",ReferenceData!$AB$193),"")</f>
        <v>475</v>
      </c>
      <c r="AC193">
        <f ca="1">IFERROR(IF(0=LEN(ReferenceData!$AC$193),"",ReferenceData!$AC$193),"")</f>
        <v>360</v>
      </c>
      <c r="AD193">
        <f ca="1">IFERROR(IF(0=LEN(ReferenceData!$AD$193),"",ReferenceData!$AD$193),"")</f>
        <v>396</v>
      </c>
      <c r="AE193">
        <f ca="1">IFERROR(IF(0=LEN(ReferenceData!$AE$193),"",ReferenceData!$AE$193),"")</f>
        <v>386</v>
      </c>
      <c r="AF193">
        <f ca="1">IFERROR(IF(0=LEN(ReferenceData!$AF$193),"",ReferenceData!$AF$193),"")</f>
        <v>291</v>
      </c>
      <c r="AG193">
        <f ca="1">IFERROR(IF(0=LEN(ReferenceData!$AG$193),"",ReferenceData!$AG$193),"")</f>
        <v>416</v>
      </c>
      <c r="AH193">
        <f ca="1">IFERROR(IF(0=LEN(ReferenceData!$AH$193),"",ReferenceData!$AH$193),"")</f>
        <v>476</v>
      </c>
      <c r="AI193">
        <f ca="1">IFERROR(IF(0=LEN(ReferenceData!$AI$193),"",ReferenceData!$AI$193),"")</f>
        <v>452</v>
      </c>
      <c r="AJ193">
        <f ca="1">IFERROR(IF(0=LEN(ReferenceData!$AJ$193),"",ReferenceData!$AJ$193),"")</f>
        <v>448</v>
      </c>
      <c r="AK193">
        <f ca="1">IFERROR(IF(0=LEN(ReferenceData!$AK$193),"",ReferenceData!$AK$193),"")</f>
        <v>460</v>
      </c>
      <c r="AL193">
        <f ca="1">IFERROR(IF(0=LEN(ReferenceData!$AL$193),"",ReferenceData!$AL$193),"")</f>
        <v>386</v>
      </c>
      <c r="AM193">
        <f ca="1">IFERROR(IF(0=LEN(ReferenceData!$AM$193),"",ReferenceData!$AM$193),"")</f>
        <v>338</v>
      </c>
      <c r="AN193">
        <f ca="1">IFERROR(IF(0=LEN(ReferenceData!$AN$193),"",ReferenceData!$AN$193),"")</f>
        <v>379</v>
      </c>
      <c r="AO193">
        <f ca="1">IFERROR(IF(0=LEN(ReferenceData!$AO$193),"",ReferenceData!$AO$193),"")</f>
        <v>369</v>
      </c>
      <c r="AP193">
        <f ca="1">IFERROR(IF(0=LEN(ReferenceData!$AP$193),"",ReferenceData!$AP$193),"")</f>
        <v>442</v>
      </c>
      <c r="AQ193">
        <f ca="1">IFERROR(IF(0=LEN(ReferenceData!$AQ$193),"",ReferenceData!$AQ$193),"")</f>
        <v>347</v>
      </c>
      <c r="AR193">
        <f ca="1">IFERROR(IF(0=LEN(ReferenceData!$AR$193),"",ReferenceData!$AR$193),"")</f>
        <v>327</v>
      </c>
      <c r="AS193">
        <f ca="1">IFERROR(IF(0=LEN(ReferenceData!$AS$193),"",ReferenceData!$AS$193),"")</f>
        <v>338</v>
      </c>
    </row>
    <row r="194" spans="1:45" x14ac:dyDescent="0.25">
      <c r="A194" t="str">
        <f>IFERROR(IF(0=LEN(ReferenceData!$A$194),"",ReferenceData!$A$194),"")</f>
        <v xml:space="preserve">    Volvo - Mack</v>
      </c>
      <c r="B194" t="str">
        <f>IFERROR(IF(0=LEN(ReferenceData!$B$194),"",ReferenceData!$B$194),"")</f>
        <v>VOLVB SS Equity</v>
      </c>
      <c r="C194" t="str">
        <f>IFERROR(IF(0=LEN(ReferenceData!$C$194),"",ReferenceData!$C$194),"")</f>
        <v>X1701</v>
      </c>
      <c r="D194" t="str">
        <f>IFERROR(IF(0=LEN(ReferenceData!$D$194),"",ReferenceData!$D$194),"")</f>
        <v>WARDS_RETAIL_SALES_UNITS</v>
      </c>
      <c r="E194" t="str">
        <f>IFERROR(IF(0=LEN(ReferenceData!$E$194),"",ReferenceData!$E$194),"")</f>
        <v>Dynamic</v>
      </c>
      <c r="F194">
        <f ca="1">IFERROR(IF(0=LEN(ReferenceData!$F$194),"",ReferenceData!$F$194),"")</f>
        <v>135</v>
      </c>
      <c r="G194">
        <f ca="1">IFERROR(IF(0=LEN(ReferenceData!$G$194),"",ReferenceData!$G$194),"")</f>
        <v>199</v>
      </c>
      <c r="H194">
        <f ca="1">IFERROR(IF(0=LEN(ReferenceData!$H$194),"",ReferenceData!$H$194),"")</f>
        <v>132</v>
      </c>
      <c r="I194">
        <f ca="1">IFERROR(IF(0=LEN(ReferenceData!$I$194),"",ReferenceData!$I$194),"")</f>
        <v>124</v>
      </c>
      <c r="J194">
        <f ca="1">IFERROR(IF(0=LEN(ReferenceData!$J$194),"",ReferenceData!$J$194),"")</f>
        <v>194</v>
      </c>
      <c r="K194">
        <f ca="1">IFERROR(IF(0=LEN(ReferenceData!$K$194),"",ReferenceData!$K$194),"")</f>
        <v>169</v>
      </c>
      <c r="L194">
        <f ca="1">IFERROR(IF(0=LEN(ReferenceData!$L$194),"",ReferenceData!$L$194),"")</f>
        <v>105</v>
      </c>
      <c r="M194">
        <f ca="1">IFERROR(IF(0=LEN(ReferenceData!$M$194),"",ReferenceData!$M$194),"")</f>
        <v>223</v>
      </c>
      <c r="N194">
        <f ca="1">IFERROR(IF(0=LEN(ReferenceData!$N$194),"",ReferenceData!$N$194),"")</f>
        <v>108</v>
      </c>
      <c r="O194">
        <f ca="1">IFERROR(IF(0=LEN(ReferenceData!$O$194),"",ReferenceData!$O$194),"")</f>
        <v>67</v>
      </c>
      <c r="P194">
        <f ca="1">IFERROR(IF(0=LEN(ReferenceData!$P$194),"",ReferenceData!$P$194),"")</f>
        <v>171</v>
      </c>
      <c r="Q194">
        <f ca="1">IFERROR(IF(0=LEN(ReferenceData!$Q$194),"",ReferenceData!$Q$194),"")</f>
        <v>119</v>
      </c>
      <c r="R194">
        <f ca="1">IFERROR(IF(0=LEN(ReferenceData!$R$194),"",ReferenceData!$R$194),"")</f>
        <v>119</v>
      </c>
      <c r="S194">
        <f ca="1">IFERROR(IF(0=LEN(ReferenceData!$S$194),"",ReferenceData!$S$194),"")</f>
        <v>133</v>
      </c>
      <c r="T194">
        <f ca="1">IFERROR(IF(0=LEN(ReferenceData!$T$194),"",ReferenceData!$T$194),"")</f>
        <v>117</v>
      </c>
      <c r="U194">
        <f ca="1">IFERROR(IF(0=LEN(ReferenceData!$U$194),"",ReferenceData!$U$194),"")</f>
        <v>150</v>
      </c>
      <c r="V194">
        <f ca="1">IFERROR(IF(0=LEN(ReferenceData!$V$194),"",ReferenceData!$V$194),"")</f>
        <v>172</v>
      </c>
      <c r="W194">
        <f ca="1">IFERROR(IF(0=LEN(ReferenceData!$W$194),"",ReferenceData!$W$194),"")</f>
        <v>169</v>
      </c>
      <c r="X194">
        <f ca="1">IFERROR(IF(0=LEN(ReferenceData!$X$194),"",ReferenceData!$X$194),"")</f>
        <v>161</v>
      </c>
      <c r="Y194">
        <f ca="1">IFERROR(IF(0=LEN(ReferenceData!$Y$194),"",ReferenceData!$Y$194),"")</f>
        <v>172</v>
      </c>
      <c r="Z194">
        <f ca="1">IFERROR(IF(0=LEN(ReferenceData!$Z$194),"",ReferenceData!$Z$194),"")</f>
        <v>137</v>
      </c>
      <c r="AA194">
        <f ca="1">IFERROR(IF(0=LEN(ReferenceData!$AA$194),"",ReferenceData!$AA$194),"")</f>
        <v>127</v>
      </c>
      <c r="AB194">
        <f ca="1">IFERROR(IF(0=LEN(ReferenceData!$AB$194),"",ReferenceData!$AB$194),"")</f>
        <v>211</v>
      </c>
      <c r="AC194">
        <f ca="1">IFERROR(IF(0=LEN(ReferenceData!$AC$194),"",ReferenceData!$AC$194),"")</f>
        <v>225</v>
      </c>
      <c r="AD194">
        <f ca="1">IFERROR(IF(0=LEN(ReferenceData!$AD$194),"",ReferenceData!$AD$194),"")</f>
        <v>157</v>
      </c>
      <c r="AE194">
        <f ca="1">IFERROR(IF(0=LEN(ReferenceData!$AE$194),"",ReferenceData!$AE$194),"")</f>
        <v>188</v>
      </c>
      <c r="AF194">
        <f ca="1">IFERROR(IF(0=LEN(ReferenceData!$AF$194),"",ReferenceData!$AF$194),"")</f>
        <v>137</v>
      </c>
      <c r="AG194">
        <f ca="1">IFERROR(IF(0=LEN(ReferenceData!$AG$194),"",ReferenceData!$AG$194),"")</f>
        <v>139</v>
      </c>
      <c r="AH194">
        <f ca="1">IFERROR(IF(0=LEN(ReferenceData!$AH$194),"",ReferenceData!$AH$194),"")</f>
        <v>203</v>
      </c>
      <c r="AI194">
        <f ca="1">IFERROR(IF(0=LEN(ReferenceData!$AI$194),"",ReferenceData!$AI$194),"")</f>
        <v>253</v>
      </c>
      <c r="AJ194">
        <f ca="1">IFERROR(IF(0=LEN(ReferenceData!$AJ$194),"",ReferenceData!$AJ$194),"")</f>
        <v>174</v>
      </c>
      <c r="AK194">
        <f ca="1">IFERROR(IF(0=LEN(ReferenceData!$AK$194),"",ReferenceData!$AK$194),"")</f>
        <v>217</v>
      </c>
      <c r="AL194">
        <f ca="1">IFERROR(IF(0=LEN(ReferenceData!$AL$194),"",ReferenceData!$AL$194),"")</f>
        <v>110</v>
      </c>
      <c r="AM194">
        <f ca="1">IFERROR(IF(0=LEN(ReferenceData!$AM$194),"",ReferenceData!$AM$194),"")</f>
        <v>171</v>
      </c>
      <c r="AN194">
        <f ca="1">IFERROR(IF(0=LEN(ReferenceData!$AN$194),"",ReferenceData!$AN$194),"")</f>
        <v>162</v>
      </c>
      <c r="AO194">
        <f ca="1">IFERROR(IF(0=LEN(ReferenceData!$AO$194),"",ReferenceData!$AO$194),"")</f>
        <v>137</v>
      </c>
      <c r="AP194">
        <f ca="1">IFERROR(IF(0=LEN(ReferenceData!$AP$194),"",ReferenceData!$AP$194),"")</f>
        <v>111</v>
      </c>
      <c r="AQ194">
        <f ca="1">IFERROR(IF(0=LEN(ReferenceData!$AQ$194),"",ReferenceData!$AQ$194),"")</f>
        <v>172</v>
      </c>
      <c r="AR194">
        <f ca="1">IFERROR(IF(0=LEN(ReferenceData!$AR$194),"",ReferenceData!$AR$194),"")</f>
        <v>166</v>
      </c>
      <c r="AS194">
        <f ca="1">IFERROR(IF(0=LEN(ReferenceData!$AS$194),"",ReferenceData!$AS$194),"")</f>
        <v>234</v>
      </c>
    </row>
    <row r="195" spans="1:45" x14ac:dyDescent="0.25">
      <c r="A195" t="str">
        <f>IFERROR(IF(0=LEN(ReferenceData!$A$195),"",ReferenceData!$A$195),"")</f>
        <v xml:space="preserve">    Navistar - International</v>
      </c>
      <c r="B195" t="str">
        <f>IFERROR(IF(0=LEN(ReferenceData!$B$195),"",ReferenceData!$B$195),"")</f>
        <v>NAV US Equity</v>
      </c>
      <c r="C195" t="str">
        <f>IFERROR(IF(0=LEN(ReferenceData!$C$195),"",ReferenceData!$C$195),"")</f>
        <v>X1701</v>
      </c>
      <c r="D195" t="str">
        <f>IFERROR(IF(0=LEN(ReferenceData!$D$195),"",ReferenceData!$D$195),"")</f>
        <v>WARDS_RETAIL_SALES_UNITS</v>
      </c>
      <c r="E195" t="str">
        <f>IFERROR(IF(0=LEN(ReferenceData!$E$195),"",ReferenceData!$E$195),"")</f>
        <v>Dynamic</v>
      </c>
      <c r="F195">
        <f ca="1">IFERROR(IF(0=LEN(ReferenceData!$F$195),"",ReferenceData!$F$195),"")</f>
        <v>637</v>
      </c>
      <c r="G195">
        <f ca="1">IFERROR(IF(0=LEN(ReferenceData!$G$195),"",ReferenceData!$G$195),"")</f>
        <v>322</v>
      </c>
      <c r="H195">
        <f ca="1">IFERROR(IF(0=LEN(ReferenceData!$H$195),"",ReferenceData!$H$195),"")</f>
        <v>365</v>
      </c>
      <c r="I195">
        <f ca="1">IFERROR(IF(0=LEN(ReferenceData!$I$195),"",ReferenceData!$I$195),"")</f>
        <v>293</v>
      </c>
      <c r="J195">
        <f ca="1">IFERROR(IF(0=LEN(ReferenceData!$J$195),"",ReferenceData!$J$195),"")</f>
        <v>419</v>
      </c>
      <c r="K195">
        <f ca="1">IFERROR(IF(0=LEN(ReferenceData!$K$195),"",ReferenceData!$K$195),"")</f>
        <v>329</v>
      </c>
      <c r="L195">
        <f ca="1">IFERROR(IF(0=LEN(ReferenceData!$L$195),"",ReferenceData!$L$195),"")</f>
        <v>337</v>
      </c>
      <c r="M195">
        <f ca="1">IFERROR(IF(0=LEN(ReferenceData!$M$195),"",ReferenceData!$M$195),"")</f>
        <v>272</v>
      </c>
      <c r="N195">
        <f ca="1">IFERROR(IF(0=LEN(ReferenceData!$N$195),"",ReferenceData!$N$195),"")</f>
        <v>166</v>
      </c>
      <c r="O195">
        <f ca="1">IFERROR(IF(0=LEN(ReferenceData!$O$195),"",ReferenceData!$O$195),"")</f>
        <v>248</v>
      </c>
      <c r="P195">
        <f ca="1">IFERROR(IF(0=LEN(ReferenceData!$P$195),"",ReferenceData!$P$195),"")</f>
        <v>169</v>
      </c>
      <c r="Q195">
        <f ca="1">IFERROR(IF(0=LEN(ReferenceData!$Q$195),"",ReferenceData!$Q$195),"")</f>
        <v>183</v>
      </c>
      <c r="R195">
        <f ca="1">IFERROR(IF(0=LEN(ReferenceData!$R$195),"",ReferenceData!$R$195),"")</f>
        <v>409</v>
      </c>
      <c r="S195">
        <f ca="1">IFERROR(IF(0=LEN(ReferenceData!$S$195),"",ReferenceData!$S$195),"")</f>
        <v>328</v>
      </c>
      <c r="T195">
        <f ca="1">IFERROR(IF(0=LEN(ReferenceData!$T$195),"",ReferenceData!$T$195),"")</f>
        <v>207</v>
      </c>
      <c r="U195">
        <f ca="1">IFERROR(IF(0=LEN(ReferenceData!$U$195),"",ReferenceData!$U$195),"")</f>
        <v>178</v>
      </c>
      <c r="V195">
        <f ca="1">IFERROR(IF(0=LEN(ReferenceData!$V$195),"",ReferenceData!$V$195),"")</f>
        <v>250</v>
      </c>
      <c r="W195">
        <f ca="1">IFERROR(IF(0=LEN(ReferenceData!$W$195),"",ReferenceData!$W$195),"")</f>
        <v>269</v>
      </c>
      <c r="X195">
        <f ca="1">IFERROR(IF(0=LEN(ReferenceData!$X$195),"",ReferenceData!$X$195),"")</f>
        <v>286</v>
      </c>
      <c r="Y195">
        <f ca="1">IFERROR(IF(0=LEN(ReferenceData!$Y$195),"",ReferenceData!$Y$195),"")</f>
        <v>216</v>
      </c>
      <c r="Z195">
        <f ca="1">IFERROR(IF(0=LEN(ReferenceData!$Z$195),"",ReferenceData!$Z$195),"")</f>
        <v>184</v>
      </c>
      <c r="AA195">
        <f ca="1">IFERROR(IF(0=LEN(ReferenceData!$AA$195),"",ReferenceData!$AA$195),"")</f>
        <v>207</v>
      </c>
      <c r="AB195">
        <f ca="1">IFERROR(IF(0=LEN(ReferenceData!$AB$195),"",ReferenceData!$AB$195),"")</f>
        <v>199</v>
      </c>
      <c r="AC195">
        <f ca="1">IFERROR(IF(0=LEN(ReferenceData!$AC$195),"",ReferenceData!$AC$195),"")</f>
        <v>188</v>
      </c>
      <c r="AD195">
        <f ca="1">IFERROR(IF(0=LEN(ReferenceData!$AD$195),"",ReferenceData!$AD$195),"")</f>
        <v>472</v>
      </c>
      <c r="AE195">
        <f ca="1">IFERROR(IF(0=LEN(ReferenceData!$AE$195),"",ReferenceData!$AE$195),"")</f>
        <v>329</v>
      </c>
      <c r="AF195">
        <f ca="1">IFERROR(IF(0=LEN(ReferenceData!$AF$195),"",ReferenceData!$AF$195),"")</f>
        <v>390</v>
      </c>
      <c r="AG195">
        <f ca="1">IFERROR(IF(0=LEN(ReferenceData!$AG$195),"",ReferenceData!$AG$195),"")</f>
        <v>363</v>
      </c>
      <c r="AH195">
        <f ca="1">IFERROR(IF(0=LEN(ReferenceData!$AH$195),"",ReferenceData!$AH$195),"")</f>
        <v>361</v>
      </c>
      <c r="AI195">
        <f ca="1">IFERROR(IF(0=LEN(ReferenceData!$AI$195),"",ReferenceData!$AI$195),"")</f>
        <v>374</v>
      </c>
      <c r="AJ195">
        <f ca="1">IFERROR(IF(0=LEN(ReferenceData!$AJ$195),"",ReferenceData!$AJ$195),"")</f>
        <v>345</v>
      </c>
      <c r="AK195">
        <f ca="1">IFERROR(IF(0=LEN(ReferenceData!$AK$195),"",ReferenceData!$AK$195),"")</f>
        <v>308</v>
      </c>
      <c r="AL195">
        <f ca="1">IFERROR(IF(0=LEN(ReferenceData!$AL$195),"",ReferenceData!$AL$195),"")</f>
        <v>267</v>
      </c>
      <c r="AM195">
        <f ca="1">IFERROR(IF(0=LEN(ReferenceData!$AM$195),"",ReferenceData!$AM$195),"")</f>
        <v>294</v>
      </c>
      <c r="AN195">
        <f ca="1">IFERROR(IF(0=LEN(ReferenceData!$AN$195),"",ReferenceData!$AN$195),"")</f>
        <v>359</v>
      </c>
      <c r="AO195">
        <f ca="1">IFERROR(IF(0=LEN(ReferenceData!$AO$195),"",ReferenceData!$AO$195),"")</f>
        <v>318</v>
      </c>
      <c r="AP195">
        <f ca="1">IFERROR(IF(0=LEN(ReferenceData!$AP$195),"",ReferenceData!$AP$195),"")</f>
        <v>411</v>
      </c>
      <c r="AQ195">
        <f ca="1">IFERROR(IF(0=LEN(ReferenceData!$AQ$195),"",ReferenceData!$AQ$195),"")</f>
        <v>351</v>
      </c>
      <c r="AR195">
        <f ca="1">IFERROR(IF(0=LEN(ReferenceData!$AR$195),"",ReferenceData!$AR$195),"")</f>
        <v>207</v>
      </c>
      <c r="AS195">
        <f ca="1">IFERROR(IF(0=LEN(ReferenceData!$AS$195),"",ReferenceData!$AS$195),"")</f>
        <v>387</v>
      </c>
    </row>
    <row r="196" spans="1:45" x14ac:dyDescent="0.25">
      <c r="A196" t="str">
        <f>IFERROR(IF(0=LEN(ReferenceData!$A$196),"",ReferenceData!$A$196),"")</f>
        <v>Mexico (Class 8)</v>
      </c>
      <c r="B196" t="str">
        <f>IFERROR(IF(0=LEN(ReferenceData!$B$196),"",ReferenceData!$B$196),"")</f>
        <v>TRCKMX8S Index</v>
      </c>
      <c r="C196" t="str">
        <f>IFERROR(IF(0=LEN(ReferenceData!$C$196),"",ReferenceData!$C$196),"")</f>
        <v>PR005</v>
      </c>
      <c r="D196" t="str">
        <f>IFERROR(IF(0=LEN(ReferenceData!$D$196),"",ReferenceData!$D$196),"")</f>
        <v>PX_LAST</v>
      </c>
      <c r="E196" t="str">
        <f>IFERROR(IF(0=LEN(ReferenceData!$E$196),"",ReferenceData!$E$196),"")</f>
        <v>Dynamic</v>
      </c>
      <c r="F196">
        <f ca="1">IFERROR(IF(0=LEN(ReferenceData!$F$196),"",ReferenceData!$F$196),"")</f>
        <v>2509</v>
      </c>
      <c r="G196">
        <f ca="1">IFERROR(IF(0=LEN(ReferenceData!$G$196),"",ReferenceData!$G$196),"")</f>
        <v>2394</v>
      </c>
      <c r="H196">
        <f ca="1">IFERROR(IF(0=LEN(ReferenceData!$H$196),"",ReferenceData!$H$196),"")</f>
        <v>2265</v>
      </c>
      <c r="I196">
        <f ca="1">IFERROR(IF(0=LEN(ReferenceData!$I$196),"",ReferenceData!$I$196),"")</f>
        <v>2262</v>
      </c>
      <c r="J196">
        <f ca="1">IFERROR(IF(0=LEN(ReferenceData!$J$196),"",ReferenceData!$J$196),"")</f>
        <v>2376</v>
      </c>
      <c r="K196">
        <f ca="1">IFERROR(IF(0=LEN(ReferenceData!$K$196),"",ReferenceData!$K$196),"")</f>
        <v>2301</v>
      </c>
      <c r="L196">
        <f ca="1">IFERROR(IF(0=LEN(ReferenceData!$L$196),"",ReferenceData!$L$196),"")</f>
        <v>2196</v>
      </c>
      <c r="M196">
        <f ca="1">IFERROR(IF(0=LEN(ReferenceData!$M$196),"",ReferenceData!$M$196),"")</f>
        <v>2549</v>
      </c>
      <c r="N196">
        <f ca="1">IFERROR(IF(0=LEN(ReferenceData!$N$196),"",ReferenceData!$N$196),"")</f>
        <v>1963</v>
      </c>
      <c r="O196">
        <f ca="1">IFERROR(IF(0=LEN(ReferenceData!$O$196),"",ReferenceData!$O$196),"")</f>
        <v>1950</v>
      </c>
      <c r="P196">
        <f ca="1">IFERROR(IF(0=LEN(ReferenceData!$P$196),"",ReferenceData!$P$196),"")</f>
        <v>4139</v>
      </c>
      <c r="Q196">
        <f ca="1">IFERROR(IF(0=LEN(ReferenceData!$Q$196),"",ReferenceData!$Q$196),"")</f>
        <v>3301</v>
      </c>
      <c r="R196">
        <f ca="1">IFERROR(IF(0=LEN(ReferenceData!$R$196),"",ReferenceData!$R$196),"")</f>
        <v>2852</v>
      </c>
      <c r="S196">
        <f ca="1">IFERROR(IF(0=LEN(ReferenceData!$S$196),"",ReferenceData!$S$196),"")</f>
        <v>2697</v>
      </c>
      <c r="T196">
        <f ca="1">IFERROR(IF(0=LEN(ReferenceData!$T$196),"",ReferenceData!$T$196),"")</f>
        <v>2367</v>
      </c>
      <c r="U196">
        <f ca="1">IFERROR(IF(0=LEN(ReferenceData!$U$196),"",ReferenceData!$U$196),"")</f>
        <v>1870</v>
      </c>
      <c r="V196">
        <f ca="1">IFERROR(IF(0=LEN(ReferenceData!$V$196),"",ReferenceData!$V$196),"")</f>
        <v>2249</v>
      </c>
      <c r="W196">
        <f ca="1">IFERROR(IF(0=LEN(ReferenceData!$W$196),"",ReferenceData!$W$196),"")</f>
        <v>2194</v>
      </c>
      <c r="X196">
        <f ca="1">IFERROR(IF(0=LEN(ReferenceData!$X$196),"",ReferenceData!$X$196),"")</f>
        <v>2310</v>
      </c>
      <c r="Y196">
        <f ca="1">IFERROR(IF(0=LEN(ReferenceData!$Y$196),"",ReferenceData!$Y$196),"")</f>
        <v>2159</v>
      </c>
      <c r="Z196">
        <f ca="1">IFERROR(IF(0=LEN(ReferenceData!$Z$196),"",ReferenceData!$Z$196),"")</f>
        <v>1951</v>
      </c>
      <c r="AA196">
        <f ca="1">IFERROR(IF(0=LEN(ReferenceData!$AA$196),"",ReferenceData!$AA$196),"")</f>
        <v>1894</v>
      </c>
      <c r="AB196">
        <f ca="1">IFERROR(IF(0=LEN(ReferenceData!$AB$196),"",ReferenceData!$AB$196),"")</f>
        <v>2667</v>
      </c>
      <c r="AC196">
        <f ca="1">IFERROR(IF(0=LEN(ReferenceData!$AC$196),"",ReferenceData!$AC$196),"")</f>
        <v>1955</v>
      </c>
      <c r="AD196">
        <f ca="1">IFERROR(IF(0=LEN(ReferenceData!$AD$196),"",ReferenceData!$AD$196),"")</f>
        <v>2139</v>
      </c>
      <c r="AE196">
        <f ca="1">IFERROR(IF(0=LEN(ReferenceData!$AE$196),"",ReferenceData!$AE$196),"")</f>
        <v>1924</v>
      </c>
      <c r="AF196">
        <f ca="1">IFERROR(IF(0=LEN(ReferenceData!$AF$196),"",ReferenceData!$AF$196),"")</f>
        <v>2236</v>
      </c>
      <c r="AG196">
        <f ca="1">IFERROR(IF(0=LEN(ReferenceData!$AG$196),"",ReferenceData!$AG$196),"")</f>
        <v>2227</v>
      </c>
      <c r="AH196">
        <f ca="1">IFERROR(IF(0=LEN(ReferenceData!$AH$196),"",ReferenceData!$AH$196),"")</f>
        <v>1915</v>
      </c>
      <c r="AI196">
        <f ca="1">IFERROR(IF(0=LEN(ReferenceData!$AI$196),"",ReferenceData!$AI$196),"")</f>
        <v>1721</v>
      </c>
      <c r="AJ196">
        <f ca="1">IFERROR(IF(0=LEN(ReferenceData!$AJ$196),"",ReferenceData!$AJ$196),"")</f>
        <v>1931</v>
      </c>
      <c r="AK196">
        <f ca="1">IFERROR(IF(0=LEN(ReferenceData!$AK$196),"",ReferenceData!$AK$196),"")</f>
        <v>1698</v>
      </c>
      <c r="AL196">
        <f ca="1">IFERROR(IF(0=LEN(ReferenceData!$AL$196),"",ReferenceData!$AL$196),"")</f>
        <v>1810</v>
      </c>
      <c r="AM196">
        <f ca="1">IFERROR(IF(0=LEN(ReferenceData!$AM$196),"",ReferenceData!$AM$196),"")</f>
        <v>1680</v>
      </c>
      <c r="AN196">
        <f ca="1">IFERROR(IF(0=LEN(ReferenceData!$AN$196),"",ReferenceData!$AN$196),"")</f>
        <v>2457</v>
      </c>
      <c r="AO196">
        <f ca="1">IFERROR(IF(0=LEN(ReferenceData!$AO$196),"",ReferenceData!$AO$196),"")</f>
        <v>2264</v>
      </c>
      <c r="AP196">
        <f ca="1">IFERROR(IF(0=LEN(ReferenceData!$AP$196),"",ReferenceData!$AP$196),"")</f>
        <v>2289</v>
      </c>
      <c r="AQ196">
        <f ca="1">IFERROR(IF(0=LEN(ReferenceData!$AQ$196),"",ReferenceData!$AQ$196),"")</f>
        <v>1795</v>
      </c>
      <c r="AR196">
        <f ca="1">IFERROR(IF(0=LEN(ReferenceData!$AR$196),"",ReferenceData!$AR$196),"")</f>
        <v>2119</v>
      </c>
      <c r="AS196">
        <f ca="1">IFERROR(IF(0=LEN(ReferenceData!$AS$196),"",ReferenceData!$AS$196),"")</f>
        <v>2132</v>
      </c>
    </row>
    <row r="197" spans="1:45" x14ac:dyDescent="0.25">
      <c r="A197" t="str">
        <f>IFERROR(IF(0=LEN(ReferenceData!$A$197),"",ReferenceData!$A$197),"")</f>
        <v xml:space="preserve">    PACCAR - Kenworth</v>
      </c>
      <c r="B197" t="str">
        <f>IFERROR(IF(0=LEN(ReferenceData!$B$197),"",ReferenceData!$B$197),"")</f>
        <v>PCAR US Equity</v>
      </c>
      <c r="C197" t="str">
        <f>IFERROR(IF(0=LEN(ReferenceData!$C$197),"",ReferenceData!$C$197),"")</f>
        <v>X1701</v>
      </c>
      <c r="D197" t="str">
        <f>IFERROR(IF(0=LEN(ReferenceData!$D$197),"",ReferenceData!$D$197),"")</f>
        <v>WARDS_RETAIL_SALES_UNITS</v>
      </c>
      <c r="E197" t="str">
        <f>IFERROR(IF(0=LEN(ReferenceData!$E$197),"",ReferenceData!$E$197),"")</f>
        <v>Dynamic</v>
      </c>
      <c r="F197">
        <f ca="1">IFERROR(IF(0=LEN(ReferenceData!$F$197),"",ReferenceData!$F$197),"")</f>
        <v>729</v>
      </c>
      <c r="G197">
        <f ca="1">IFERROR(IF(0=LEN(ReferenceData!$G$197),"",ReferenceData!$G$197),"")</f>
        <v>790</v>
      </c>
      <c r="H197">
        <f ca="1">IFERROR(IF(0=LEN(ReferenceData!$H$197),"",ReferenceData!$H$197),"")</f>
        <v>835</v>
      </c>
      <c r="I197">
        <f ca="1">IFERROR(IF(0=LEN(ReferenceData!$I$197),"",ReferenceData!$I$197),"")</f>
        <v>774</v>
      </c>
      <c r="J197">
        <f ca="1">IFERROR(IF(0=LEN(ReferenceData!$J$197),"",ReferenceData!$J$197),"")</f>
        <v>774</v>
      </c>
      <c r="K197">
        <f ca="1">IFERROR(IF(0=LEN(ReferenceData!$K$197),"",ReferenceData!$K$197),"")</f>
        <v>727</v>
      </c>
      <c r="L197">
        <f ca="1">IFERROR(IF(0=LEN(ReferenceData!$L$197),"",ReferenceData!$L$197),"")</f>
        <v>644</v>
      </c>
      <c r="M197">
        <f ca="1">IFERROR(IF(0=LEN(ReferenceData!$M$197),"",ReferenceData!$M$197),"")</f>
        <v>795</v>
      </c>
      <c r="N197">
        <f ca="1">IFERROR(IF(0=LEN(ReferenceData!$N$197),"",ReferenceData!$N$197),"")</f>
        <v>608</v>
      </c>
      <c r="O197">
        <f ca="1">IFERROR(IF(0=LEN(ReferenceData!$O$197),"",ReferenceData!$O$197),"")</f>
        <v>454</v>
      </c>
      <c r="P197">
        <f ca="1">IFERROR(IF(0=LEN(ReferenceData!$P$197),"",ReferenceData!$P$197),"")</f>
        <v>1576</v>
      </c>
      <c r="Q197">
        <f ca="1">IFERROR(IF(0=LEN(ReferenceData!$Q$197),"",ReferenceData!$Q$197),"")</f>
        <v>1163</v>
      </c>
      <c r="R197">
        <f ca="1">IFERROR(IF(0=LEN(ReferenceData!$R$197),"",ReferenceData!$R$197),"")</f>
        <v>867</v>
      </c>
      <c r="S197">
        <f ca="1">IFERROR(IF(0=LEN(ReferenceData!$S$197),"",ReferenceData!$S$197),"")</f>
        <v>911</v>
      </c>
      <c r="T197">
        <f ca="1">IFERROR(IF(0=LEN(ReferenceData!$T$197),"",ReferenceData!$T$197),"")</f>
        <v>851</v>
      </c>
      <c r="U197">
        <f ca="1">IFERROR(IF(0=LEN(ReferenceData!$U$197),"",ReferenceData!$U$197),"")</f>
        <v>585</v>
      </c>
      <c r="V197">
        <f ca="1">IFERROR(IF(0=LEN(ReferenceData!$V$197),"",ReferenceData!$V$197),"")</f>
        <v>805</v>
      </c>
      <c r="W197">
        <f ca="1">IFERROR(IF(0=LEN(ReferenceData!$W$197),"",ReferenceData!$W$197),"")</f>
        <v>550</v>
      </c>
      <c r="X197">
        <f ca="1">IFERROR(IF(0=LEN(ReferenceData!$X$197),"",ReferenceData!$X$197),"")</f>
        <v>651</v>
      </c>
      <c r="Y197">
        <f ca="1">IFERROR(IF(0=LEN(ReferenceData!$Y$197),"",ReferenceData!$Y$197),"")</f>
        <v>735</v>
      </c>
      <c r="Z197">
        <f ca="1">IFERROR(IF(0=LEN(ReferenceData!$Z$197),"",ReferenceData!$Z$197),"")</f>
        <v>796</v>
      </c>
      <c r="AA197">
        <f ca="1">IFERROR(IF(0=LEN(ReferenceData!$AA$197),"",ReferenceData!$AA$197),"")</f>
        <v>336</v>
      </c>
      <c r="AB197">
        <f ca="1">IFERROR(IF(0=LEN(ReferenceData!$AB$197),"",ReferenceData!$AB$197),"")</f>
        <v>1123</v>
      </c>
      <c r="AC197">
        <f ca="1">IFERROR(IF(0=LEN(ReferenceData!$AC$197),"",ReferenceData!$AC$197),"")</f>
        <v>698</v>
      </c>
      <c r="AD197">
        <f ca="1">IFERROR(IF(0=LEN(ReferenceData!$AD$197),"",ReferenceData!$AD$197),"")</f>
        <v>817</v>
      </c>
      <c r="AE197">
        <f ca="1">IFERROR(IF(0=LEN(ReferenceData!$AE$197),"",ReferenceData!$AE$197),"")</f>
        <v>680</v>
      </c>
      <c r="AF197">
        <f ca="1">IFERROR(IF(0=LEN(ReferenceData!$AF$197),"",ReferenceData!$AF$197),"")</f>
        <v>952</v>
      </c>
      <c r="AG197">
        <f ca="1">IFERROR(IF(0=LEN(ReferenceData!$AG$197),"",ReferenceData!$AG$197),"")</f>
        <v>755</v>
      </c>
      <c r="AH197">
        <f ca="1">IFERROR(IF(0=LEN(ReferenceData!$AH$197),"",ReferenceData!$AH$197),"")</f>
        <v>787</v>
      </c>
      <c r="AI197">
        <f ca="1">IFERROR(IF(0=LEN(ReferenceData!$AI$197),"",ReferenceData!$AI$197),"")</f>
        <v>602</v>
      </c>
      <c r="AJ197">
        <f ca="1">IFERROR(IF(0=LEN(ReferenceData!$AJ$197),"",ReferenceData!$AJ$197),"")</f>
        <v>769</v>
      </c>
      <c r="AK197">
        <f ca="1">IFERROR(IF(0=LEN(ReferenceData!$AK$197),"",ReferenceData!$AK$197),"")</f>
        <v>698</v>
      </c>
      <c r="AL197">
        <f ca="1">IFERROR(IF(0=LEN(ReferenceData!$AL$197),"",ReferenceData!$AL$197),"")</f>
        <v>735</v>
      </c>
      <c r="AM197">
        <f ca="1">IFERROR(IF(0=LEN(ReferenceData!$AM$197),"",ReferenceData!$AM$197),"")</f>
        <v>639</v>
      </c>
      <c r="AN197">
        <f ca="1">IFERROR(IF(0=LEN(ReferenceData!$AN$197),"",ReferenceData!$AN$197),"")</f>
        <v>838</v>
      </c>
      <c r="AO197">
        <f ca="1">IFERROR(IF(0=LEN(ReferenceData!$AO$197),"",ReferenceData!$AO$197),"")</f>
        <v>773</v>
      </c>
      <c r="AP197">
        <f ca="1">IFERROR(IF(0=LEN(ReferenceData!$AP$197),"",ReferenceData!$AP$197),"")</f>
        <v>781</v>
      </c>
      <c r="AQ197">
        <f ca="1">IFERROR(IF(0=LEN(ReferenceData!$AQ$197),"",ReferenceData!$AQ$197),"")</f>
        <v>688</v>
      </c>
      <c r="AR197">
        <f ca="1">IFERROR(IF(0=LEN(ReferenceData!$AR$197),"",ReferenceData!$AR$197),"")</f>
        <v>749</v>
      </c>
      <c r="AS197">
        <f ca="1">IFERROR(IF(0=LEN(ReferenceData!$AS$197),"",ReferenceData!$AS$197),"")</f>
        <v>667</v>
      </c>
    </row>
    <row r="198" spans="1:45" x14ac:dyDescent="0.25">
      <c r="A198" t="str">
        <f>IFERROR(IF(0=LEN(ReferenceData!$A$198),"",ReferenceData!$A$198),"")</f>
        <v xml:space="preserve">    Navistar - International</v>
      </c>
      <c r="B198" t="str">
        <f>IFERROR(IF(0=LEN(ReferenceData!$B$198),"",ReferenceData!$B$198),"")</f>
        <v>NAV US Equity</v>
      </c>
      <c r="C198" t="str">
        <f>IFERROR(IF(0=LEN(ReferenceData!$C$198),"",ReferenceData!$C$198),"")</f>
        <v>X1701</v>
      </c>
      <c r="D198" t="str">
        <f>IFERROR(IF(0=LEN(ReferenceData!$D$198),"",ReferenceData!$D$198),"")</f>
        <v>WARDS_RETAIL_SALES_UNITS</v>
      </c>
      <c r="E198" t="str">
        <f>IFERROR(IF(0=LEN(ReferenceData!$E$198),"",ReferenceData!$E$198),"")</f>
        <v>Dynamic</v>
      </c>
      <c r="F198">
        <f ca="1">IFERROR(IF(0=LEN(ReferenceData!$F$198),"",ReferenceData!$F$198),"")</f>
        <v>677</v>
      </c>
      <c r="G198">
        <f ca="1">IFERROR(IF(0=LEN(ReferenceData!$G$198),"",ReferenceData!$G$198),"")</f>
        <v>428</v>
      </c>
      <c r="H198">
        <f ca="1">IFERROR(IF(0=LEN(ReferenceData!$H$198),"",ReferenceData!$H$198),"")</f>
        <v>400</v>
      </c>
      <c r="I198">
        <f ca="1">IFERROR(IF(0=LEN(ReferenceData!$I$198),"",ReferenceData!$I$198),"")</f>
        <v>425</v>
      </c>
      <c r="J198">
        <f ca="1">IFERROR(IF(0=LEN(ReferenceData!$J$198),"",ReferenceData!$J$198),"")</f>
        <v>365</v>
      </c>
      <c r="K198">
        <f ca="1">IFERROR(IF(0=LEN(ReferenceData!$K$198),"",ReferenceData!$K$198),"")</f>
        <v>374</v>
      </c>
      <c r="L198">
        <f ca="1">IFERROR(IF(0=LEN(ReferenceData!$L$198),"",ReferenceData!$L$198),"")</f>
        <v>473</v>
      </c>
      <c r="M198">
        <f ca="1">IFERROR(IF(0=LEN(ReferenceData!$M$198),"",ReferenceData!$M$198),"")</f>
        <v>450</v>
      </c>
      <c r="N198">
        <f ca="1">IFERROR(IF(0=LEN(ReferenceData!$N$198),"",ReferenceData!$N$198),"")</f>
        <v>385</v>
      </c>
      <c r="O198">
        <f ca="1">IFERROR(IF(0=LEN(ReferenceData!$O$198),"",ReferenceData!$O$198),"")</f>
        <v>419</v>
      </c>
      <c r="P198">
        <f ca="1">IFERROR(IF(0=LEN(ReferenceData!$P$198),"",ReferenceData!$P$198),"")</f>
        <v>655</v>
      </c>
      <c r="Q198">
        <f ca="1">IFERROR(IF(0=LEN(ReferenceData!$Q$198),"",ReferenceData!$Q$198),"")</f>
        <v>743</v>
      </c>
      <c r="R198">
        <f ca="1">IFERROR(IF(0=LEN(ReferenceData!$R$198),"",ReferenceData!$R$198),"")</f>
        <v>690</v>
      </c>
      <c r="S198">
        <f ca="1">IFERROR(IF(0=LEN(ReferenceData!$S$198),"",ReferenceData!$S$198),"")</f>
        <v>551</v>
      </c>
      <c r="T198">
        <f ca="1">IFERROR(IF(0=LEN(ReferenceData!$T$198),"",ReferenceData!$T$198),"")</f>
        <v>478</v>
      </c>
      <c r="U198">
        <f ca="1">IFERROR(IF(0=LEN(ReferenceData!$U$198),"",ReferenceData!$U$198),"")</f>
        <v>424</v>
      </c>
      <c r="V198">
        <f ca="1">IFERROR(IF(0=LEN(ReferenceData!$V$198),"",ReferenceData!$V$198),"")</f>
        <v>466</v>
      </c>
      <c r="W198">
        <f ca="1">IFERROR(IF(0=LEN(ReferenceData!$W$198),"",ReferenceData!$W$198),"")</f>
        <v>483</v>
      </c>
      <c r="X198">
        <f ca="1">IFERROR(IF(0=LEN(ReferenceData!$X$198),"",ReferenceData!$X$198),"")</f>
        <v>534</v>
      </c>
      <c r="Y198">
        <f ca="1">IFERROR(IF(0=LEN(ReferenceData!$Y$198),"",ReferenceData!$Y$198),"")</f>
        <v>373</v>
      </c>
      <c r="Z198">
        <f ca="1">IFERROR(IF(0=LEN(ReferenceData!$Z$198),"",ReferenceData!$Z$198),"")</f>
        <v>407</v>
      </c>
      <c r="AA198">
        <f ca="1">IFERROR(IF(0=LEN(ReferenceData!$AA$198),"",ReferenceData!$AA$198),"")</f>
        <v>495</v>
      </c>
      <c r="AB198">
        <f ca="1">IFERROR(IF(0=LEN(ReferenceData!$AB$198),"",ReferenceData!$AB$198),"")</f>
        <v>357</v>
      </c>
      <c r="AC198">
        <f ca="1">IFERROR(IF(0=LEN(ReferenceData!$AC$198),"",ReferenceData!$AC$198),"")</f>
        <v>363</v>
      </c>
      <c r="AD198">
        <f ca="1">IFERROR(IF(0=LEN(ReferenceData!$AD$198),"",ReferenceData!$AD$198),"")</f>
        <v>535</v>
      </c>
      <c r="AE198">
        <f ca="1">IFERROR(IF(0=LEN(ReferenceData!$AE$198),"",ReferenceData!$AE$198),"")</f>
        <v>475</v>
      </c>
      <c r="AF198">
        <f ca="1">IFERROR(IF(0=LEN(ReferenceData!$AF$198),"",ReferenceData!$AF$198),"")</f>
        <v>459</v>
      </c>
      <c r="AG198">
        <f ca="1">IFERROR(IF(0=LEN(ReferenceData!$AG$198),"",ReferenceData!$AG$198),"")</f>
        <v>431</v>
      </c>
      <c r="AH198">
        <f ca="1">IFERROR(IF(0=LEN(ReferenceData!$AH$198),"",ReferenceData!$AH$198),"")</f>
        <v>393</v>
      </c>
      <c r="AI198">
        <f ca="1">IFERROR(IF(0=LEN(ReferenceData!$AI$198),"",ReferenceData!$AI$198),"")</f>
        <v>352</v>
      </c>
      <c r="AJ198">
        <f ca="1">IFERROR(IF(0=LEN(ReferenceData!$AJ$198),"",ReferenceData!$AJ$198),"")</f>
        <v>406</v>
      </c>
      <c r="AK198">
        <f ca="1">IFERROR(IF(0=LEN(ReferenceData!$AK$198),"",ReferenceData!$AK$198),"")</f>
        <v>402</v>
      </c>
      <c r="AL198">
        <f ca="1">IFERROR(IF(0=LEN(ReferenceData!$AL$198),"",ReferenceData!$AL$198),"")</f>
        <v>376</v>
      </c>
      <c r="AM198">
        <f ca="1">IFERROR(IF(0=LEN(ReferenceData!$AM$198),"",ReferenceData!$AM$198),"")</f>
        <v>391</v>
      </c>
      <c r="AN198">
        <f ca="1">IFERROR(IF(0=LEN(ReferenceData!$AN$198),"",ReferenceData!$AN$198),"")</f>
        <v>567</v>
      </c>
      <c r="AO198">
        <f ca="1">IFERROR(IF(0=LEN(ReferenceData!$AO$198),"",ReferenceData!$AO$198),"")</f>
        <v>524</v>
      </c>
      <c r="AP198">
        <f ca="1">IFERROR(IF(0=LEN(ReferenceData!$AP$198),"",ReferenceData!$AP$198),"")</f>
        <v>529</v>
      </c>
      <c r="AQ198">
        <f ca="1">IFERROR(IF(0=LEN(ReferenceData!$AQ$198),"",ReferenceData!$AQ$198),"")</f>
        <v>416</v>
      </c>
      <c r="AR198">
        <f ca="1">IFERROR(IF(0=LEN(ReferenceData!$AR$198),"",ReferenceData!$AR$198),"")</f>
        <v>540</v>
      </c>
      <c r="AS198">
        <f ca="1">IFERROR(IF(0=LEN(ReferenceData!$AS$198),"",ReferenceData!$AS$198),"")</f>
        <v>695</v>
      </c>
    </row>
    <row r="199" spans="1:45" x14ac:dyDescent="0.25">
      <c r="A199" t="str">
        <f>IFERROR(IF(0=LEN(ReferenceData!$A$199),"",ReferenceData!$A$199),"")</f>
        <v xml:space="preserve">    Daimler - Freightliner</v>
      </c>
      <c r="B199" t="str">
        <f>IFERROR(IF(0=LEN(ReferenceData!$B$199),"",ReferenceData!$B$199),"")</f>
        <v>DAI GR Equity</v>
      </c>
      <c r="C199" t="str">
        <f>IFERROR(IF(0=LEN(ReferenceData!$C$199),"",ReferenceData!$C$199),"")</f>
        <v>X1701</v>
      </c>
      <c r="D199" t="str">
        <f>IFERROR(IF(0=LEN(ReferenceData!$D$199),"",ReferenceData!$D$199),"")</f>
        <v>WARDS_RETAIL_SALES_UNITS</v>
      </c>
      <c r="E199" t="str">
        <f>IFERROR(IF(0=LEN(ReferenceData!$E$199),"",ReferenceData!$E$199),"")</f>
        <v>Dynamic</v>
      </c>
      <c r="F199">
        <f ca="1">IFERROR(IF(0=LEN(ReferenceData!$F$199),"",ReferenceData!$F$199),"")</f>
        <v>679</v>
      </c>
      <c r="G199">
        <f ca="1">IFERROR(IF(0=LEN(ReferenceData!$G$199),"",ReferenceData!$G$199),"")</f>
        <v>635</v>
      </c>
      <c r="H199">
        <f ca="1">IFERROR(IF(0=LEN(ReferenceData!$H$199),"",ReferenceData!$H$199),"")</f>
        <v>679</v>
      </c>
      <c r="I199">
        <f ca="1">IFERROR(IF(0=LEN(ReferenceData!$I$199),"",ReferenceData!$I$199),"")</f>
        <v>679</v>
      </c>
      <c r="J199">
        <f ca="1">IFERROR(IF(0=LEN(ReferenceData!$J$199),"",ReferenceData!$J$199),"")</f>
        <v>701</v>
      </c>
      <c r="K199">
        <f ca="1">IFERROR(IF(0=LEN(ReferenceData!$K$199),"",ReferenceData!$K$199),"")</f>
        <v>679</v>
      </c>
      <c r="L199">
        <f ca="1">IFERROR(IF(0=LEN(ReferenceData!$L$199),"",ReferenceData!$L$199),"")</f>
        <v>635</v>
      </c>
      <c r="M199">
        <f ca="1">IFERROR(IF(0=LEN(ReferenceData!$M$199),"",ReferenceData!$M$199),"")</f>
        <v>745</v>
      </c>
      <c r="N199">
        <f ca="1">IFERROR(IF(0=LEN(ReferenceData!$N$199),"",ReferenceData!$N$199),"")</f>
        <v>635</v>
      </c>
      <c r="O199">
        <f ca="1">IFERROR(IF(0=LEN(ReferenceData!$O$199),"",ReferenceData!$O$199),"")</f>
        <v>679</v>
      </c>
      <c r="P199">
        <f ca="1">IFERROR(IF(0=LEN(ReferenceData!$P$199),"",ReferenceData!$P$199),"")</f>
        <v>1287</v>
      </c>
      <c r="Q199">
        <f ca="1">IFERROR(IF(0=LEN(ReferenceData!$Q$199),"",ReferenceData!$Q$199),"")</f>
        <v>960</v>
      </c>
      <c r="R199">
        <f ca="1">IFERROR(IF(0=LEN(ReferenceData!$R$199),"",ReferenceData!$R$199),"")</f>
        <v>888</v>
      </c>
      <c r="S199">
        <f ca="1">IFERROR(IF(0=LEN(ReferenceData!$S$199),"",ReferenceData!$S$199),"")</f>
        <v>845</v>
      </c>
      <c r="T199">
        <f ca="1">IFERROR(IF(0=LEN(ReferenceData!$T$199),"",ReferenceData!$T$199),"")</f>
        <v>687</v>
      </c>
      <c r="U199">
        <f ca="1">IFERROR(IF(0=LEN(ReferenceData!$U$199),"",ReferenceData!$U$199),"")</f>
        <v>585</v>
      </c>
      <c r="V199">
        <f ca="1">IFERROR(IF(0=LEN(ReferenceData!$V$199),"",ReferenceData!$V$199),"")</f>
        <v>668</v>
      </c>
      <c r="W199">
        <f ca="1">IFERROR(IF(0=LEN(ReferenceData!$W$199),"",ReferenceData!$W$199),"")</f>
        <v>778</v>
      </c>
      <c r="X199">
        <f ca="1">IFERROR(IF(0=LEN(ReferenceData!$X$199),"",ReferenceData!$X$199),"")</f>
        <v>754</v>
      </c>
      <c r="Y199">
        <f ca="1">IFERROR(IF(0=LEN(ReferenceData!$Y$199),"",ReferenceData!$Y$199),"")</f>
        <v>668</v>
      </c>
      <c r="Z199">
        <f ca="1">IFERROR(IF(0=LEN(ReferenceData!$Z$199),"",ReferenceData!$Z$199),"")</f>
        <v>512</v>
      </c>
      <c r="AA199">
        <f ca="1">IFERROR(IF(0=LEN(ReferenceData!$AA$199),"",ReferenceData!$AA$199),"")</f>
        <v>738</v>
      </c>
      <c r="AB199">
        <f ca="1">IFERROR(IF(0=LEN(ReferenceData!$AB$199),"",ReferenceData!$AB$199),"")</f>
        <v>549</v>
      </c>
      <c r="AC199">
        <f ca="1">IFERROR(IF(0=LEN(ReferenceData!$AC$199),"",ReferenceData!$AC$199),"")</f>
        <v>440</v>
      </c>
      <c r="AD199">
        <f ca="1">IFERROR(IF(0=LEN(ReferenceData!$AD$199),"",ReferenceData!$AD$199),"")</f>
        <v>412</v>
      </c>
      <c r="AE199">
        <f ca="1">IFERROR(IF(0=LEN(ReferenceData!$AE$199),"",ReferenceData!$AE$199),"")</f>
        <v>385</v>
      </c>
      <c r="AF199">
        <f ca="1">IFERROR(IF(0=LEN(ReferenceData!$AF$199),"",ReferenceData!$AF$199),"")</f>
        <v>385</v>
      </c>
      <c r="AG199">
        <f ca="1">IFERROR(IF(0=LEN(ReferenceData!$AG$199),"",ReferenceData!$AG$199),"")</f>
        <v>598</v>
      </c>
      <c r="AH199">
        <f ca="1">IFERROR(IF(0=LEN(ReferenceData!$AH$199),"",ReferenceData!$AH$199),"")</f>
        <v>440</v>
      </c>
      <c r="AI199">
        <f ca="1">IFERROR(IF(0=LEN(ReferenceData!$AI$199),"",ReferenceData!$AI$199),"")</f>
        <v>355</v>
      </c>
      <c r="AJ199">
        <f ca="1">IFERROR(IF(0=LEN(ReferenceData!$AJ$199),"",ReferenceData!$AJ$199),"")</f>
        <v>556</v>
      </c>
      <c r="AK199">
        <f ca="1">IFERROR(IF(0=LEN(ReferenceData!$AK$199),"",ReferenceData!$AK$199),"")</f>
        <v>386</v>
      </c>
      <c r="AL199">
        <f ca="1">IFERROR(IF(0=LEN(ReferenceData!$AL$199),"",ReferenceData!$AL$199),"")</f>
        <v>367</v>
      </c>
      <c r="AM199">
        <f ca="1">IFERROR(IF(0=LEN(ReferenceData!$AM$199),"",ReferenceData!$AM$199),"")</f>
        <v>338</v>
      </c>
      <c r="AN199">
        <f ca="1">IFERROR(IF(0=LEN(ReferenceData!$AN$199),"",ReferenceData!$AN$199),"")</f>
        <v>494</v>
      </c>
      <c r="AO199">
        <f ca="1">IFERROR(IF(0=LEN(ReferenceData!$AO$199),"",ReferenceData!$AO$199),"")</f>
        <v>455</v>
      </c>
      <c r="AP199">
        <f ca="1">IFERROR(IF(0=LEN(ReferenceData!$AP$199),"",ReferenceData!$AP$199),"")</f>
        <v>461</v>
      </c>
      <c r="AQ199">
        <f ca="1">IFERROR(IF(0=LEN(ReferenceData!$AQ$199),"",ReferenceData!$AQ$199),"")</f>
        <v>272</v>
      </c>
      <c r="AR199">
        <f ca="1">IFERROR(IF(0=LEN(ReferenceData!$AR$199),"",ReferenceData!$AR$199),"")</f>
        <v>503</v>
      </c>
      <c r="AS199">
        <f ca="1">IFERROR(IF(0=LEN(ReferenceData!$AS$199),"",ReferenceData!$AS$199),"")</f>
        <v>507</v>
      </c>
    </row>
    <row r="200" spans="1:45" x14ac:dyDescent="0.25">
      <c r="A200" t="str">
        <f>IFERROR(IF(0=LEN(ReferenceData!$A$200),"",ReferenceData!$A$200),"")</f>
        <v xml:space="preserve">    Daimler - Mercedes-Benz</v>
      </c>
      <c r="B200" t="str">
        <f>IFERROR(IF(0=LEN(ReferenceData!$B$200),"",ReferenceData!$B$200),"")</f>
        <v>DAI GR Equity</v>
      </c>
      <c r="C200" t="str">
        <f>IFERROR(IF(0=LEN(ReferenceData!$C$200),"",ReferenceData!$C$200),"")</f>
        <v>X1701</v>
      </c>
      <c r="D200" t="str">
        <f>IFERROR(IF(0=LEN(ReferenceData!$D$200),"",ReferenceData!$D$200),"")</f>
        <v>WARDS_RETAIL_SALES_UNITS</v>
      </c>
      <c r="E200" t="str">
        <f>IFERROR(IF(0=LEN(ReferenceData!$E$200),"",ReferenceData!$E$200),"")</f>
        <v>Dynamic</v>
      </c>
      <c r="F200" t="str">
        <f ca="1">IFERROR(IF(0=LEN(ReferenceData!$F$200),"",ReferenceData!$F$200),"")</f>
        <v/>
      </c>
      <c r="G200" t="str">
        <f ca="1">IFERROR(IF(0=LEN(ReferenceData!$G$200),"",ReferenceData!$G$200),"")</f>
        <v/>
      </c>
      <c r="H200" t="str">
        <f ca="1">IFERROR(IF(0=LEN(ReferenceData!$H$200),"",ReferenceData!$H$200),"")</f>
        <v/>
      </c>
      <c r="I200" t="str">
        <f ca="1">IFERROR(IF(0=LEN(ReferenceData!$I$200),"",ReferenceData!$I$200),"")</f>
        <v/>
      </c>
      <c r="J200" t="str">
        <f ca="1">IFERROR(IF(0=LEN(ReferenceData!$J$200),"",ReferenceData!$J$200),"")</f>
        <v/>
      </c>
      <c r="K200" t="str">
        <f ca="1">IFERROR(IF(0=LEN(ReferenceData!$K$200),"",ReferenceData!$K$200),"")</f>
        <v/>
      </c>
      <c r="L200" t="str">
        <f ca="1">IFERROR(IF(0=LEN(ReferenceData!$L$200),"",ReferenceData!$L$200),"")</f>
        <v/>
      </c>
      <c r="M200" t="str">
        <f ca="1">IFERROR(IF(0=LEN(ReferenceData!$M$200),"",ReferenceData!$M$200),"")</f>
        <v/>
      </c>
      <c r="N200" t="str">
        <f ca="1">IFERROR(IF(0=LEN(ReferenceData!$N$200),"",ReferenceData!$N$200),"")</f>
        <v/>
      </c>
      <c r="O200" t="str">
        <f ca="1">IFERROR(IF(0=LEN(ReferenceData!$O$200),"",ReferenceData!$O$200),"")</f>
        <v/>
      </c>
      <c r="P200">
        <f ca="1">IFERROR(IF(0=LEN(ReferenceData!$P$200),"",ReferenceData!$P$200),"")</f>
        <v>130</v>
      </c>
      <c r="Q200">
        <f ca="1">IFERROR(IF(0=LEN(ReferenceData!$Q$200),"",ReferenceData!$Q$200),"")</f>
        <v>97</v>
      </c>
      <c r="R200">
        <f ca="1">IFERROR(IF(0=LEN(ReferenceData!$R$200),"",ReferenceData!$R$200),"")</f>
        <v>90</v>
      </c>
      <c r="S200">
        <f ca="1">IFERROR(IF(0=LEN(ReferenceData!$S$200),"",ReferenceData!$S$200),"")</f>
        <v>85</v>
      </c>
      <c r="T200">
        <f ca="1">IFERROR(IF(0=LEN(ReferenceData!$T$200),"",ReferenceData!$T$200),"")</f>
        <v>70</v>
      </c>
      <c r="U200">
        <f ca="1">IFERROR(IF(0=LEN(ReferenceData!$U$200),"",ReferenceData!$U$200),"")</f>
        <v>59</v>
      </c>
      <c r="V200">
        <f ca="1">IFERROR(IF(0=LEN(ReferenceData!$V$200),"",ReferenceData!$V$200),"")</f>
        <v>68</v>
      </c>
      <c r="W200">
        <f ca="1">IFERROR(IF(0=LEN(ReferenceData!$W$200),"",ReferenceData!$W$200),"")</f>
        <v>79</v>
      </c>
      <c r="X200">
        <f ca="1">IFERROR(IF(0=LEN(ReferenceData!$X$200),"",ReferenceData!$X$200),"")</f>
        <v>76</v>
      </c>
      <c r="Y200">
        <f ca="1">IFERROR(IF(0=LEN(ReferenceData!$Y$200),"",ReferenceData!$Y$200),"")</f>
        <v>68</v>
      </c>
      <c r="Z200">
        <f ca="1">IFERROR(IF(0=LEN(ReferenceData!$Z$200),"",ReferenceData!$Z$200),"")</f>
        <v>52</v>
      </c>
      <c r="AA200">
        <f ca="1">IFERROR(IF(0=LEN(ReferenceData!$AA$200),"",ReferenceData!$AA$200),"")</f>
        <v>75</v>
      </c>
      <c r="AB200">
        <f ca="1">IFERROR(IF(0=LEN(ReferenceData!$AB$200),"",ReferenceData!$AB$200),"")</f>
        <v>171</v>
      </c>
      <c r="AC200">
        <f ca="1">IFERROR(IF(0=LEN(ReferenceData!$AC$200),"",ReferenceData!$AC$200),"")</f>
        <v>137</v>
      </c>
      <c r="AD200">
        <f ca="1">IFERROR(IF(0=LEN(ReferenceData!$AD$200),"",ReferenceData!$AD$200),"")</f>
        <v>128</v>
      </c>
      <c r="AE200">
        <f ca="1">IFERROR(IF(0=LEN(ReferenceData!$AE$200),"",ReferenceData!$AE$200),"")</f>
        <v>119</v>
      </c>
      <c r="AF200">
        <f ca="1">IFERROR(IF(0=LEN(ReferenceData!$AF$200),"",ReferenceData!$AF$200),"")</f>
        <v>119</v>
      </c>
      <c r="AG200">
        <f ca="1">IFERROR(IF(0=LEN(ReferenceData!$AG$200),"",ReferenceData!$AG$200),"")</f>
        <v>133</v>
      </c>
      <c r="AH200">
        <f ca="1">IFERROR(IF(0=LEN(ReferenceData!$AH$200),"",ReferenceData!$AH$200),"")</f>
        <v>47</v>
      </c>
      <c r="AI200">
        <f ca="1">IFERROR(IF(0=LEN(ReferenceData!$AI$200),"",ReferenceData!$AI$200),"")</f>
        <v>27</v>
      </c>
      <c r="AJ200">
        <f ca="1">IFERROR(IF(0=LEN(ReferenceData!$AJ$200),"",ReferenceData!$AJ$200),"")</f>
        <v>25</v>
      </c>
      <c r="AK200">
        <f ca="1">IFERROR(IF(0=LEN(ReferenceData!$AK$200),"",ReferenceData!$AK$200),"")</f>
        <v>2</v>
      </c>
      <c r="AL200">
        <f ca="1">IFERROR(IF(0=LEN(ReferenceData!$AL$200),"",ReferenceData!$AL$200),"")</f>
        <v>6</v>
      </c>
      <c r="AM200">
        <f ca="1">IFERROR(IF(0=LEN(ReferenceData!$AM$200),"",ReferenceData!$AM$200),"")</f>
        <v>68</v>
      </c>
      <c r="AN200">
        <f ca="1">IFERROR(IF(0=LEN(ReferenceData!$AN$200),"",ReferenceData!$AN$200),"")</f>
        <v>217</v>
      </c>
      <c r="AO200">
        <f ca="1">IFERROR(IF(0=LEN(ReferenceData!$AO$200),"",ReferenceData!$AO$200),"")</f>
        <v>204</v>
      </c>
      <c r="AP200">
        <f ca="1">IFERROR(IF(0=LEN(ReferenceData!$AP$200),"",ReferenceData!$AP$200),"")</f>
        <v>206</v>
      </c>
      <c r="AQ200">
        <f ca="1">IFERROR(IF(0=LEN(ReferenceData!$AQ$200),"",ReferenceData!$AQ$200),"")</f>
        <v>68</v>
      </c>
      <c r="AR200">
        <f ca="1">IFERROR(IF(0=LEN(ReferenceData!$AR$200),"",ReferenceData!$AR$200),"")</f>
        <v>92</v>
      </c>
      <c r="AS200">
        <f ca="1">IFERROR(IF(0=LEN(ReferenceData!$AS$200),"",ReferenceData!$AS$200),"")</f>
        <v>16</v>
      </c>
    </row>
    <row r="201" spans="1:45" x14ac:dyDescent="0.25">
      <c r="A201" t="str">
        <f>IFERROR(IF(0=LEN(ReferenceData!$A$201),"",ReferenceData!$A$201),"")</f>
        <v xml:space="preserve">    Daimler - Sterling</v>
      </c>
      <c r="B201" t="str">
        <f>IFERROR(IF(0=LEN(ReferenceData!$B$201),"",ReferenceData!$B$201),"")</f>
        <v>DAI GR Equity</v>
      </c>
      <c r="C201" t="str">
        <f>IFERROR(IF(0=LEN(ReferenceData!$C$201),"",ReferenceData!$C$201),"")</f>
        <v>X1701</v>
      </c>
      <c r="D201" t="str">
        <f>IFERROR(IF(0=LEN(ReferenceData!$D$201),"",ReferenceData!$D$201),"")</f>
        <v>WARDS_RETAIL_SALES_UNITS</v>
      </c>
      <c r="E201" t="str">
        <f>IFERROR(IF(0=LEN(ReferenceData!$E$201),"",ReferenceData!$E$201),"")</f>
        <v>Dynamic</v>
      </c>
      <c r="F201" t="str">
        <f ca="1">IFERROR(IF(0=LEN(ReferenceData!$F$201),"",ReferenceData!$F$201),"")</f>
        <v/>
      </c>
      <c r="G201" t="str">
        <f ca="1">IFERROR(IF(0=LEN(ReferenceData!$G$201),"",ReferenceData!$G$201),"")</f>
        <v/>
      </c>
      <c r="H201" t="str">
        <f ca="1">IFERROR(IF(0=LEN(ReferenceData!$H$201),"",ReferenceData!$H$201),"")</f>
        <v/>
      </c>
      <c r="I201" t="str">
        <f ca="1">IFERROR(IF(0=LEN(ReferenceData!$I$201),"",ReferenceData!$I$201),"")</f>
        <v/>
      </c>
      <c r="J201" t="str">
        <f ca="1">IFERROR(IF(0=LEN(ReferenceData!$J$201),"",ReferenceData!$J$201),"")</f>
        <v/>
      </c>
      <c r="K201" t="str">
        <f ca="1">IFERROR(IF(0=LEN(ReferenceData!$K$201),"",ReferenceData!$K$201),"")</f>
        <v/>
      </c>
      <c r="L201" t="str">
        <f ca="1">IFERROR(IF(0=LEN(ReferenceData!$L$201),"",ReferenceData!$L$201),"")</f>
        <v/>
      </c>
      <c r="M201" t="str">
        <f ca="1">IFERROR(IF(0=LEN(ReferenceData!$M$201),"",ReferenceData!$M$201),"")</f>
        <v/>
      </c>
      <c r="N201" t="str">
        <f ca="1">IFERROR(IF(0=LEN(ReferenceData!$N$201),"",ReferenceData!$N$201),"")</f>
        <v/>
      </c>
      <c r="O201" t="str">
        <f ca="1">IFERROR(IF(0=LEN(ReferenceData!$O$201),"",ReferenceData!$O$201),"")</f>
        <v/>
      </c>
      <c r="P201" t="str">
        <f ca="1">IFERROR(IF(0=LEN(ReferenceData!$P$201),"",ReferenceData!$P$201),"")</f>
        <v/>
      </c>
      <c r="Q201" t="str">
        <f ca="1">IFERROR(IF(0=LEN(ReferenceData!$Q$201),"",ReferenceData!$Q$201),"")</f>
        <v/>
      </c>
      <c r="R201" t="str">
        <f ca="1">IFERROR(IF(0=LEN(ReferenceData!$R$201),"",ReferenceData!$R$201),"")</f>
        <v/>
      </c>
      <c r="S201" t="str">
        <f ca="1">IFERROR(IF(0=LEN(ReferenceData!$S$201),"",ReferenceData!$S$201),"")</f>
        <v/>
      </c>
      <c r="T201" t="str">
        <f ca="1">IFERROR(IF(0=LEN(ReferenceData!$T$201),"",ReferenceData!$T$201),"")</f>
        <v/>
      </c>
      <c r="U201" t="str">
        <f ca="1">IFERROR(IF(0=LEN(ReferenceData!$U$201),"",ReferenceData!$U$201),"")</f>
        <v/>
      </c>
      <c r="V201" t="str">
        <f ca="1">IFERROR(IF(0=LEN(ReferenceData!$V$201),"",ReferenceData!$V$201),"")</f>
        <v/>
      </c>
      <c r="W201" t="str">
        <f ca="1">IFERROR(IF(0=LEN(ReferenceData!$W$201),"",ReferenceData!$W$201),"")</f>
        <v/>
      </c>
      <c r="X201" t="str">
        <f ca="1">IFERROR(IF(0=LEN(ReferenceData!$X$201),"",ReferenceData!$X$201),"")</f>
        <v/>
      </c>
      <c r="Y201" t="str">
        <f ca="1">IFERROR(IF(0=LEN(ReferenceData!$Y$201),"",ReferenceData!$Y$201),"")</f>
        <v/>
      </c>
      <c r="Z201" t="str">
        <f ca="1">IFERROR(IF(0=LEN(ReferenceData!$Z$201),"",ReferenceData!$Z$201),"")</f>
        <v/>
      </c>
      <c r="AA201" t="str">
        <f ca="1">IFERROR(IF(0=LEN(ReferenceData!$AA$201),"",ReferenceData!$AA$201),"")</f>
        <v/>
      </c>
      <c r="AB201" t="str">
        <f ca="1">IFERROR(IF(0=LEN(ReferenceData!$AB$201),"",ReferenceData!$AB$201),"")</f>
        <v/>
      </c>
      <c r="AC201" t="str">
        <f ca="1">IFERROR(IF(0=LEN(ReferenceData!$AC$201),"",ReferenceData!$AC$201),"")</f>
        <v/>
      </c>
      <c r="AD201" t="str">
        <f ca="1">IFERROR(IF(0=LEN(ReferenceData!$AD$201),"",ReferenceData!$AD$201),"")</f>
        <v/>
      </c>
      <c r="AE201" t="str">
        <f ca="1">IFERROR(IF(0=LEN(ReferenceData!$AE$201),"",ReferenceData!$AE$201),"")</f>
        <v/>
      </c>
      <c r="AF201" t="str">
        <f ca="1">IFERROR(IF(0=LEN(ReferenceData!$AF$201),"",ReferenceData!$AF$201),"")</f>
        <v/>
      </c>
      <c r="AG201" t="str">
        <f ca="1">IFERROR(IF(0=LEN(ReferenceData!$AG$201),"",ReferenceData!$AG$201),"")</f>
        <v/>
      </c>
      <c r="AH201" t="str">
        <f ca="1">IFERROR(IF(0=LEN(ReferenceData!$AH$201),"",ReferenceData!$AH$201),"")</f>
        <v/>
      </c>
      <c r="AI201" t="str">
        <f ca="1">IFERROR(IF(0=LEN(ReferenceData!$AI$201),"",ReferenceData!$AI$201),"")</f>
        <v/>
      </c>
      <c r="AJ201" t="str">
        <f ca="1">IFERROR(IF(0=LEN(ReferenceData!$AJ$201),"",ReferenceData!$AJ$201),"")</f>
        <v/>
      </c>
      <c r="AK201" t="str">
        <f ca="1">IFERROR(IF(0=LEN(ReferenceData!$AK$201),"",ReferenceData!$AK$201),"")</f>
        <v/>
      </c>
      <c r="AL201" t="str">
        <f ca="1">IFERROR(IF(0=LEN(ReferenceData!$AL$201),"",ReferenceData!$AL$201),"")</f>
        <v/>
      </c>
      <c r="AM201" t="str">
        <f ca="1">IFERROR(IF(0=LEN(ReferenceData!$AM$201),"",ReferenceData!$AM$201),"")</f>
        <v/>
      </c>
      <c r="AN201" t="str">
        <f ca="1">IFERROR(IF(0=LEN(ReferenceData!$AN$201),"",ReferenceData!$AN$201),"")</f>
        <v/>
      </c>
      <c r="AO201" t="str">
        <f ca="1">IFERROR(IF(0=LEN(ReferenceData!$AO$201),"",ReferenceData!$AO$201),"")</f>
        <v/>
      </c>
      <c r="AP201" t="str">
        <f ca="1">IFERROR(IF(0=LEN(ReferenceData!$AP$201),"",ReferenceData!$AP$201),"")</f>
        <v/>
      </c>
      <c r="AQ201" t="str">
        <f ca="1">IFERROR(IF(0=LEN(ReferenceData!$AQ$201),"",ReferenceData!$AQ$201),"")</f>
        <v/>
      </c>
      <c r="AR201" t="str">
        <f ca="1">IFERROR(IF(0=LEN(ReferenceData!$AR$201),"",ReferenceData!$AR$201),"")</f>
        <v/>
      </c>
      <c r="AS201" t="str">
        <f ca="1">IFERROR(IF(0=LEN(ReferenceData!$AS$201),"",ReferenceData!$AS$201),"")</f>
        <v/>
      </c>
    </row>
    <row r="202" spans="1:45" x14ac:dyDescent="0.25">
      <c r="A202" t="str">
        <f>IFERROR(IF(0=LEN(ReferenceData!$A$202),"",ReferenceData!$A$202),"")</f>
        <v xml:space="preserve">    Volvo - Volvo Truck</v>
      </c>
      <c r="B202" t="str">
        <f>IFERROR(IF(0=LEN(ReferenceData!$B$202),"",ReferenceData!$B$202),"")</f>
        <v>VOLVB SS Equity</v>
      </c>
      <c r="C202" t="str">
        <f>IFERROR(IF(0=LEN(ReferenceData!$C$202),"",ReferenceData!$C$202),"")</f>
        <v>X1701</v>
      </c>
      <c r="D202" t="str">
        <f>IFERROR(IF(0=LEN(ReferenceData!$D$202),"",ReferenceData!$D$202),"")</f>
        <v>WARDS_RETAIL_SALES_UNITS</v>
      </c>
      <c r="E202" t="str">
        <f>IFERROR(IF(0=LEN(ReferenceData!$E$202),"",ReferenceData!$E$202),"")</f>
        <v>Dynamic</v>
      </c>
      <c r="F202">
        <f ca="1">IFERROR(IF(0=LEN(ReferenceData!$F$202),"",ReferenceData!$F$202),"")</f>
        <v>34</v>
      </c>
      <c r="G202">
        <f ca="1">IFERROR(IF(0=LEN(ReferenceData!$G$202),"",ReferenceData!$G$202),"")</f>
        <v>34</v>
      </c>
      <c r="H202">
        <f ca="1">IFERROR(IF(0=LEN(ReferenceData!$H$202),"",ReferenceData!$H$202),"")</f>
        <v>15</v>
      </c>
      <c r="I202">
        <f ca="1">IFERROR(IF(0=LEN(ReferenceData!$I$202),"",ReferenceData!$I$202),"")</f>
        <v>27</v>
      </c>
      <c r="J202">
        <f ca="1">IFERROR(IF(0=LEN(ReferenceData!$J$202),"",ReferenceData!$J$202),"")</f>
        <v>36</v>
      </c>
      <c r="K202">
        <f ca="1">IFERROR(IF(0=LEN(ReferenceData!$K$202),"",ReferenceData!$K$202),"")</f>
        <v>48</v>
      </c>
      <c r="L202">
        <f ca="1">IFERROR(IF(0=LEN(ReferenceData!$L$202),"",ReferenceData!$L$202),"")</f>
        <v>40</v>
      </c>
      <c r="M202">
        <f ca="1">IFERROR(IF(0=LEN(ReferenceData!$M$202),"",ReferenceData!$M$202),"")</f>
        <v>92</v>
      </c>
      <c r="N202">
        <f ca="1">IFERROR(IF(0=LEN(ReferenceData!$N$202),"",ReferenceData!$N$202),"")</f>
        <v>78</v>
      </c>
      <c r="O202">
        <f ca="1">IFERROR(IF(0=LEN(ReferenceData!$O$202),"",ReferenceData!$O$202),"")</f>
        <v>39</v>
      </c>
      <c r="P202">
        <f ca="1">IFERROR(IF(0=LEN(ReferenceData!$P$202),"",ReferenceData!$P$202),"")</f>
        <v>76</v>
      </c>
      <c r="Q202">
        <f ca="1">IFERROR(IF(0=LEN(ReferenceData!$Q$202),"",ReferenceData!$Q$202),"")</f>
        <v>53</v>
      </c>
      <c r="R202">
        <f ca="1">IFERROR(IF(0=LEN(ReferenceData!$R$202),"",ReferenceData!$R$202),"")</f>
        <v>47</v>
      </c>
      <c r="S202">
        <f ca="1">IFERROR(IF(0=LEN(ReferenceData!$S$202),"",ReferenceData!$S$202),"")</f>
        <v>31</v>
      </c>
      <c r="T202">
        <f ca="1">IFERROR(IF(0=LEN(ReferenceData!$T$202),"",ReferenceData!$T$202),"")</f>
        <v>79</v>
      </c>
      <c r="U202">
        <f ca="1">IFERROR(IF(0=LEN(ReferenceData!$U$202),"",ReferenceData!$U$202),"")</f>
        <v>33</v>
      </c>
      <c r="V202">
        <f ca="1">IFERROR(IF(0=LEN(ReferenceData!$V$202),"",ReferenceData!$V$202),"")</f>
        <v>35</v>
      </c>
      <c r="W202">
        <f ca="1">IFERROR(IF(0=LEN(ReferenceData!$W$202),"",ReferenceData!$W$202),"")</f>
        <v>57</v>
      </c>
      <c r="X202">
        <f ca="1">IFERROR(IF(0=LEN(ReferenceData!$X$202),"",ReferenceData!$X$202),"")</f>
        <v>62</v>
      </c>
      <c r="Y202">
        <f ca="1">IFERROR(IF(0=LEN(ReferenceData!$Y$202),"",ReferenceData!$Y$202),"")</f>
        <v>98</v>
      </c>
      <c r="Z202">
        <f ca="1">IFERROR(IF(0=LEN(ReferenceData!$Z$202),"",ReferenceData!$Z$202),"")</f>
        <v>30</v>
      </c>
      <c r="AA202">
        <f ca="1">IFERROR(IF(0=LEN(ReferenceData!$AA$202),"",ReferenceData!$AA$202),"")</f>
        <v>21</v>
      </c>
      <c r="AB202">
        <f ca="1">IFERROR(IF(0=LEN(ReferenceData!$AB$202),"",ReferenceData!$AB$202),"")</f>
        <v>210</v>
      </c>
      <c r="AC202">
        <f ca="1">IFERROR(IF(0=LEN(ReferenceData!$AC$202),"",ReferenceData!$AC$202),"")</f>
        <v>105</v>
      </c>
      <c r="AD202">
        <f ca="1">IFERROR(IF(0=LEN(ReferenceData!$AD$202),"",ReferenceData!$AD$202),"")</f>
        <v>48</v>
      </c>
      <c r="AE202">
        <f ca="1">IFERROR(IF(0=LEN(ReferenceData!$AE$202),"",ReferenceData!$AE$202),"")</f>
        <v>70</v>
      </c>
      <c r="AF202">
        <f ca="1">IFERROR(IF(0=LEN(ReferenceData!$AF$202),"",ReferenceData!$AF$202),"")</f>
        <v>78</v>
      </c>
      <c r="AG202">
        <f ca="1">IFERROR(IF(0=LEN(ReferenceData!$AG$202),"",ReferenceData!$AG$202),"")</f>
        <v>84</v>
      </c>
      <c r="AH202">
        <f ca="1">IFERROR(IF(0=LEN(ReferenceData!$AH$202),"",ReferenceData!$AH$202),"")</f>
        <v>75</v>
      </c>
      <c r="AI202">
        <f ca="1">IFERROR(IF(0=LEN(ReferenceData!$AI$202),"",ReferenceData!$AI$202),"")</f>
        <v>221</v>
      </c>
      <c r="AJ202">
        <f ca="1">IFERROR(IF(0=LEN(ReferenceData!$AJ$202),"",ReferenceData!$AJ$202),"")</f>
        <v>19</v>
      </c>
      <c r="AK202">
        <f ca="1">IFERROR(IF(0=LEN(ReferenceData!$AK$202),"",ReferenceData!$AK$202),"")</f>
        <v>29</v>
      </c>
      <c r="AL202">
        <f ca="1">IFERROR(IF(0=LEN(ReferenceData!$AL$202),"",ReferenceData!$AL$202),"")</f>
        <v>135</v>
      </c>
      <c r="AM202">
        <f ca="1">IFERROR(IF(0=LEN(ReferenceData!$AM$202),"",ReferenceData!$AM$202),"")</f>
        <v>52</v>
      </c>
      <c r="AN202">
        <f ca="1">IFERROR(IF(0=LEN(ReferenceData!$AN$202),"",ReferenceData!$AN$202),"")</f>
        <v>82</v>
      </c>
      <c r="AO202">
        <f ca="1">IFERROR(IF(0=LEN(ReferenceData!$AO$202),"",ReferenceData!$AO$202),"")</f>
        <v>75</v>
      </c>
      <c r="AP202">
        <f ca="1">IFERROR(IF(0=LEN(ReferenceData!$AP$202),"",ReferenceData!$AP$202),"")</f>
        <v>76</v>
      </c>
      <c r="AQ202">
        <f ca="1">IFERROR(IF(0=LEN(ReferenceData!$AQ$202),"",ReferenceData!$AQ$202),"")</f>
        <v>83</v>
      </c>
      <c r="AR202">
        <f ca="1">IFERROR(IF(0=LEN(ReferenceData!$AR$202),"",ReferenceData!$AR$202),"")</f>
        <v>115</v>
      </c>
      <c r="AS202">
        <f ca="1">IFERROR(IF(0=LEN(ReferenceData!$AS$202),"",ReferenceData!$AS$202),"")</f>
        <v>120</v>
      </c>
    </row>
    <row r="203" spans="1:45" x14ac:dyDescent="0.25">
      <c r="A203" t="str">
        <f>IFERROR(IF(0=LEN(ReferenceData!$A$203),"",ReferenceData!$A$203),"")</f>
        <v xml:space="preserve">    Volvo - Mack</v>
      </c>
      <c r="B203" t="str">
        <f>IFERROR(IF(0=LEN(ReferenceData!$B$203),"",ReferenceData!$B$203),"")</f>
        <v>VOLVB SS Equity</v>
      </c>
      <c r="C203" t="str">
        <f>IFERROR(IF(0=LEN(ReferenceData!$C$203),"",ReferenceData!$C$203),"")</f>
        <v>X1701</v>
      </c>
      <c r="D203" t="str">
        <f>IFERROR(IF(0=LEN(ReferenceData!$D$203),"",ReferenceData!$D$203),"")</f>
        <v>WARDS_RETAIL_SALES_UNITS</v>
      </c>
      <c r="E203" t="str">
        <f>IFERROR(IF(0=LEN(ReferenceData!$E$203),"",ReferenceData!$E$203),"")</f>
        <v>Dynamic</v>
      </c>
      <c r="F203">
        <f ca="1">IFERROR(IF(0=LEN(ReferenceData!$F$203),"",ReferenceData!$F$203),"")</f>
        <v>10</v>
      </c>
      <c r="G203">
        <f ca="1">IFERROR(IF(0=LEN(ReferenceData!$G$203),"",ReferenceData!$G$203),"")</f>
        <v>4</v>
      </c>
      <c r="H203">
        <f ca="1">IFERROR(IF(0=LEN(ReferenceData!$H$203),"",ReferenceData!$H$203),"")</f>
        <v>7</v>
      </c>
      <c r="I203">
        <f ca="1">IFERROR(IF(0=LEN(ReferenceData!$I$203),"",ReferenceData!$I$203),"")</f>
        <v>3</v>
      </c>
      <c r="J203">
        <f ca="1">IFERROR(IF(0=LEN(ReferenceData!$J$203),"",ReferenceData!$J$203),"")</f>
        <v>15</v>
      </c>
      <c r="K203">
        <f ca="1">IFERROR(IF(0=LEN(ReferenceData!$K$203),"",ReferenceData!$K$203),"")</f>
        <v>56</v>
      </c>
      <c r="L203">
        <f ca="1">IFERROR(IF(0=LEN(ReferenceData!$L$203),"",ReferenceData!$L$203),"")</f>
        <v>16</v>
      </c>
      <c r="M203">
        <f ca="1">IFERROR(IF(0=LEN(ReferenceData!$M$203),"",ReferenceData!$M$203),"")</f>
        <v>27</v>
      </c>
      <c r="N203">
        <f ca="1">IFERROR(IF(0=LEN(ReferenceData!$N$203),"",ReferenceData!$N$203),"")</f>
        <v>24</v>
      </c>
      <c r="O203">
        <f ca="1">IFERROR(IF(0=LEN(ReferenceData!$O$203),"",ReferenceData!$O$203),"")</f>
        <v>16</v>
      </c>
      <c r="P203">
        <f ca="1">IFERROR(IF(0=LEN(ReferenceData!$P$203),"",ReferenceData!$P$203),"")</f>
        <v>39</v>
      </c>
      <c r="Q203">
        <f ca="1">IFERROR(IF(0=LEN(ReferenceData!$Q$203),"",ReferenceData!$Q$203),"")</f>
        <v>5</v>
      </c>
      <c r="R203">
        <f ca="1">IFERROR(IF(0=LEN(ReferenceData!$R$203),"",ReferenceData!$R$203),"")</f>
        <v>10</v>
      </c>
      <c r="S203">
        <f ca="1">IFERROR(IF(0=LEN(ReferenceData!$S$203),"",ReferenceData!$S$203),"")</f>
        <v>27</v>
      </c>
      <c r="T203">
        <f ca="1">IFERROR(IF(0=LEN(ReferenceData!$T$203),"",ReferenceData!$T$203),"")</f>
        <v>1</v>
      </c>
      <c r="U203">
        <f ca="1">IFERROR(IF(0=LEN(ReferenceData!$U$203),"",ReferenceData!$U$203),"")</f>
        <v>12</v>
      </c>
      <c r="V203">
        <f ca="1">IFERROR(IF(0=LEN(ReferenceData!$V$203),"",ReferenceData!$V$203),"")</f>
        <v>12</v>
      </c>
      <c r="W203">
        <f ca="1">IFERROR(IF(0=LEN(ReferenceData!$W$203),"",ReferenceData!$W$203),"")</f>
        <v>20</v>
      </c>
      <c r="X203">
        <f ca="1">IFERROR(IF(0=LEN(ReferenceData!$X$203),"",ReferenceData!$X$203),"")</f>
        <v>12</v>
      </c>
      <c r="Y203">
        <f ca="1">IFERROR(IF(0=LEN(ReferenceData!$Y$203),"",ReferenceData!$Y$203),"")</f>
        <v>21</v>
      </c>
      <c r="Z203">
        <f ca="1">IFERROR(IF(0=LEN(ReferenceData!$Z$203),"",ReferenceData!$Z$203),"")</f>
        <v>4</v>
      </c>
      <c r="AA203">
        <f ca="1">IFERROR(IF(0=LEN(ReferenceData!$AA$203),"",ReferenceData!$AA$203),"")</f>
        <v>14</v>
      </c>
      <c r="AB203">
        <f ca="1">IFERROR(IF(0=LEN(ReferenceData!$AB$203),"",ReferenceData!$AB$203),"")</f>
        <v>35</v>
      </c>
      <c r="AC203">
        <f ca="1">IFERROR(IF(0=LEN(ReferenceData!$AC$203),"",ReferenceData!$AC$203),"")</f>
        <v>33</v>
      </c>
      <c r="AD203">
        <f ca="1">IFERROR(IF(0=LEN(ReferenceData!$AD$203),"",ReferenceData!$AD$203),"")</f>
        <v>32</v>
      </c>
      <c r="AE203">
        <f ca="1">IFERROR(IF(0=LEN(ReferenceData!$AE$203),"",ReferenceData!$AE$203),"")</f>
        <v>39</v>
      </c>
      <c r="AF203">
        <f ca="1">IFERROR(IF(0=LEN(ReferenceData!$AF$203),"",ReferenceData!$AF$203),"")</f>
        <v>87</v>
      </c>
      <c r="AG203">
        <f ca="1">IFERROR(IF(0=LEN(ReferenceData!$AG$203),"",ReferenceData!$AG$203),"")</f>
        <v>70</v>
      </c>
      <c r="AH203">
        <f ca="1">IFERROR(IF(0=LEN(ReferenceData!$AH$203),"",ReferenceData!$AH$203),"")</f>
        <v>23</v>
      </c>
      <c r="AI203">
        <f ca="1">IFERROR(IF(0=LEN(ReferenceData!$AI$203),"",ReferenceData!$AI$203),"")</f>
        <v>25</v>
      </c>
      <c r="AJ203">
        <f ca="1">IFERROR(IF(0=LEN(ReferenceData!$AJ$203),"",ReferenceData!$AJ$203),"")</f>
        <v>23</v>
      </c>
      <c r="AK203">
        <f ca="1">IFERROR(IF(0=LEN(ReferenceData!$AK$203),"",ReferenceData!$AK$203),"")</f>
        <v>8</v>
      </c>
      <c r="AL203">
        <f ca="1">IFERROR(IF(0=LEN(ReferenceData!$AL$203),"",ReferenceData!$AL$203),"")</f>
        <v>29</v>
      </c>
      <c r="AM203">
        <f ca="1">IFERROR(IF(0=LEN(ReferenceData!$AM$203),"",ReferenceData!$AM$203),"")</f>
        <v>19</v>
      </c>
      <c r="AN203">
        <f ca="1">IFERROR(IF(0=LEN(ReferenceData!$AN$203),"",ReferenceData!$AN$203),"")</f>
        <v>37</v>
      </c>
      <c r="AO203">
        <f ca="1">IFERROR(IF(0=LEN(ReferenceData!$AO$203),"",ReferenceData!$AO$203),"")</f>
        <v>34</v>
      </c>
      <c r="AP203">
        <f ca="1">IFERROR(IF(0=LEN(ReferenceData!$AP$203),"",ReferenceData!$AP$203),"")</f>
        <v>34</v>
      </c>
      <c r="AQ203">
        <f ca="1">IFERROR(IF(0=LEN(ReferenceData!$AQ$203),"",ReferenceData!$AQ$203),"")</f>
        <v>56</v>
      </c>
      <c r="AR203">
        <f ca="1">IFERROR(IF(0=LEN(ReferenceData!$AR$203),"",ReferenceData!$AR$203),"")</f>
        <v>39</v>
      </c>
      <c r="AS203">
        <f ca="1">IFERROR(IF(0=LEN(ReferenceData!$AS$203),"",ReferenceData!$AS$203),"")</f>
        <v>21</v>
      </c>
    </row>
    <row r="204" spans="1:45" x14ac:dyDescent="0.25">
      <c r="A204" t="str">
        <f>IFERROR(IF(0=LEN(ReferenceData!$A$204),"",ReferenceData!$A$204),"")</f>
        <v xml:space="preserve">    Dina Camiones</v>
      </c>
      <c r="B204" t="str">
        <f>IFERROR(IF(0=LEN(ReferenceData!$B$204),"",ReferenceData!$B$204),"")</f>
        <v>8128757Z MM Equity</v>
      </c>
      <c r="C204" t="str">
        <f>IFERROR(IF(0=LEN(ReferenceData!$C$204),"",ReferenceData!$C$204),"")</f>
        <v>X1701</v>
      </c>
      <c r="D204" t="str">
        <f>IFERROR(IF(0=LEN(ReferenceData!$D$204),"",ReferenceData!$D$204),"")</f>
        <v>WARDS_RETAIL_SALES_UNITS</v>
      </c>
      <c r="E204" t="str">
        <f>IFERROR(IF(0=LEN(ReferenceData!$E$204),"",ReferenceData!$E$204),"")</f>
        <v>Dynamic</v>
      </c>
      <c r="F204" t="str">
        <f ca="1">IFERROR(IF(0=LEN(ReferenceData!$F$204),"",ReferenceData!$F$204),"")</f>
        <v/>
      </c>
      <c r="G204" t="str">
        <f ca="1">IFERROR(IF(0=LEN(ReferenceData!$G$204),"",ReferenceData!$G$204),"")</f>
        <v/>
      </c>
      <c r="H204" t="str">
        <f ca="1">IFERROR(IF(0=LEN(ReferenceData!$H$204),"",ReferenceData!$H$204),"")</f>
        <v/>
      </c>
      <c r="I204" t="str">
        <f ca="1">IFERROR(IF(0=LEN(ReferenceData!$I$204),"",ReferenceData!$I$204),"")</f>
        <v/>
      </c>
      <c r="J204" t="str">
        <f ca="1">IFERROR(IF(0=LEN(ReferenceData!$J$204),"",ReferenceData!$J$204),"")</f>
        <v/>
      </c>
      <c r="K204" t="str">
        <f ca="1">IFERROR(IF(0=LEN(ReferenceData!$K$204),"",ReferenceData!$K$204),"")</f>
        <v/>
      </c>
      <c r="L204" t="str">
        <f ca="1">IFERROR(IF(0=LEN(ReferenceData!$L$204),"",ReferenceData!$L$204),"")</f>
        <v/>
      </c>
      <c r="M204" t="str">
        <f ca="1">IFERROR(IF(0=LEN(ReferenceData!$M$204),"",ReferenceData!$M$204),"")</f>
        <v/>
      </c>
      <c r="N204" t="str">
        <f ca="1">IFERROR(IF(0=LEN(ReferenceData!$N$204),"",ReferenceData!$N$204),"")</f>
        <v/>
      </c>
      <c r="O204" t="str">
        <f ca="1">IFERROR(IF(0=LEN(ReferenceData!$O$204),"",ReferenceData!$O$204),"")</f>
        <v/>
      </c>
      <c r="P204">
        <f ca="1">IFERROR(IF(0=LEN(ReferenceData!$P$204),"",ReferenceData!$P$204),"")</f>
        <v>86</v>
      </c>
      <c r="Q204">
        <f ca="1">IFERROR(IF(0=LEN(ReferenceData!$Q$204),"",ReferenceData!$Q$204),"")</f>
        <v>64</v>
      </c>
      <c r="R204">
        <f ca="1">IFERROR(IF(0=LEN(ReferenceData!$R$204),"",ReferenceData!$R$204),"")</f>
        <v>59</v>
      </c>
      <c r="S204">
        <f ca="1">IFERROR(IF(0=LEN(ReferenceData!$S$204),"",ReferenceData!$S$204),"")</f>
        <v>56</v>
      </c>
      <c r="T204">
        <f ca="1">IFERROR(IF(0=LEN(ReferenceData!$T$204),"",ReferenceData!$T$204),"")</f>
        <v>46</v>
      </c>
      <c r="U204">
        <f ca="1">IFERROR(IF(0=LEN(ReferenceData!$U$204),"",ReferenceData!$U$204),"")</f>
        <v>39</v>
      </c>
      <c r="V204">
        <f ca="1">IFERROR(IF(0=LEN(ReferenceData!$V$204),"",ReferenceData!$V$204),"")</f>
        <v>44</v>
      </c>
      <c r="W204">
        <f ca="1">IFERROR(IF(0=LEN(ReferenceData!$W$204),"",ReferenceData!$W$204),"")</f>
        <v>52</v>
      </c>
      <c r="X204">
        <f ca="1">IFERROR(IF(0=LEN(ReferenceData!$X$204),"",ReferenceData!$X$204),"")</f>
        <v>50</v>
      </c>
      <c r="Y204">
        <f ca="1">IFERROR(IF(0=LEN(ReferenceData!$Y$204),"",ReferenceData!$Y$204),"")</f>
        <v>45</v>
      </c>
      <c r="Z204">
        <f ca="1">IFERROR(IF(0=LEN(ReferenceData!$Z$204),"",ReferenceData!$Z$204),"")</f>
        <v>34</v>
      </c>
      <c r="AA204">
        <f ca="1">IFERROR(IF(0=LEN(ReferenceData!$AA$204),"",ReferenceData!$AA$204),"")</f>
        <v>49</v>
      </c>
      <c r="AB204">
        <f ca="1">IFERROR(IF(0=LEN(ReferenceData!$AB$204),"",ReferenceData!$AB$204),"")</f>
        <v>67</v>
      </c>
      <c r="AC204">
        <f ca="1">IFERROR(IF(0=LEN(ReferenceData!$AC$204),"",ReferenceData!$AC$204),"")</f>
        <v>54</v>
      </c>
      <c r="AD204">
        <f ca="1">IFERROR(IF(0=LEN(ReferenceData!$AD$204),"",ReferenceData!$AD$204),"")</f>
        <v>50</v>
      </c>
      <c r="AE204">
        <f ca="1">IFERROR(IF(0=LEN(ReferenceData!$AE$204),"",ReferenceData!$AE$204),"")</f>
        <v>47</v>
      </c>
      <c r="AF204">
        <f ca="1">IFERROR(IF(0=LEN(ReferenceData!$AF$204),"",ReferenceData!$AF$204),"")</f>
        <v>47</v>
      </c>
      <c r="AG204">
        <f ca="1">IFERROR(IF(0=LEN(ReferenceData!$AG$204),"",ReferenceData!$AG$204),"")</f>
        <v>47</v>
      </c>
      <c r="AH204">
        <f ca="1">IFERROR(IF(0=LEN(ReferenceData!$AH$204),"",ReferenceData!$AH$204),"")</f>
        <v>45</v>
      </c>
      <c r="AI204">
        <f ca="1">IFERROR(IF(0=LEN(ReferenceData!$AI$204),"",ReferenceData!$AI$204),"")</f>
        <v>42</v>
      </c>
      <c r="AJ204">
        <f ca="1">IFERROR(IF(0=LEN(ReferenceData!$AJ$204),"",ReferenceData!$AJ$204),"")</f>
        <v>40</v>
      </c>
      <c r="AK204">
        <f ca="1">IFERROR(IF(0=LEN(ReferenceData!$AK$204),"",ReferenceData!$AK$204),"")</f>
        <v>52</v>
      </c>
      <c r="AL204">
        <f ca="1">IFERROR(IF(0=LEN(ReferenceData!$AL$204),"",ReferenceData!$AL$204),"")</f>
        <v>49</v>
      </c>
      <c r="AM204">
        <f ca="1">IFERROR(IF(0=LEN(ReferenceData!$AM$204),"",ReferenceData!$AM$204),"")</f>
        <v>52</v>
      </c>
      <c r="AN204">
        <f ca="1">IFERROR(IF(0=LEN(ReferenceData!$AN$204),"",ReferenceData!$AN$204),"")</f>
        <v>89</v>
      </c>
      <c r="AO204">
        <f ca="1">IFERROR(IF(0=LEN(ReferenceData!$AO$204),"",ReferenceData!$AO$204),"")</f>
        <v>77</v>
      </c>
      <c r="AP204">
        <f ca="1">IFERROR(IF(0=LEN(ReferenceData!$AP$204),"",ReferenceData!$AP$204),"")</f>
        <v>75</v>
      </c>
      <c r="AQ204">
        <f ca="1">IFERROR(IF(0=LEN(ReferenceData!$AQ$204),"",ReferenceData!$AQ$204),"")</f>
        <v>110</v>
      </c>
      <c r="AR204">
        <f ca="1">IFERROR(IF(0=LEN(ReferenceData!$AR$204),"",ReferenceData!$AR$204),"")</f>
        <v>24</v>
      </c>
      <c r="AS204">
        <f ca="1">IFERROR(IF(0=LEN(ReferenceData!$AS$204),"",ReferenceData!$AS$204),"")</f>
        <v>3</v>
      </c>
    </row>
    <row r="205" spans="1:45" x14ac:dyDescent="0.25">
      <c r="A205" t="str">
        <f>IFERROR(IF(0=LEN(ReferenceData!$A$205),"",ReferenceData!$A$205),"")</f>
        <v xml:space="preserve">    MAN - MAN</v>
      </c>
      <c r="B205" t="str">
        <f>IFERROR(IF(0=LEN(ReferenceData!$B$205),"",ReferenceData!$B$205),"")</f>
        <v>VOW GR Equity</v>
      </c>
      <c r="C205" t="str">
        <f>IFERROR(IF(0=LEN(ReferenceData!$C$205),"",ReferenceData!$C$205),"")</f>
        <v>X1701</v>
      </c>
      <c r="D205" t="str">
        <f>IFERROR(IF(0=LEN(ReferenceData!$D$205),"",ReferenceData!$D$205),"")</f>
        <v>WARDS_RETAIL_SALES_UNITS</v>
      </c>
      <c r="E205" t="str">
        <f>IFERROR(IF(0=LEN(ReferenceData!$E$205),"",ReferenceData!$E$205),"")</f>
        <v>Dynamic</v>
      </c>
      <c r="F205" t="str">
        <f ca="1">IFERROR(IF(0=LEN(ReferenceData!$F$205),"",ReferenceData!$F$205),"")</f>
        <v/>
      </c>
      <c r="G205" t="str">
        <f ca="1">IFERROR(IF(0=LEN(ReferenceData!$G$205),"",ReferenceData!$G$205),"")</f>
        <v/>
      </c>
      <c r="H205" t="str">
        <f ca="1">IFERROR(IF(0=LEN(ReferenceData!$H$205),"",ReferenceData!$H$205),"")</f>
        <v/>
      </c>
      <c r="I205" t="str">
        <f ca="1">IFERROR(IF(0=LEN(ReferenceData!$I$205),"",ReferenceData!$I$205),"")</f>
        <v/>
      </c>
      <c r="J205" t="str">
        <f ca="1">IFERROR(IF(0=LEN(ReferenceData!$J$205),"",ReferenceData!$J$205),"")</f>
        <v/>
      </c>
      <c r="K205" t="str">
        <f ca="1">IFERROR(IF(0=LEN(ReferenceData!$K$205),"",ReferenceData!$K$205),"")</f>
        <v/>
      </c>
      <c r="L205" t="str">
        <f ca="1">IFERROR(IF(0=LEN(ReferenceData!$L$205),"",ReferenceData!$L$205),"")</f>
        <v/>
      </c>
      <c r="M205" t="str">
        <f ca="1">IFERROR(IF(0=LEN(ReferenceData!$M$205),"",ReferenceData!$M$205),"")</f>
        <v/>
      </c>
      <c r="N205" t="str">
        <f ca="1">IFERROR(IF(0=LEN(ReferenceData!$N$205),"",ReferenceData!$N$205),"")</f>
        <v/>
      </c>
      <c r="O205" t="str">
        <f ca="1">IFERROR(IF(0=LEN(ReferenceData!$O$205),"",ReferenceData!$O$205),"")</f>
        <v/>
      </c>
      <c r="P205">
        <f ca="1">IFERROR(IF(0=LEN(ReferenceData!$P$205),"",ReferenceData!$P$205),"")</f>
        <v>68</v>
      </c>
      <c r="Q205">
        <f ca="1">IFERROR(IF(0=LEN(ReferenceData!$Q$205),"",ReferenceData!$Q$205),"")</f>
        <v>51</v>
      </c>
      <c r="R205">
        <f ca="1">IFERROR(IF(0=LEN(ReferenceData!$R$205),"",ReferenceData!$R$205),"")</f>
        <v>47</v>
      </c>
      <c r="S205">
        <f ca="1">IFERROR(IF(0=LEN(ReferenceData!$S$205),"",ReferenceData!$S$205),"")</f>
        <v>45</v>
      </c>
      <c r="T205">
        <f ca="1">IFERROR(IF(0=LEN(ReferenceData!$T$205),"",ReferenceData!$T$205),"")</f>
        <v>36</v>
      </c>
      <c r="U205">
        <f ca="1">IFERROR(IF(0=LEN(ReferenceData!$U$205),"",ReferenceData!$U$205),"")</f>
        <v>31</v>
      </c>
      <c r="V205">
        <f ca="1">IFERROR(IF(0=LEN(ReferenceData!$V$205),"",ReferenceData!$V$205),"")</f>
        <v>35</v>
      </c>
      <c r="W205">
        <f ca="1">IFERROR(IF(0=LEN(ReferenceData!$W$205),"",ReferenceData!$W$205),"")</f>
        <v>41</v>
      </c>
      <c r="X205">
        <f ca="1">IFERROR(IF(0=LEN(ReferenceData!$X$205),"",ReferenceData!$X$205),"")</f>
        <v>40</v>
      </c>
      <c r="Y205">
        <f ca="1">IFERROR(IF(0=LEN(ReferenceData!$Y$205),"",ReferenceData!$Y$205),"")</f>
        <v>35</v>
      </c>
      <c r="Z205">
        <f ca="1">IFERROR(IF(0=LEN(ReferenceData!$Z$205),"",ReferenceData!$Z$205),"")</f>
        <v>27</v>
      </c>
      <c r="AA205">
        <f ca="1">IFERROR(IF(0=LEN(ReferenceData!$AA$205),"",ReferenceData!$AA$205),"")</f>
        <v>39</v>
      </c>
      <c r="AB205">
        <f ca="1">IFERROR(IF(0=LEN(ReferenceData!$AB$205),"",ReferenceData!$AB$205),"")</f>
        <v>37</v>
      </c>
      <c r="AC205">
        <f ca="1">IFERROR(IF(0=LEN(ReferenceData!$AC$205),"",ReferenceData!$AC$205),"")</f>
        <v>30</v>
      </c>
      <c r="AD205">
        <f ca="1">IFERROR(IF(0=LEN(ReferenceData!$AD$205),"",ReferenceData!$AD$205),"")</f>
        <v>28</v>
      </c>
      <c r="AE205">
        <f ca="1">IFERROR(IF(0=LEN(ReferenceData!$AE$205),"",ReferenceData!$AE$205),"")</f>
        <v>26</v>
      </c>
      <c r="AF205">
        <f ca="1">IFERROR(IF(0=LEN(ReferenceData!$AF$205),"",ReferenceData!$AF$205),"")</f>
        <v>26</v>
      </c>
      <c r="AG205">
        <f ca="1">IFERROR(IF(0=LEN(ReferenceData!$AG$205),"",ReferenceData!$AG$205),"")</f>
        <v>26</v>
      </c>
      <c r="AH205">
        <f ca="1">IFERROR(IF(0=LEN(ReferenceData!$AH$205),"",ReferenceData!$AH$205),"")</f>
        <v>25</v>
      </c>
      <c r="AI205">
        <f ca="1">IFERROR(IF(0=LEN(ReferenceData!$AI$205),"",ReferenceData!$AI$205),"")</f>
        <v>23</v>
      </c>
      <c r="AJ205">
        <f ca="1">IFERROR(IF(0=LEN(ReferenceData!$AJ$205),"",ReferenceData!$AJ$205),"")</f>
        <v>22</v>
      </c>
      <c r="AK205">
        <f ca="1">IFERROR(IF(0=LEN(ReferenceData!$AK$205),"",ReferenceData!$AK$205),"")</f>
        <v>29</v>
      </c>
      <c r="AL205">
        <f ca="1">IFERROR(IF(0=LEN(ReferenceData!$AL$205),"",ReferenceData!$AL$205),"")</f>
        <v>27</v>
      </c>
      <c r="AM205">
        <f ca="1">IFERROR(IF(0=LEN(ReferenceData!$AM$205),"",ReferenceData!$AM$205),"")</f>
        <v>29</v>
      </c>
      <c r="AN205">
        <f ca="1">IFERROR(IF(0=LEN(ReferenceData!$AN$205),"",ReferenceData!$AN$205),"")</f>
        <v>32</v>
      </c>
      <c r="AO205">
        <f ca="1">IFERROR(IF(0=LEN(ReferenceData!$AO$205),"",ReferenceData!$AO$205),"")</f>
        <v>29</v>
      </c>
      <c r="AP205">
        <f ca="1">IFERROR(IF(0=LEN(ReferenceData!$AP$205),"",ReferenceData!$AP$205),"")</f>
        <v>29</v>
      </c>
      <c r="AQ205">
        <f ca="1">IFERROR(IF(0=LEN(ReferenceData!$AQ$205),"",ReferenceData!$AQ$205),"")</f>
        <v>26</v>
      </c>
      <c r="AR205">
        <f ca="1">IFERROR(IF(0=LEN(ReferenceData!$AR$205),"",ReferenceData!$AR$205),"")</f>
        <v>10</v>
      </c>
      <c r="AS205">
        <f ca="1">IFERROR(IF(0=LEN(ReferenceData!$AS$205),"",ReferenceData!$AS$205),"")</f>
        <v>34</v>
      </c>
    </row>
    <row r="206" spans="1:45" x14ac:dyDescent="0.25">
      <c r="A206" t="str">
        <f>IFERROR(IF(0=LEN(ReferenceData!$A$206),"",ReferenceData!$A$206),"")</f>
        <v xml:space="preserve">    MAN - Volkswagen Truck &amp; Bus</v>
      </c>
      <c r="B206" t="str">
        <f>IFERROR(IF(0=LEN(ReferenceData!$B$206),"",ReferenceData!$B$206),"")</f>
        <v>VOW GR Equity</v>
      </c>
      <c r="C206" t="str">
        <f>IFERROR(IF(0=LEN(ReferenceData!$C$206),"",ReferenceData!$C$206),"")</f>
        <v>X1701</v>
      </c>
      <c r="D206" t="str">
        <f>IFERROR(IF(0=LEN(ReferenceData!$D$206),"",ReferenceData!$D$206),"")</f>
        <v>WARDS_RETAIL_SALES_UNITS</v>
      </c>
      <c r="E206" t="str">
        <f>IFERROR(IF(0=LEN(ReferenceData!$E$206),"",ReferenceData!$E$206),"")</f>
        <v>Dynamic</v>
      </c>
      <c r="F206" t="str">
        <f ca="1">IFERROR(IF(0=LEN(ReferenceData!$F$206),"",ReferenceData!$F$206),"")</f>
        <v/>
      </c>
      <c r="G206" t="str">
        <f ca="1">IFERROR(IF(0=LEN(ReferenceData!$G$206),"",ReferenceData!$G$206),"")</f>
        <v/>
      </c>
      <c r="H206" t="str">
        <f ca="1">IFERROR(IF(0=LEN(ReferenceData!$H$206),"",ReferenceData!$H$206),"")</f>
        <v/>
      </c>
      <c r="I206" t="str">
        <f ca="1">IFERROR(IF(0=LEN(ReferenceData!$I$206),"",ReferenceData!$I$206),"")</f>
        <v/>
      </c>
      <c r="J206" t="str">
        <f ca="1">IFERROR(IF(0=LEN(ReferenceData!$J$206),"",ReferenceData!$J$206),"")</f>
        <v/>
      </c>
      <c r="K206" t="str">
        <f ca="1">IFERROR(IF(0=LEN(ReferenceData!$K$206),"",ReferenceData!$K$206),"")</f>
        <v/>
      </c>
      <c r="L206" t="str">
        <f ca="1">IFERROR(IF(0=LEN(ReferenceData!$L$206),"",ReferenceData!$L$206),"")</f>
        <v/>
      </c>
      <c r="M206" t="str">
        <f ca="1">IFERROR(IF(0=LEN(ReferenceData!$M$206),"",ReferenceData!$M$206),"")</f>
        <v/>
      </c>
      <c r="N206" t="str">
        <f ca="1">IFERROR(IF(0=LEN(ReferenceData!$N$206),"",ReferenceData!$N$206),"")</f>
        <v/>
      </c>
      <c r="O206" t="str">
        <f ca="1">IFERROR(IF(0=LEN(ReferenceData!$O$206),"",ReferenceData!$O$206),"")</f>
        <v/>
      </c>
      <c r="P206" t="str">
        <f ca="1">IFERROR(IF(0=LEN(ReferenceData!$P$206),"",ReferenceData!$P$206),"")</f>
        <v/>
      </c>
      <c r="Q206" t="str">
        <f ca="1">IFERROR(IF(0=LEN(ReferenceData!$Q$206),"",ReferenceData!$Q$206),"")</f>
        <v/>
      </c>
      <c r="R206" t="str">
        <f ca="1">IFERROR(IF(0=LEN(ReferenceData!$R$206),"",ReferenceData!$R$206),"")</f>
        <v/>
      </c>
      <c r="S206" t="str">
        <f ca="1">IFERROR(IF(0=LEN(ReferenceData!$S$206),"",ReferenceData!$S$206),"")</f>
        <v/>
      </c>
      <c r="T206" t="str">
        <f ca="1">IFERROR(IF(0=LEN(ReferenceData!$T$206),"",ReferenceData!$T$206),"")</f>
        <v/>
      </c>
      <c r="U206" t="str">
        <f ca="1">IFERROR(IF(0=LEN(ReferenceData!$U$206),"",ReferenceData!$U$206),"")</f>
        <v/>
      </c>
      <c r="V206" t="str">
        <f ca="1">IFERROR(IF(0=LEN(ReferenceData!$V$206),"",ReferenceData!$V$206),"")</f>
        <v/>
      </c>
      <c r="W206" t="str">
        <f ca="1">IFERROR(IF(0=LEN(ReferenceData!$W$206),"",ReferenceData!$W$206),"")</f>
        <v/>
      </c>
      <c r="X206" t="str">
        <f ca="1">IFERROR(IF(0=LEN(ReferenceData!$X$206),"",ReferenceData!$X$206),"")</f>
        <v/>
      </c>
      <c r="Y206" t="str">
        <f ca="1">IFERROR(IF(0=LEN(ReferenceData!$Y$206),"",ReferenceData!$Y$206),"")</f>
        <v/>
      </c>
      <c r="Z206" t="str">
        <f ca="1">IFERROR(IF(0=LEN(ReferenceData!$Z$206),"",ReferenceData!$Z$206),"")</f>
        <v/>
      </c>
      <c r="AA206" t="str">
        <f ca="1">IFERROR(IF(0=LEN(ReferenceData!$AA$206),"",ReferenceData!$AA$206),"")</f>
        <v/>
      </c>
      <c r="AB206" t="str">
        <f ca="1">IFERROR(IF(0=LEN(ReferenceData!$AB$206),"",ReferenceData!$AB$206),"")</f>
        <v/>
      </c>
      <c r="AC206" t="str">
        <f ca="1">IFERROR(IF(0=LEN(ReferenceData!$AC$206),"",ReferenceData!$AC$206),"")</f>
        <v/>
      </c>
      <c r="AD206" t="str">
        <f ca="1">IFERROR(IF(0=LEN(ReferenceData!$AD$206),"",ReferenceData!$AD$206),"")</f>
        <v/>
      </c>
      <c r="AE206" t="str">
        <f ca="1">IFERROR(IF(0=LEN(ReferenceData!$AE$206),"",ReferenceData!$AE$206),"")</f>
        <v/>
      </c>
      <c r="AF206" t="str">
        <f ca="1">IFERROR(IF(0=LEN(ReferenceData!$AF$206),"",ReferenceData!$AF$206),"")</f>
        <v/>
      </c>
      <c r="AG206" t="str">
        <f ca="1">IFERROR(IF(0=LEN(ReferenceData!$AG$206),"",ReferenceData!$AG$206),"")</f>
        <v/>
      </c>
      <c r="AH206" t="str">
        <f ca="1">IFERROR(IF(0=LEN(ReferenceData!$AH$206),"",ReferenceData!$AH$206),"")</f>
        <v/>
      </c>
      <c r="AI206" t="str">
        <f ca="1">IFERROR(IF(0=LEN(ReferenceData!$AI$206),"",ReferenceData!$AI$206),"")</f>
        <v/>
      </c>
      <c r="AJ206" t="str">
        <f ca="1">IFERROR(IF(0=LEN(ReferenceData!$AJ$206),"",ReferenceData!$AJ$206),"")</f>
        <v/>
      </c>
      <c r="AK206" t="str">
        <f ca="1">IFERROR(IF(0=LEN(ReferenceData!$AK$206),"",ReferenceData!$AK$206),"")</f>
        <v/>
      </c>
      <c r="AL206" t="str">
        <f ca="1">IFERROR(IF(0=LEN(ReferenceData!$AL$206),"",ReferenceData!$AL$206),"")</f>
        <v/>
      </c>
      <c r="AM206" t="str">
        <f ca="1">IFERROR(IF(0=LEN(ReferenceData!$AM$206),"",ReferenceData!$AM$206),"")</f>
        <v/>
      </c>
      <c r="AN206" t="str">
        <f ca="1">IFERROR(IF(0=LEN(ReferenceData!$AN$206),"",ReferenceData!$AN$206),"")</f>
        <v/>
      </c>
      <c r="AO206" t="str">
        <f ca="1">IFERROR(IF(0=LEN(ReferenceData!$AO$206),"",ReferenceData!$AO$206),"")</f>
        <v/>
      </c>
      <c r="AP206" t="str">
        <f ca="1">IFERROR(IF(0=LEN(ReferenceData!$AP$206),"",ReferenceData!$AP$206),"")</f>
        <v/>
      </c>
      <c r="AQ206" t="str">
        <f ca="1">IFERROR(IF(0=LEN(ReferenceData!$AQ$206),"",ReferenceData!$AQ$206),"")</f>
        <v/>
      </c>
      <c r="AR206" t="str">
        <f ca="1">IFERROR(IF(0=LEN(ReferenceData!$AR$206),"",ReferenceData!$AR$206),"")</f>
        <v/>
      </c>
      <c r="AS206" t="str">
        <f ca="1">IFERROR(IF(0=LEN(ReferenceData!$AS$206),"",ReferenceData!$AS$206),"")</f>
        <v/>
      </c>
    </row>
    <row r="207" spans="1:45" x14ac:dyDescent="0.25">
      <c r="A207" t="str">
        <f>IFERROR(IF(0=LEN(ReferenceData!$A$207),"",ReferenceData!$A$207),"")</f>
        <v xml:space="preserve">    Scania</v>
      </c>
      <c r="B207" t="str">
        <f>IFERROR(IF(0=LEN(ReferenceData!$B$207),"",ReferenceData!$B$207),"")</f>
        <v>SCVB SS Equity</v>
      </c>
      <c r="C207" t="str">
        <f>IFERROR(IF(0=LEN(ReferenceData!$C$207),"",ReferenceData!$C$207),"")</f>
        <v>X1701</v>
      </c>
      <c r="D207" t="str">
        <f>IFERROR(IF(0=LEN(ReferenceData!$D$207),"",ReferenceData!$D$207),"")</f>
        <v>WARDS_RETAIL_SALES_UNITS</v>
      </c>
      <c r="E207" t="str">
        <f>IFERROR(IF(0=LEN(ReferenceData!$E$207),"",ReferenceData!$E$207),"")</f>
        <v>Dynamic</v>
      </c>
      <c r="F207" t="str">
        <f ca="1">IFERROR(IF(0=LEN(ReferenceData!$F$207),"",ReferenceData!$F$207),"")</f>
        <v/>
      </c>
      <c r="G207" t="str">
        <f ca="1">IFERROR(IF(0=LEN(ReferenceData!$G$207),"",ReferenceData!$G$207),"")</f>
        <v/>
      </c>
      <c r="H207" t="str">
        <f ca="1">IFERROR(IF(0=LEN(ReferenceData!$H$207),"",ReferenceData!$H$207),"")</f>
        <v/>
      </c>
      <c r="I207" t="str">
        <f ca="1">IFERROR(IF(0=LEN(ReferenceData!$I$207),"",ReferenceData!$I$207),"")</f>
        <v/>
      </c>
      <c r="J207" t="str">
        <f ca="1">IFERROR(IF(0=LEN(ReferenceData!$J$207),"",ReferenceData!$J$207),"")</f>
        <v/>
      </c>
      <c r="K207" t="str">
        <f ca="1">IFERROR(IF(0=LEN(ReferenceData!$K$207),"",ReferenceData!$K$207),"")</f>
        <v/>
      </c>
      <c r="L207" t="str">
        <f ca="1">IFERROR(IF(0=LEN(ReferenceData!$L$207),"",ReferenceData!$L$207),"")</f>
        <v/>
      </c>
      <c r="M207" t="str">
        <f ca="1">IFERROR(IF(0=LEN(ReferenceData!$M$207),"",ReferenceData!$M$207),"")</f>
        <v/>
      </c>
      <c r="N207" t="str">
        <f ca="1">IFERROR(IF(0=LEN(ReferenceData!$N$207),"",ReferenceData!$N$207),"")</f>
        <v/>
      </c>
      <c r="O207" t="str">
        <f ca="1">IFERROR(IF(0=LEN(ReferenceData!$O$207),"",ReferenceData!$O$207),"")</f>
        <v/>
      </c>
      <c r="P207">
        <f ca="1">IFERROR(IF(0=LEN(ReferenceData!$P$207),"",ReferenceData!$P$207),"")</f>
        <v>222</v>
      </c>
      <c r="Q207">
        <f ca="1">IFERROR(IF(0=LEN(ReferenceData!$Q$207),"",ReferenceData!$Q$207),"")</f>
        <v>165</v>
      </c>
      <c r="R207">
        <f ca="1">IFERROR(IF(0=LEN(ReferenceData!$R$207),"",ReferenceData!$R$207),"")</f>
        <v>154</v>
      </c>
      <c r="S207">
        <f ca="1">IFERROR(IF(0=LEN(ReferenceData!$S$207),"",ReferenceData!$S$207),"")</f>
        <v>146</v>
      </c>
      <c r="T207">
        <f ca="1">IFERROR(IF(0=LEN(ReferenceData!$T$207),"",ReferenceData!$T$207),"")</f>
        <v>119</v>
      </c>
      <c r="U207">
        <f ca="1">IFERROR(IF(0=LEN(ReferenceData!$U$207),"",ReferenceData!$U$207),"")</f>
        <v>102</v>
      </c>
      <c r="V207">
        <f ca="1">IFERROR(IF(0=LEN(ReferenceData!$V$207),"",ReferenceData!$V$207),"")</f>
        <v>116</v>
      </c>
      <c r="W207">
        <f ca="1">IFERROR(IF(0=LEN(ReferenceData!$W$207),"",ReferenceData!$W$207),"")</f>
        <v>134</v>
      </c>
      <c r="X207">
        <f ca="1">IFERROR(IF(0=LEN(ReferenceData!$X$207),"",ReferenceData!$X$207),"")</f>
        <v>131</v>
      </c>
      <c r="Y207">
        <f ca="1">IFERROR(IF(0=LEN(ReferenceData!$Y$207),"",ReferenceData!$Y$207),"")</f>
        <v>116</v>
      </c>
      <c r="Z207">
        <f ca="1">IFERROR(IF(0=LEN(ReferenceData!$Z$207),"",ReferenceData!$Z$207),"")</f>
        <v>89</v>
      </c>
      <c r="AA207">
        <f ca="1">IFERROR(IF(0=LEN(ReferenceData!$AA$207),"",ReferenceData!$AA$207),"")</f>
        <v>127</v>
      </c>
      <c r="AB207">
        <f ca="1">IFERROR(IF(0=LEN(ReferenceData!$AB$207),"",ReferenceData!$AB$207),"")</f>
        <v>118</v>
      </c>
      <c r="AC207">
        <f ca="1">IFERROR(IF(0=LEN(ReferenceData!$AC$207),"",ReferenceData!$AC$207),"")</f>
        <v>95</v>
      </c>
      <c r="AD207">
        <f ca="1">IFERROR(IF(0=LEN(ReferenceData!$AD$207),"",ReferenceData!$AD$207),"")</f>
        <v>89</v>
      </c>
      <c r="AE207">
        <f ca="1">IFERROR(IF(0=LEN(ReferenceData!$AE$207),"",ReferenceData!$AE$207),"")</f>
        <v>83</v>
      </c>
      <c r="AF207">
        <f ca="1">IFERROR(IF(0=LEN(ReferenceData!$AF$207),"",ReferenceData!$AF$207),"")</f>
        <v>83</v>
      </c>
      <c r="AG207">
        <f ca="1">IFERROR(IF(0=LEN(ReferenceData!$AG$207),"",ReferenceData!$AG$207),"")</f>
        <v>83</v>
      </c>
      <c r="AH207">
        <f ca="1">IFERROR(IF(0=LEN(ReferenceData!$AH$207),"",ReferenceData!$AH$207),"")</f>
        <v>80</v>
      </c>
      <c r="AI207">
        <f ca="1">IFERROR(IF(0=LEN(ReferenceData!$AI$207),"",ReferenceData!$AI$207),"")</f>
        <v>74</v>
      </c>
      <c r="AJ207">
        <f ca="1">IFERROR(IF(0=LEN(ReferenceData!$AJ$207),"",ReferenceData!$AJ$207),"")</f>
        <v>71</v>
      </c>
      <c r="AK207">
        <f ca="1">IFERROR(IF(0=LEN(ReferenceData!$AK$207),"",ReferenceData!$AK$207),"")</f>
        <v>92</v>
      </c>
      <c r="AL207">
        <f ca="1">IFERROR(IF(0=LEN(ReferenceData!$AL$207),"",ReferenceData!$AL$207),"")</f>
        <v>86</v>
      </c>
      <c r="AM207">
        <f ca="1">IFERROR(IF(0=LEN(ReferenceData!$AM$207),"",ReferenceData!$AM$207),"")</f>
        <v>92</v>
      </c>
      <c r="AN207">
        <f ca="1">IFERROR(IF(0=LEN(ReferenceData!$AN$207),"",ReferenceData!$AN$207),"")</f>
        <v>101</v>
      </c>
      <c r="AO207">
        <f ca="1">IFERROR(IF(0=LEN(ReferenceData!$AO$207),"",ReferenceData!$AO$207),"")</f>
        <v>93</v>
      </c>
      <c r="AP207">
        <f ca="1">IFERROR(IF(0=LEN(ReferenceData!$AP$207),"",ReferenceData!$AP$207),"")</f>
        <v>98</v>
      </c>
      <c r="AQ207">
        <f ca="1">IFERROR(IF(0=LEN(ReferenceData!$AQ$207),"",ReferenceData!$AQ$207),"")</f>
        <v>76</v>
      </c>
      <c r="AR207">
        <f ca="1">IFERROR(IF(0=LEN(ReferenceData!$AR$207),"",ReferenceData!$AR$207),"")</f>
        <v>47</v>
      </c>
      <c r="AS207">
        <f ca="1">IFERROR(IF(0=LEN(ReferenceData!$AS$207),"",ReferenceData!$AS$207),"")</f>
        <v>69</v>
      </c>
    </row>
    <row r="208" spans="1:45" x14ac:dyDescent="0.25">
      <c r="A208" t="str">
        <f>IFERROR(IF(0=LEN(ReferenceData!$A$208),"",ReferenceData!$A$208),"")</f>
        <v xml:space="preserve">    Unspecified/Other</v>
      </c>
      <c r="B208" t="str">
        <f>IFERROR(IF(0=LEN(ReferenceData!$B$208),"",ReferenceData!$B$208),"")</f>
        <v/>
      </c>
      <c r="C208" t="str">
        <f>IFERROR(IF(0=LEN(ReferenceData!$C$208),"",ReferenceData!$C$208),"")</f>
        <v/>
      </c>
      <c r="D208" t="str">
        <f>IFERROR(IF(0=LEN(ReferenceData!$D$208),"",ReferenceData!$D$208),"")</f>
        <v/>
      </c>
      <c r="E208" t="str">
        <f>IFERROR(IF(0=LEN(ReferenceData!$E$208),"",ReferenceData!$E$208),"")</f>
        <v>Expression</v>
      </c>
      <c r="F208">
        <f ca="1">IFERROR(IF(0=LEN(ReferenceData!$F$208),"",ReferenceData!$F$208),"")</f>
        <v>380</v>
      </c>
      <c r="G208">
        <f ca="1">IFERROR(IF(0=LEN(ReferenceData!$G$208),"",ReferenceData!$G$208),"")</f>
        <v>503</v>
      </c>
      <c r="H208">
        <f ca="1">IFERROR(IF(0=LEN(ReferenceData!$H$208),"",ReferenceData!$H$208),"")</f>
        <v>329</v>
      </c>
      <c r="I208">
        <f ca="1">IFERROR(IF(0=LEN(ReferenceData!$I$208),"",ReferenceData!$I$208),"")</f>
        <v>354</v>
      </c>
      <c r="J208">
        <f ca="1">IFERROR(IF(0=LEN(ReferenceData!$J$208),"",ReferenceData!$J$208),"")</f>
        <v>485</v>
      </c>
      <c r="K208">
        <f ca="1">IFERROR(IF(0=LEN(ReferenceData!$K$208),"",ReferenceData!$K$208),"")</f>
        <v>417</v>
      </c>
      <c r="L208">
        <f ca="1">IFERROR(IF(0=LEN(ReferenceData!$L$208),"",ReferenceData!$L$208),"")</f>
        <v>388</v>
      </c>
      <c r="M208">
        <f ca="1">IFERROR(IF(0=LEN(ReferenceData!$M$208),"",ReferenceData!$M$208),"")</f>
        <v>440</v>
      </c>
      <c r="N208">
        <f ca="1">IFERROR(IF(0=LEN(ReferenceData!$N$208),"",ReferenceData!$N$208),"")</f>
        <v>233</v>
      </c>
      <c r="O208">
        <f ca="1">IFERROR(IF(0=LEN(ReferenceData!$O$208),"",ReferenceData!$O$208),"")</f>
        <v>343</v>
      </c>
      <c r="P208">
        <f ca="1">IFERROR(IF(0=LEN(ReferenceData!$P$208),"",ReferenceData!$P$208),"")</f>
        <v>0</v>
      </c>
      <c r="Q208">
        <f ca="1">IFERROR(IF(0=LEN(ReferenceData!$Q$208),"",ReferenceData!$Q$208),"")</f>
        <v>0</v>
      </c>
      <c r="R208">
        <f ca="1">IFERROR(IF(0=LEN(ReferenceData!$R$208),"",ReferenceData!$R$208),"")</f>
        <v>0</v>
      </c>
      <c r="S208">
        <f ca="1">IFERROR(IF(0=LEN(ReferenceData!$S$208),"",ReferenceData!$S$208),"")</f>
        <v>0</v>
      </c>
      <c r="T208">
        <f ca="1">IFERROR(IF(0=LEN(ReferenceData!$T$208),"",ReferenceData!$T$208),"")</f>
        <v>0</v>
      </c>
      <c r="U208">
        <f ca="1">IFERROR(IF(0=LEN(ReferenceData!$U$208),"",ReferenceData!$U$208),"")</f>
        <v>0</v>
      </c>
      <c r="V208">
        <f ca="1">IFERROR(IF(0=LEN(ReferenceData!$V$208),"",ReferenceData!$V$208),"")</f>
        <v>0</v>
      </c>
      <c r="W208">
        <f ca="1">IFERROR(IF(0=LEN(ReferenceData!$W$208),"",ReferenceData!$W$208),"")</f>
        <v>0</v>
      </c>
      <c r="X208">
        <f ca="1">IFERROR(IF(0=LEN(ReferenceData!$X$208),"",ReferenceData!$X$208),"")</f>
        <v>0</v>
      </c>
      <c r="Y208">
        <f ca="1">IFERROR(IF(0=LEN(ReferenceData!$Y$208),"",ReferenceData!$Y$208),"")</f>
        <v>0</v>
      </c>
      <c r="Z208">
        <f ca="1">IFERROR(IF(0=LEN(ReferenceData!$Z$208),"",ReferenceData!$Z$208),"")</f>
        <v>0</v>
      </c>
      <c r="AA208">
        <f ca="1">IFERROR(IF(0=LEN(ReferenceData!$AA$208),"",ReferenceData!$AA$208),"")</f>
        <v>0</v>
      </c>
      <c r="AB208">
        <f ca="1">IFERROR(IF(0=LEN(ReferenceData!$AB$208),"",ReferenceData!$AB$208),"")</f>
        <v>0</v>
      </c>
      <c r="AC208">
        <f ca="1">IFERROR(IF(0=LEN(ReferenceData!$AC$208),"",ReferenceData!$AC$208),"")</f>
        <v>0</v>
      </c>
      <c r="AD208">
        <f ca="1">IFERROR(IF(0=LEN(ReferenceData!$AD$208),"",ReferenceData!$AD$208),"")</f>
        <v>0</v>
      </c>
      <c r="AE208">
        <f ca="1">IFERROR(IF(0=LEN(ReferenceData!$AE$208),"",ReferenceData!$AE$208),"")</f>
        <v>0</v>
      </c>
      <c r="AF208">
        <f ca="1">IFERROR(IF(0=LEN(ReferenceData!$AF$208),"",ReferenceData!$AF$208),"")</f>
        <v>0</v>
      </c>
      <c r="AG208">
        <f ca="1">IFERROR(IF(0=LEN(ReferenceData!$AG$208),"",ReferenceData!$AG$208),"")</f>
        <v>0</v>
      </c>
      <c r="AH208">
        <f ca="1">IFERROR(IF(0=LEN(ReferenceData!$AH$208),"",ReferenceData!$AH$208),"")</f>
        <v>0</v>
      </c>
      <c r="AI208">
        <f ca="1">IFERROR(IF(0=LEN(ReferenceData!$AI$208),"",ReferenceData!$AI$208),"")</f>
        <v>0</v>
      </c>
      <c r="AJ208">
        <f ca="1">IFERROR(IF(0=LEN(ReferenceData!$AJ$208),"",ReferenceData!$AJ$208),"")</f>
        <v>0</v>
      </c>
      <c r="AK208">
        <f ca="1">IFERROR(IF(0=LEN(ReferenceData!$AK$208),"",ReferenceData!$AK$208),"")</f>
        <v>0</v>
      </c>
      <c r="AL208">
        <f ca="1">IFERROR(IF(0=LEN(ReferenceData!$AL$208),"",ReferenceData!$AL$208),"")</f>
        <v>0</v>
      </c>
      <c r="AM208">
        <f ca="1">IFERROR(IF(0=LEN(ReferenceData!$AM$208),"",ReferenceData!$AM$208),"")</f>
        <v>0</v>
      </c>
      <c r="AN208">
        <f ca="1">IFERROR(IF(0=LEN(ReferenceData!$AN$208),"",ReferenceData!$AN$208),"")</f>
        <v>0</v>
      </c>
      <c r="AO208">
        <f ca="1">IFERROR(IF(0=LEN(ReferenceData!$AO$208),"",ReferenceData!$AO$208),"")</f>
        <v>0</v>
      </c>
      <c r="AP208">
        <f ca="1">IFERROR(IF(0=LEN(ReferenceData!$AP$208),"",ReferenceData!$AP$208),"")</f>
        <v>0</v>
      </c>
      <c r="AQ208">
        <f ca="1">IFERROR(IF(0=LEN(ReferenceData!$AQ$208),"",ReferenceData!$AQ$208),"")</f>
        <v>0</v>
      </c>
      <c r="AR208">
        <f ca="1">IFERROR(IF(0=LEN(ReferenceData!$AR$208),"",ReferenceData!$AR$208),"")</f>
        <v>0</v>
      </c>
      <c r="AS208">
        <f ca="1">IFERROR(IF(0=LEN(ReferenceData!$AS$208),"",ReferenceData!$AS$208),"")</f>
        <v>0</v>
      </c>
    </row>
    <row r="209" spans="1:45" x14ac:dyDescent="0.25">
      <c r="A209" t="str">
        <f>IFERROR(IF(0=LEN(ReferenceData!$A$209),"",ReferenceData!$A$209),"")</f>
        <v>Total North America (Class 6-7)</v>
      </c>
      <c r="B209" t="str">
        <f>IFERROR(IF(0=LEN(ReferenceData!$B$209),"",ReferenceData!$B$209),"")</f>
        <v>TRCKNA6S Index</v>
      </c>
      <c r="C209" t="str">
        <f>IFERROR(IF(0=LEN(ReferenceData!$C$209),"",ReferenceData!$C$209),"")</f>
        <v>PR005</v>
      </c>
      <c r="D209" t="str">
        <f>IFERROR(IF(0=LEN(ReferenceData!$D$209),"",ReferenceData!$D$209),"")</f>
        <v>PX_LAST</v>
      </c>
      <c r="E209" t="str">
        <f>IFERROR(IF(0=LEN(ReferenceData!$E$209),"",ReferenceData!$E$209),"")</f>
        <v>Dynamic</v>
      </c>
      <c r="F209">
        <f ca="1">IFERROR(IF(0=LEN(ReferenceData!$F$209),"",ReferenceData!$F$209),"")</f>
        <v>11874</v>
      </c>
      <c r="G209">
        <f ca="1">IFERROR(IF(0=LEN(ReferenceData!$G$209),"",ReferenceData!$G$209),"")</f>
        <v>11212</v>
      </c>
      <c r="H209">
        <f ca="1">IFERROR(IF(0=LEN(ReferenceData!$H$209),"",ReferenceData!$H$209),"")</f>
        <v>13645</v>
      </c>
      <c r="I209">
        <f ca="1">IFERROR(IF(0=LEN(ReferenceData!$I$209),"",ReferenceData!$I$209),"")</f>
        <v>11102</v>
      </c>
      <c r="J209">
        <f ca="1">IFERROR(IF(0=LEN(ReferenceData!$J$209),"",ReferenceData!$J$209),"")</f>
        <v>11462</v>
      </c>
      <c r="K209">
        <f ca="1">IFERROR(IF(0=LEN(ReferenceData!$K$209),"",ReferenceData!$K$209),"")</f>
        <v>10943</v>
      </c>
      <c r="L209">
        <f ca="1">IFERROR(IF(0=LEN(ReferenceData!$L$209),"",ReferenceData!$L$209),"")</f>
        <v>11193</v>
      </c>
      <c r="M209">
        <f ca="1">IFERROR(IF(0=LEN(ReferenceData!$M$209),"",ReferenceData!$M$209),"")</f>
        <v>13806</v>
      </c>
      <c r="N209">
        <f ca="1">IFERROR(IF(0=LEN(ReferenceData!$N$209),"",ReferenceData!$N$209),"")</f>
        <v>10901</v>
      </c>
      <c r="O209">
        <f ca="1">IFERROR(IF(0=LEN(ReferenceData!$O$209),"",ReferenceData!$O$209),"")</f>
        <v>9962</v>
      </c>
      <c r="P209">
        <f ca="1">IFERROR(IF(0=LEN(ReferenceData!$P$209),"",ReferenceData!$P$209),"")</f>
        <v>11689</v>
      </c>
      <c r="Q209">
        <f ca="1">IFERROR(IF(0=LEN(ReferenceData!$Q$209),"",ReferenceData!$Q$209),"")</f>
        <v>9895</v>
      </c>
      <c r="R209">
        <f ca="1">IFERROR(IF(0=LEN(ReferenceData!$R$209),"",ReferenceData!$R$209),"")</f>
        <v>10705</v>
      </c>
      <c r="S209">
        <f ca="1">IFERROR(IF(0=LEN(ReferenceData!$S$209),"",ReferenceData!$S$209),"")</f>
        <v>11848</v>
      </c>
      <c r="T209">
        <f ca="1">IFERROR(IF(0=LEN(ReferenceData!$T$209),"",ReferenceData!$T$209),"")</f>
        <v>12410</v>
      </c>
      <c r="U209">
        <f ca="1">IFERROR(IF(0=LEN(ReferenceData!$U$209),"",ReferenceData!$U$209),"")</f>
        <v>11016</v>
      </c>
      <c r="V209">
        <f ca="1">IFERROR(IF(0=LEN(ReferenceData!$V$209),"",ReferenceData!$V$209),"")</f>
        <v>11674</v>
      </c>
      <c r="W209">
        <f ca="1">IFERROR(IF(0=LEN(ReferenceData!$W$209),"",ReferenceData!$W$209),"")</f>
        <v>10916</v>
      </c>
      <c r="X209">
        <f ca="1">IFERROR(IF(0=LEN(ReferenceData!$X$209),"",ReferenceData!$X$209),"")</f>
        <v>11308</v>
      </c>
      <c r="Y209">
        <f ca="1">IFERROR(IF(0=LEN(ReferenceData!$Y$209),"",ReferenceData!$Y$209),"")</f>
        <v>13119</v>
      </c>
      <c r="Z209">
        <f ca="1">IFERROR(IF(0=LEN(ReferenceData!$Z$209),"",ReferenceData!$Z$209),"")</f>
        <v>11171</v>
      </c>
      <c r="AA209">
        <f ca="1">IFERROR(IF(0=LEN(ReferenceData!$AA$209),"",ReferenceData!$AA$209),"")</f>
        <v>9843</v>
      </c>
      <c r="AB209">
        <f ca="1">IFERROR(IF(0=LEN(ReferenceData!$AB$209),"",ReferenceData!$AB$209),"")</f>
        <v>11598</v>
      </c>
      <c r="AC209">
        <f ca="1">IFERROR(IF(0=LEN(ReferenceData!$AC$209),"",ReferenceData!$AC$209),"")</f>
        <v>10547</v>
      </c>
      <c r="AD209">
        <f ca="1">IFERROR(IF(0=LEN(ReferenceData!$AD$209),"",ReferenceData!$AD$209),"")</f>
        <v>12020</v>
      </c>
      <c r="AE209">
        <f ca="1">IFERROR(IF(0=LEN(ReferenceData!$AE$209),"",ReferenceData!$AE$209),"")</f>
        <v>11007</v>
      </c>
      <c r="AF209">
        <f ca="1">IFERROR(IF(0=LEN(ReferenceData!$AF$209),"",ReferenceData!$AF$209),"")</f>
        <v>11184</v>
      </c>
      <c r="AG209">
        <f ca="1">IFERROR(IF(0=LEN(ReferenceData!$AG$209),"",ReferenceData!$AG$209),"")</f>
        <v>11442</v>
      </c>
      <c r="AH209">
        <f ca="1">IFERROR(IF(0=LEN(ReferenceData!$AH$209),"",ReferenceData!$AH$209),"")</f>
        <v>11385</v>
      </c>
      <c r="AI209">
        <f ca="1">IFERROR(IF(0=LEN(ReferenceData!$AI$209),"",ReferenceData!$AI$209),"")</f>
        <v>9475</v>
      </c>
      <c r="AJ209">
        <f ca="1">IFERROR(IF(0=LEN(ReferenceData!$AJ$209),"",ReferenceData!$AJ$209),"")</f>
        <v>9965</v>
      </c>
      <c r="AK209">
        <f ca="1">IFERROR(IF(0=LEN(ReferenceData!$AK$209),"",ReferenceData!$AK$209),"")</f>
        <v>11406</v>
      </c>
      <c r="AL209">
        <f ca="1">IFERROR(IF(0=LEN(ReferenceData!$AL$209),"",ReferenceData!$AL$209),"")</f>
        <v>9040</v>
      </c>
      <c r="AM209">
        <f ca="1">IFERROR(IF(0=LEN(ReferenceData!$AM$209),"",ReferenceData!$AM$209),"")</f>
        <v>9193</v>
      </c>
      <c r="AN209">
        <f ca="1">IFERROR(IF(0=LEN(ReferenceData!$AN$209),"",ReferenceData!$AN$209),"")</f>
        <v>11257</v>
      </c>
      <c r="AO209">
        <f ca="1">IFERROR(IF(0=LEN(ReferenceData!$AO$209),"",ReferenceData!$AO$209),"")</f>
        <v>7981</v>
      </c>
      <c r="AP209">
        <f ca="1">IFERROR(IF(0=LEN(ReferenceData!$AP$209),"",ReferenceData!$AP$209),"")</f>
        <v>10648</v>
      </c>
      <c r="AQ209">
        <f ca="1">IFERROR(IF(0=LEN(ReferenceData!$AQ$209),"",ReferenceData!$AQ$209),"")</f>
        <v>10667</v>
      </c>
      <c r="AR209">
        <f ca="1">IFERROR(IF(0=LEN(ReferenceData!$AR$209),"",ReferenceData!$AR$209),"")</f>
        <v>9927</v>
      </c>
      <c r="AS209">
        <f ca="1">IFERROR(IF(0=LEN(ReferenceData!$AS$209),"",ReferenceData!$AS$209),"")</f>
        <v>11137</v>
      </c>
    </row>
    <row r="210" spans="1:45" x14ac:dyDescent="0.25">
      <c r="A210" t="str">
        <f>IFERROR(IF(0=LEN(ReferenceData!$A$210),"",ReferenceData!$A$210),"")</f>
        <v xml:space="preserve">    Daimler - Freightliner</v>
      </c>
      <c r="B210" t="str">
        <f>IFERROR(IF(0=LEN(ReferenceData!$B$210),"",ReferenceData!$B$210),"")</f>
        <v/>
      </c>
      <c r="C210" t="str">
        <f>IFERROR(IF(0=LEN(ReferenceData!$C$210),"",ReferenceData!$C$210),"")</f>
        <v/>
      </c>
      <c r="D210" t="str">
        <f>IFERROR(IF(0=LEN(ReferenceData!$D$210),"",ReferenceData!$D$210),"")</f>
        <v/>
      </c>
      <c r="E210" t="str">
        <f>IFERROR(IF(0=LEN(ReferenceData!$E$210),"",ReferenceData!$E$210),"")</f>
        <v>Expression</v>
      </c>
      <c r="F210">
        <f ca="1">IFERROR(IF(0=LEN(ReferenceData!$F$210),"",ReferenceData!$F$210),"")</f>
        <v>4235</v>
      </c>
      <c r="G210">
        <f ca="1">IFERROR(IF(0=LEN(ReferenceData!$G$210),"",ReferenceData!$G$210),"")</f>
        <v>4113</v>
      </c>
      <c r="H210">
        <f ca="1">IFERROR(IF(0=LEN(ReferenceData!$H$210),"",ReferenceData!$H$210),"")</f>
        <v>4799</v>
      </c>
      <c r="I210">
        <f ca="1">IFERROR(IF(0=LEN(ReferenceData!$I$210),"",ReferenceData!$I$210),"")</f>
        <v>3770</v>
      </c>
      <c r="J210">
        <f ca="1">IFERROR(IF(0=LEN(ReferenceData!$J$210),"",ReferenceData!$J$210),"")</f>
        <v>3912</v>
      </c>
      <c r="K210">
        <f ca="1">IFERROR(IF(0=LEN(ReferenceData!$K$210),"",ReferenceData!$K$210),"")</f>
        <v>4471</v>
      </c>
      <c r="L210">
        <f ca="1">IFERROR(IF(0=LEN(ReferenceData!$L$210),"",ReferenceData!$L$210),"")</f>
        <v>4246</v>
      </c>
      <c r="M210">
        <f ca="1">IFERROR(IF(0=LEN(ReferenceData!$M$210),"",ReferenceData!$M$210),"")</f>
        <v>4988</v>
      </c>
      <c r="N210">
        <f ca="1">IFERROR(IF(0=LEN(ReferenceData!$N$210),"",ReferenceData!$N$210),"")</f>
        <v>4288</v>
      </c>
      <c r="O210">
        <f ca="1">IFERROR(IF(0=LEN(ReferenceData!$O$210),"",ReferenceData!$O$210),"")</f>
        <v>3698</v>
      </c>
      <c r="P210">
        <f ca="1">IFERROR(IF(0=LEN(ReferenceData!$P$210),"",ReferenceData!$P$210),"")</f>
        <v>3390</v>
      </c>
      <c r="Q210">
        <f ca="1">IFERROR(IF(0=LEN(ReferenceData!$Q$210),"",ReferenceData!$Q$210),"")</f>
        <v>3624</v>
      </c>
      <c r="R210">
        <f ca="1">IFERROR(IF(0=LEN(ReferenceData!$R$210),"",ReferenceData!$R$210),"")</f>
        <v>4054</v>
      </c>
      <c r="S210">
        <f ca="1">IFERROR(IF(0=LEN(ReferenceData!$S$210),"",ReferenceData!$S$210),"")</f>
        <v>3925</v>
      </c>
      <c r="T210">
        <f ca="1">IFERROR(IF(0=LEN(ReferenceData!$T$210),"",ReferenceData!$T$210),"")</f>
        <v>4664</v>
      </c>
      <c r="U210">
        <f ca="1">IFERROR(IF(0=LEN(ReferenceData!$U$210),"",ReferenceData!$U$210),"")</f>
        <v>4063</v>
      </c>
      <c r="V210">
        <f ca="1">IFERROR(IF(0=LEN(ReferenceData!$V$210),"",ReferenceData!$V$210),"")</f>
        <v>4350</v>
      </c>
      <c r="W210">
        <f ca="1">IFERROR(IF(0=LEN(ReferenceData!$W$210),"",ReferenceData!$W$210),"")</f>
        <v>4011</v>
      </c>
      <c r="X210">
        <f ca="1">IFERROR(IF(0=LEN(ReferenceData!$X$210),"",ReferenceData!$X$210),"")</f>
        <v>3860</v>
      </c>
      <c r="Y210">
        <f ca="1">IFERROR(IF(0=LEN(ReferenceData!$Y$210),"",ReferenceData!$Y$210),"")</f>
        <v>4425</v>
      </c>
      <c r="Z210">
        <f ca="1">IFERROR(IF(0=LEN(ReferenceData!$Z$210),"",ReferenceData!$Z$210),"")</f>
        <v>4436</v>
      </c>
      <c r="AA210">
        <f ca="1">IFERROR(IF(0=LEN(ReferenceData!$AA$210),"",ReferenceData!$AA$210),"")</f>
        <v>4028</v>
      </c>
      <c r="AB210">
        <f ca="1">IFERROR(IF(0=LEN(ReferenceData!$AB$210),"",ReferenceData!$AB$210),"")</f>
        <v>3557</v>
      </c>
      <c r="AC210">
        <f ca="1">IFERROR(IF(0=LEN(ReferenceData!$AC$210),"",ReferenceData!$AC$210),"")</f>
        <v>4589</v>
      </c>
      <c r="AD210">
        <f ca="1">IFERROR(IF(0=LEN(ReferenceData!$AD$210),"",ReferenceData!$AD$210),"")</f>
        <v>4907</v>
      </c>
      <c r="AE210">
        <f ca="1">IFERROR(IF(0=LEN(ReferenceData!$AE$210),"",ReferenceData!$AE$210),"")</f>
        <v>4295</v>
      </c>
      <c r="AF210">
        <f ca="1">IFERROR(IF(0=LEN(ReferenceData!$AF$210),"",ReferenceData!$AF$210),"")</f>
        <v>4126</v>
      </c>
      <c r="AG210">
        <f ca="1">IFERROR(IF(0=LEN(ReferenceData!$AG$210),"",ReferenceData!$AG$210),"")</f>
        <v>3859</v>
      </c>
      <c r="AH210">
        <f ca="1">IFERROR(IF(0=LEN(ReferenceData!$AH$210),"",ReferenceData!$AH$210),"")</f>
        <v>4182</v>
      </c>
      <c r="AI210">
        <f ca="1">IFERROR(IF(0=LEN(ReferenceData!$AI$210),"",ReferenceData!$AI$210),"")</f>
        <v>4037</v>
      </c>
      <c r="AJ210">
        <f ca="1">IFERROR(IF(0=LEN(ReferenceData!$AJ$210),"",ReferenceData!$AJ$210),"")</f>
        <v>3941</v>
      </c>
      <c r="AK210">
        <f ca="1">IFERROR(IF(0=LEN(ReferenceData!$AK$210),"",ReferenceData!$AK$210),"")</f>
        <v>4121</v>
      </c>
      <c r="AL210">
        <f ca="1">IFERROR(IF(0=LEN(ReferenceData!$AL$210),"",ReferenceData!$AL$210),"")</f>
        <v>3564</v>
      </c>
      <c r="AM210">
        <f ca="1">IFERROR(IF(0=LEN(ReferenceData!$AM$210),"",ReferenceData!$AM$210),"")</f>
        <v>3599</v>
      </c>
      <c r="AN210">
        <f ca="1">IFERROR(IF(0=LEN(ReferenceData!$AN$210),"",ReferenceData!$AN$210),"")</f>
        <v>3702</v>
      </c>
      <c r="AO210">
        <f ca="1">IFERROR(IF(0=LEN(ReferenceData!$AO$210),"",ReferenceData!$AO$210),"")</f>
        <v>2932</v>
      </c>
      <c r="AP210">
        <f ca="1">IFERROR(IF(0=LEN(ReferenceData!$AP$210),"",ReferenceData!$AP$210),"")</f>
        <v>4215</v>
      </c>
      <c r="AQ210">
        <f ca="1">IFERROR(IF(0=LEN(ReferenceData!$AQ$210),"",ReferenceData!$AQ$210),"")</f>
        <v>3912</v>
      </c>
      <c r="AR210">
        <f ca="1">IFERROR(IF(0=LEN(ReferenceData!$AR$210),"",ReferenceData!$AR$210),"")</f>
        <v>3911</v>
      </c>
      <c r="AS210">
        <f ca="1">IFERROR(IF(0=LEN(ReferenceData!$AS$210),"",ReferenceData!$AS$210),"")</f>
        <v>4250</v>
      </c>
    </row>
    <row r="211" spans="1:45" x14ac:dyDescent="0.25">
      <c r="A211" t="str">
        <f>IFERROR(IF(0=LEN(ReferenceData!$A$211),"",ReferenceData!$A$211),"")</f>
        <v xml:space="preserve">    Daimler - Mercedes-Benz</v>
      </c>
      <c r="B211" t="str">
        <f>IFERROR(IF(0=LEN(ReferenceData!$B$211),"",ReferenceData!$B$211),"")</f>
        <v/>
      </c>
      <c r="C211" t="str">
        <f>IFERROR(IF(0=LEN(ReferenceData!$C$211),"",ReferenceData!$C$211),"")</f>
        <v/>
      </c>
      <c r="D211" t="str">
        <f>IFERROR(IF(0=LEN(ReferenceData!$D$211),"",ReferenceData!$D$211),"")</f>
        <v/>
      </c>
      <c r="E211" t="str">
        <f>IFERROR(IF(0=LEN(ReferenceData!$E$211),"",ReferenceData!$E$211),"")</f>
        <v>Expression</v>
      </c>
      <c r="F211" t="str">
        <f ca="1">IFERROR(IF(0=LEN(ReferenceData!$F$211),"",ReferenceData!$F$211),"")</f>
        <v/>
      </c>
      <c r="G211" t="str">
        <f ca="1">IFERROR(IF(0=LEN(ReferenceData!$G$211),"",ReferenceData!$G$211),"")</f>
        <v/>
      </c>
      <c r="H211" t="str">
        <f ca="1">IFERROR(IF(0=LEN(ReferenceData!$H$211),"",ReferenceData!$H$211),"")</f>
        <v/>
      </c>
      <c r="I211" t="str">
        <f ca="1">IFERROR(IF(0=LEN(ReferenceData!$I$211),"",ReferenceData!$I$211),"")</f>
        <v/>
      </c>
      <c r="J211" t="str">
        <f ca="1">IFERROR(IF(0=LEN(ReferenceData!$J$211),"",ReferenceData!$J$211),"")</f>
        <v/>
      </c>
      <c r="K211" t="str">
        <f ca="1">IFERROR(IF(0=LEN(ReferenceData!$K$211),"",ReferenceData!$K$211),"")</f>
        <v/>
      </c>
      <c r="L211" t="str">
        <f ca="1">IFERROR(IF(0=LEN(ReferenceData!$L$211),"",ReferenceData!$L$211),"")</f>
        <v/>
      </c>
      <c r="M211" t="str">
        <f ca="1">IFERROR(IF(0=LEN(ReferenceData!$M$211),"",ReferenceData!$M$211),"")</f>
        <v/>
      </c>
      <c r="N211" t="str">
        <f ca="1">IFERROR(IF(0=LEN(ReferenceData!$N$211),"",ReferenceData!$N$211),"")</f>
        <v/>
      </c>
      <c r="O211" t="str">
        <f ca="1">IFERROR(IF(0=LEN(ReferenceData!$O$211),"",ReferenceData!$O$211),"")</f>
        <v/>
      </c>
      <c r="P211">
        <f ca="1">IFERROR(IF(0=LEN(ReferenceData!$P$211),"",ReferenceData!$P$211),"")</f>
        <v>433</v>
      </c>
      <c r="Q211">
        <f ca="1">IFERROR(IF(0=LEN(ReferenceData!$Q$211),"",ReferenceData!$Q$211),"")</f>
        <v>361</v>
      </c>
      <c r="R211">
        <f ca="1">IFERROR(IF(0=LEN(ReferenceData!$R$211),"",ReferenceData!$R$211),"")</f>
        <v>293</v>
      </c>
      <c r="S211">
        <f ca="1">IFERROR(IF(0=LEN(ReferenceData!$S$211),"",ReferenceData!$S$211),"")</f>
        <v>318</v>
      </c>
      <c r="T211">
        <f ca="1">IFERROR(IF(0=LEN(ReferenceData!$T$211),"",ReferenceData!$T$211),"")</f>
        <v>418</v>
      </c>
      <c r="U211">
        <f ca="1">IFERROR(IF(0=LEN(ReferenceData!$U$211),"",ReferenceData!$U$211),"")</f>
        <v>367</v>
      </c>
      <c r="V211">
        <f ca="1">IFERROR(IF(0=LEN(ReferenceData!$V$211),"",ReferenceData!$V$211),"")</f>
        <v>454</v>
      </c>
      <c r="W211">
        <f ca="1">IFERROR(IF(0=LEN(ReferenceData!$W$211),"",ReferenceData!$W$211),"")</f>
        <v>293</v>
      </c>
      <c r="X211">
        <f ca="1">IFERROR(IF(0=LEN(ReferenceData!$X$211),"",ReferenceData!$X$211),"")</f>
        <v>272</v>
      </c>
      <c r="Y211">
        <f ca="1">IFERROR(IF(0=LEN(ReferenceData!$Y$211),"",ReferenceData!$Y$211),"")</f>
        <v>368</v>
      </c>
      <c r="Z211">
        <f ca="1">IFERROR(IF(0=LEN(ReferenceData!$Z$211),"",ReferenceData!$Z$211),"")</f>
        <v>260</v>
      </c>
      <c r="AA211">
        <f ca="1">IFERROR(IF(0=LEN(ReferenceData!$AA$211),"",ReferenceData!$AA$211),"")</f>
        <v>188</v>
      </c>
      <c r="AB211">
        <f ca="1">IFERROR(IF(0=LEN(ReferenceData!$AB$211),"",ReferenceData!$AB$211),"")</f>
        <v>342</v>
      </c>
      <c r="AC211">
        <f ca="1">IFERROR(IF(0=LEN(ReferenceData!$AC$211),"",ReferenceData!$AC$211),"")</f>
        <v>274</v>
      </c>
      <c r="AD211">
        <f ca="1">IFERROR(IF(0=LEN(ReferenceData!$AD$211),"",ReferenceData!$AD$211),"")</f>
        <v>257</v>
      </c>
      <c r="AE211">
        <f ca="1">IFERROR(IF(0=LEN(ReferenceData!$AE$211),"",ReferenceData!$AE$211),"")</f>
        <v>239</v>
      </c>
      <c r="AF211">
        <f ca="1">IFERROR(IF(0=LEN(ReferenceData!$AF$211),"",ReferenceData!$AF$211),"")</f>
        <v>239</v>
      </c>
      <c r="AG211">
        <f ca="1">IFERROR(IF(0=LEN(ReferenceData!$AG$211),"",ReferenceData!$AG$211),"")</f>
        <v>287</v>
      </c>
      <c r="AH211">
        <f ca="1">IFERROR(IF(0=LEN(ReferenceData!$AH$211),"",ReferenceData!$AH$211),"")</f>
        <v>282</v>
      </c>
      <c r="AI211">
        <f ca="1">IFERROR(IF(0=LEN(ReferenceData!$AI$211),"",ReferenceData!$AI$211),"")</f>
        <v>194</v>
      </c>
      <c r="AJ211">
        <f ca="1">IFERROR(IF(0=LEN(ReferenceData!$AJ$211),"",ReferenceData!$AJ$211),"")</f>
        <v>238</v>
      </c>
      <c r="AK211">
        <f ca="1">IFERROR(IF(0=LEN(ReferenceData!$AK$211),"",ReferenceData!$AK$211),"")</f>
        <v>195</v>
      </c>
      <c r="AL211">
        <f ca="1">IFERROR(IF(0=LEN(ReferenceData!$AL$211),"",ReferenceData!$AL$211),"")</f>
        <v>152</v>
      </c>
      <c r="AM211">
        <f ca="1">IFERROR(IF(0=LEN(ReferenceData!$AM$211),"",ReferenceData!$AM$211),"")</f>
        <v>187</v>
      </c>
      <c r="AN211">
        <f ca="1">IFERROR(IF(0=LEN(ReferenceData!$AN$211),"",ReferenceData!$AN$211),"")</f>
        <v>222</v>
      </c>
      <c r="AO211">
        <f ca="1">IFERROR(IF(0=LEN(ReferenceData!$AO$211),"",ReferenceData!$AO$211),"")</f>
        <v>204</v>
      </c>
      <c r="AP211">
        <f ca="1">IFERROR(IF(0=LEN(ReferenceData!$AP$211),"",ReferenceData!$AP$211),"")</f>
        <v>205</v>
      </c>
      <c r="AQ211">
        <f ca="1">IFERROR(IF(0=LEN(ReferenceData!$AQ$211),"",ReferenceData!$AQ$211),"")</f>
        <v>206</v>
      </c>
      <c r="AR211">
        <f ca="1">IFERROR(IF(0=LEN(ReferenceData!$AR$211),"",ReferenceData!$AR$211),"")</f>
        <v>280</v>
      </c>
      <c r="AS211">
        <f ca="1">IFERROR(IF(0=LEN(ReferenceData!$AS$211),"",ReferenceData!$AS$211),"")</f>
        <v>250</v>
      </c>
    </row>
    <row r="212" spans="1:45" x14ac:dyDescent="0.25">
      <c r="A212" t="str">
        <f>IFERROR(IF(0=LEN(ReferenceData!$A$212),"",ReferenceData!$A$212),"")</f>
        <v xml:space="preserve">    Daimler - Mitsubishi Fuso</v>
      </c>
      <c r="B212" t="str">
        <f>IFERROR(IF(0=LEN(ReferenceData!$B$212),"",ReferenceData!$B$212),"")</f>
        <v/>
      </c>
      <c r="C212" t="str">
        <f>IFERROR(IF(0=LEN(ReferenceData!$C$212),"",ReferenceData!$C$212),"")</f>
        <v/>
      </c>
      <c r="D212" t="str">
        <f>IFERROR(IF(0=LEN(ReferenceData!$D$212),"",ReferenceData!$D$212),"")</f>
        <v/>
      </c>
      <c r="E212" t="str">
        <f>IFERROR(IF(0=LEN(ReferenceData!$E$212),"",ReferenceData!$E$212),"")</f>
        <v>Expression</v>
      </c>
      <c r="F212" t="str">
        <f ca="1">IFERROR(IF(0=LEN(ReferenceData!$F$212),"",ReferenceData!$F$212),"")</f>
        <v/>
      </c>
      <c r="G212" t="str">
        <f ca="1">IFERROR(IF(0=LEN(ReferenceData!$G$212),"",ReferenceData!$G$212),"")</f>
        <v/>
      </c>
      <c r="H212" t="str">
        <f ca="1">IFERROR(IF(0=LEN(ReferenceData!$H$212),"",ReferenceData!$H$212),"")</f>
        <v/>
      </c>
      <c r="I212" t="str">
        <f ca="1">IFERROR(IF(0=LEN(ReferenceData!$I$212),"",ReferenceData!$I$212),"")</f>
        <v/>
      </c>
      <c r="J212" t="str">
        <f ca="1">IFERROR(IF(0=LEN(ReferenceData!$J$212),"",ReferenceData!$J$212),"")</f>
        <v/>
      </c>
      <c r="K212" t="str">
        <f ca="1">IFERROR(IF(0=LEN(ReferenceData!$K$212),"",ReferenceData!$K$212),"")</f>
        <v/>
      </c>
      <c r="L212" t="str">
        <f ca="1">IFERROR(IF(0=LEN(ReferenceData!$L$212),"",ReferenceData!$L$212),"")</f>
        <v/>
      </c>
      <c r="M212" t="str">
        <f ca="1">IFERROR(IF(0=LEN(ReferenceData!$M$212),"",ReferenceData!$M$212),"")</f>
        <v/>
      </c>
      <c r="N212" t="str">
        <f ca="1">IFERROR(IF(0=LEN(ReferenceData!$N$212),"",ReferenceData!$N$212),"")</f>
        <v/>
      </c>
      <c r="O212" t="str">
        <f ca="1">IFERROR(IF(0=LEN(ReferenceData!$O$212),"",ReferenceData!$O$212),"")</f>
        <v/>
      </c>
      <c r="P212" t="str">
        <f ca="1">IFERROR(IF(0=LEN(ReferenceData!$P$212),"",ReferenceData!$P$212),"")</f>
        <v/>
      </c>
      <c r="Q212" t="str">
        <f ca="1">IFERROR(IF(0=LEN(ReferenceData!$Q$212),"",ReferenceData!$Q$212),"")</f>
        <v/>
      </c>
      <c r="R212" t="str">
        <f ca="1">IFERROR(IF(0=LEN(ReferenceData!$R$212),"",ReferenceData!$R$212),"")</f>
        <v/>
      </c>
      <c r="S212" t="str">
        <f ca="1">IFERROR(IF(0=LEN(ReferenceData!$S$212),"",ReferenceData!$S$212),"")</f>
        <v/>
      </c>
      <c r="T212" t="str">
        <f ca="1">IFERROR(IF(0=LEN(ReferenceData!$T$212),"",ReferenceData!$T$212),"")</f>
        <v/>
      </c>
      <c r="U212" t="str">
        <f ca="1">IFERROR(IF(0=LEN(ReferenceData!$U$212),"",ReferenceData!$U$212),"")</f>
        <v/>
      </c>
      <c r="V212" t="str">
        <f ca="1">IFERROR(IF(0=LEN(ReferenceData!$V$212),"",ReferenceData!$V$212),"")</f>
        <v/>
      </c>
      <c r="W212" t="str">
        <f ca="1">IFERROR(IF(0=LEN(ReferenceData!$W$212),"",ReferenceData!$W$212),"")</f>
        <v/>
      </c>
      <c r="X212" t="str">
        <f ca="1">IFERROR(IF(0=LEN(ReferenceData!$X$212),"",ReferenceData!$X$212),"")</f>
        <v/>
      </c>
      <c r="Y212" t="str">
        <f ca="1">IFERROR(IF(0=LEN(ReferenceData!$Y$212),"",ReferenceData!$Y$212),"")</f>
        <v/>
      </c>
      <c r="Z212" t="str">
        <f ca="1">IFERROR(IF(0=LEN(ReferenceData!$Z$212),"",ReferenceData!$Z$212),"")</f>
        <v/>
      </c>
      <c r="AA212" t="str">
        <f ca="1">IFERROR(IF(0=LEN(ReferenceData!$AA$212),"",ReferenceData!$AA$212),"")</f>
        <v/>
      </c>
      <c r="AB212" t="str">
        <f ca="1">IFERROR(IF(0=LEN(ReferenceData!$AB$212),"",ReferenceData!$AB$212),"")</f>
        <v/>
      </c>
      <c r="AC212" t="str">
        <f ca="1">IFERROR(IF(0=LEN(ReferenceData!$AC$212),"",ReferenceData!$AC$212),"")</f>
        <v/>
      </c>
      <c r="AD212" t="str">
        <f ca="1">IFERROR(IF(0=LEN(ReferenceData!$AD$212),"",ReferenceData!$AD$212),"")</f>
        <v/>
      </c>
      <c r="AE212" t="str">
        <f ca="1">IFERROR(IF(0=LEN(ReferenceData!$AE$212),"",ReferenceData!$AE$212),"")</f>
        <v/>
      </c>
      <c r="AF212" t="str">
        <f ca="1">IFERROR(IF(0=LEN(ReferenceData!$AF$212),"",ReferenceData!$AF$212),"")</f>
        <v/>
      </c>
      <c r="AG212" t="str">
        <f ca="1">IFERROR(IF(0=LEN(ReferenceData!$AG$212),"",ReferenceData!$AG$212),"")</f>
        <v/>
      </c>
      <c r="AH212" t="str">
        <f ca="1">IFERROR(IF(0=LEN(ReferenceData!$AH$212),"",ReferenceData!$AH$212),"")</f>
        <v/>
      </c>
      <c r="AI212" t="str">
        <f ca="1">IFERROR(IF(0=LEN(ReferenceData!$AI$212),"",ReferenceData!$AI$212),"")</f>
        <v/>
      </c>
      <c r="AJ212" t="str">
        <f ca="1">IFERROR(IF(0=LEN(ReferenceData!$AJ$212),"",ReferenceData!$AJ$212),"")</f>
        <v/>
      </c>
      <c r="AK212" t="str">
        <f ca="1">IFERROR(IF(0=LEN(ReferenceData!$AK$212),"",ReferenceData!$AK$212),"")</f>
        <v/>
      </c>
      <c r="AL212" t="str">
        <f ca="1">IFERROR(IF(0=LEN(ReferenceData!$AL$212),"",ReferenceData!$AL$212),"")</f>
        <v/>
      </c>
      <c r="AM212" t="str">
        <f ca="1">IFERROR(IF(0=LEN(ReferenceData!$AM$212),"",ReferenceData!$AM$212),"")</f>
        <v/>
      </c>
      <c r="AN212" t="str">
        <f ca="1">IFERROR(IF(0=LEN(ReferenceData!$AN$212),"",ReferenceData!$AN$212),"")</f>
        <v/>
      </c>
      <c r="AO212" t="str">
        <f ca="1">IFERROR(IF(0=LEN(ReferenceData!$AO$212),"",ReferenceData!$AO$212),"")</f>
        <v/>
      </c>
      <c r="AP212" t="str">
        <f ca="1">IFERROR(IF(0=LEN(ReferenceData!$AP$212),"",ReferenceData!$AP$212),"")</f>
        <v/>
      </c>
      <c r="AQ212" t="str">
        <f ca="1">IFERROR(IF(0=LEN(ReferenceData!$AQ$212),"",ReferenceData!$AQ$212),"")</f>
        <v/>
      </c>
      <c r="AR212" t="str">
        <f ca="1">IFERROR(IF(0=LEN(ReferenceData!$AR$212),"",ReferenceData!$AR$212),"")</f>
        <v/>
      </c>
      <c r="AS212" t="str">
        <f ca="1">IFERROR(IF(0=LEN(ReferenceData!$AS$212),"",ReferenceData!$AS$212),"")</f>
        <v/>
      </c>
    </row>
    <row r="213" spans="1:45" x14ac:dyDescent="0.25">
      <c r="A213" t="str">
        <f>IFERROR(IF(0=LEN(ReferenceData!$A$213),"",ReferenceData!$A$213),"")</f>
        <v xml:space="preserve">    Daimler - Sterling</v>
      </c>
      <c r="B213" t="str">
        <f>IFERROR(IF(0=LEN(ReferenceData!$B$213),"",ReferenceData!$B$213),"")</f>
        <v/>
      </c>
      <c r="C213" t="str">
        <f>IFERROR(IF(0=LEN(ReferenceData!$C$213),"",ReferenceData!$C$213),"")</f>
        <v/>
      </c>
      <c r="D213" t="str">
        <f>IFERROR(IF(0=LEN(ReferenceData!$D$213),"",ReferenceData!$D$213),"")</f>
        <v/>
      </c>
      <c r="E213" t="str">
        <f>IFERROR(IF(0=LEN(ReferenceData!$E$213),"",ReferenceData!$E$213),"")</f>
        <v>Expression</v>
      </c>
      <c r="F213" t="str">
        <f ca="1">IFERROR(IF(0=LEN(ReferenceData!$F$213),"",ReferenceData!$F$213),"")</f>
        <v/>
      </c>
      <c r="G213" t="str">
        <f ca="1">IFERROR(IF(0=LEN(ReferenceData!$G$213),"",ReferenceData!$G$213),"")</f>
        <v/>
      </c>
      <c r="H213" t="str">
        <f ca="1">IFERROR(IF(0=LEN(ReferenceData!$H$213),"",ReferenceData!$H$213),"")</f>
        <v/>
      </c>
      <c r="I213" t="str">
        <f ca="1">IFERROR(IF(0=LEN(ReferenceData!$I$213),"",ReferenceData!$I$213),"")</f>
        <v/>
      </c>
      <c r="J213" t="str">
        <f ca="1">IFERROR(IF(0=LEN(ReferenceData!$J$213),"",ReferenceData!$J$213),"")</f>
        <v/>
      </c>
      <c r="K213" t="str">
        <f ca="1">IFERROR(IF(0=LEN(ReferenceData!$K$213),"",ReferenceData!$K$213),"")</f>
        <v/>
      </c>
      <c r="L213" t="str">
        <f ca="1">IFERROR(IF(0=LEN(ReferenceData!$L$213),"",ReferenceData!$L$213),"")</f>
        <v/>
      </c>
      <c r="M213" t="str">
        <f ca="1">IFERROR(IF(0=LEN(ReferenceData!$M$213),"",ReferenceData!$M$213),"")</f>
        <v/>
      </c>
      <c r="N213" t="str">
        <f ca="1">IFERROR(IF(0=LEN(ReferenceData!$N$213),"",ReferenceData!$N$213),"")</f>
        <v/>
      </c>
      <c r="O213" t="str">
        <f ca="1">IFERROR(IF(0=LEN(ReferenceData!$O$213),"",ReferenceData!$O$213),"")</f>
        <v/>
      </c>
      <c r="P213" t="str">
        <f ca="1">IFERROR(IF(0=LEN(ReferenceData!$P$213),"",ReferenceData!$P$213),"")</f>
        <v/>
      </c>
      <c r="Q213" t="str">
        <f ca="1">IFERROR(IF(0=LEN(ReferenceData!$Q$213),"",ReferenceData!$Q$213),"")</f>
        <v/>
      </c>
      <c r="R213" t="str">
        <f ca="1">IFERROR(IF(0=LEN(ReferenceData!$R$213),"",ReferenceData!$R$213),"")</f>
        <v/>
      </c>
      <c r="S213" t="str">
        <f ca="1">IFERROR(IF(0=LEN(ReferenceData!$S$213),"",ReferenceData!$S$213),"")</f>
        <v/>
      </c>
      <c r="T213" t="str">
        <f ca="1">IFERROR(IF(0=LEN(ReferenceData!$T$213),"",ReferenceData!$T$213),"")</f>
        <v/>
      </c>
      <c r="U213" t="str">
        <f ca="1">IFERROR(IF(0=LEN(ReferenceData!$U$213),"",ReferenceData!$U$213),"")</f>
        <v/>
      </c>
      <c r="V213" t="str">
        <f ca="1">IFERROR(IF(0=LEN(ReferenceData!$V$213),"",ReferenceData!$V$213),"")</f>
        <v/>
      </c>
      <c r="W213" t="str">
        <f ca="1">IFERROR(IF(0=LEN(ReferenceData!$W$213),"",ReferenceData!$W$213),"")</f>
        <v/>
      </c>
      <c r="X213" t="str">
        <f ca="1">IFERROR(IF(0=LEN(ReferenceData!$X$213),"",ReferenceData!$X$213),"")</f>
        <v/>
      </c>
      <c r="Y213" t="str">
        <f ca="1">IFERROR(IF(0=LEN(ReferenceData!$Y$213),"",ReferenceData!$Y$213),"")</f>
        <v/>
      </c>
      <c r="Z213" t="str">
        <f ca="1">IFERROR(IF(0=LEN(ReferenceData!$Z$213),"",ReferenceData!$Z$213),"")</f>
        <v/>
      </c>
      <c r="AA213" t="str">
        <f ca="1">IFERROR(IF(0=LEN(ReferenceData!$AA$213),"",ReferenceData!$AA$213),"")</f>
        <v/>
      </c>
      <c r="AB213" t="str">
        <f ca="1">IFERROR(IF(0=LEN(ReferenceData!$AB$213),"",ReferenceData!$AB$213),"")</f>
        <v/>
      </c>
      <c r="AC213" t="str">
        <f ca="1">IFERROR(IF(0=LEN(ReferenceData!$AC$213),"",ReferenceData!$AC$213),"")</f>
        <v/>
      </c>
      <c r="AD213" t="str">
        <f ca="1">IFERROR(IF(0=LEN(ReferenceData!$AD$213),"",ReferenceData!$AD$213),"")</f>
        <v/>
      </c>
      <c r="AE213" t="str">
        <f ca="1">IFERROR(IF(0=LEN(ReferenceData!$AE$213),"",ReferenceData!$AE$213),"")</f>
        <v/>
      </c>
      <c r="AF213" t="str">
        <f ca="1">IFERROR(IF(0=LEN(ReferenceData!$AF$213),"",ReferenceData!$AF$213),"")</f>
        <v/>
      </c>
      <c r="AG213" t="str">
        <f ca="1">IFERROR(IF(0=LEN(ReferenceData!$AG$213),"",ReferenceData!$AG$213),"")</f>
        <v/>
      </c>
      <c r="AH213" t="str">
        <f ca="1">IFERROR(IF(0=LEN(ReferenceData!$AH$213),"",ReferenceData!$AH$213),"")</f>
        <v/>
      </c>
      <c r="AI213" t="str">
        <f ca="1">IFERROR(IF(0=LEN(ReferenceData!$AI$213),"",ReferenceData!$AI$213),"")</f>
        <v/>
      </c>
      <c r="AJ213" t="str">
        <f ca="1">IFERROR(IF(0=LEN(ReferenceData!$AJ$213),"",ReferenceData!$AJ$213),"")</f>
        <v/>
      </c>
      <c r="AK213" t="str">
        <f ca="1">IFERROR(IF(0=LEN(ReferenceData!$AK$213),"",ReferenceData!$AK$213),"")</f>
        <v/>
      </c>
      <c r="AL213" t="str">
        <f ca="1">IFERROR(IF(0=LEN(ReferenceData!$AL$213),"",ReferenceData!$AL$213),"")</f>
        <v/>
      </c>
      <c r="AM213" t="str">
        <f ca="1">IFERROR(IF(0=LEN(ReferenceData!$AM$213),"",ReferenceData!$AM$213),"")</f>
        <v/>
      </c>
      <c r="AN213" t="str">
        <f ca="1">IFERROR(IF(0=LEN(ReferenceData!$AN$213),"",ReferenceData!$AN$213),"")</f>
        <v/>
      </c>
      <c r="AO213" t="str">
        <f ca="1">IFERROR(IF(0=LEN(ReferenceData!$AO$213),"",ReferenceData!$AO$213),"")</f>
        <v/>
      </c>
      <c r="AP213" t="str">
        <f ca="1">IFERROR(IF(0=LEN(ReferenceData!$AP$213),"",ReferenceData!$AP$213),"")</f>
        <v/>
      </c>
      <c r="AQ213" t="str">
        <f ca="1">IFERROR(IF(0=LEN(ReferenceData!$AQ$213),"",ReferenceData!$AQ$213),"")</f>
        <v/>
      </c>
      <c r="AR213" t="str">
        <f ca="1">IFERROR(IF(0=LEN(ReferenceData!$AR$213),"",ReferenceData!$AR$213),"")</f>
        <v/>
      </c>
      <c r="AS213" t="str">
        <f ca="1">IFERROR(IF(0=LEN(ReferenceData!$AS$213),"",ReferenceData!$AS$213),"")</f>
        <v/>
      </c>
    </row>
    <row r="214" spans="1:45" x14ac:dyDescent="0.25">
      <c r="A214" t="str">
        <f>IFERROR(IF(0=LEN(ReferenceData!$A$214),"",ReferenceData!$A$214),"")</f>
        <v xml:space="preserve">    Daimler - Western Star</v>
      </c>
      <c r="B214" t="str">
        <f>IFERROR(IF(0=LEN(ReferenceData!$B$214),"",ReferenceData!$B$214),"")</f>
        <v/>
      </c>
      <c r="C214" t="str">
        <f>IFERROR(IF(0=LEN(ReferenceData!$C$214),"",ReferenceData!$C$214),"")</f>
        <v/>
      </c>
      <c r="D214" t="str">
        <f>IFERROR(IF(0=LEN(ReferenceData!$D$214),"",ReferenceData!$D$214),"")</f>
        <v/>
      </c>
      <c r="E214" t="str">
        <f>IFERROR(IF(0=LEN(ReferenceData!$E$214),"",ReferenceData!$E$214),"")</f>
        <v>Expression</v>
      </c>
      <c r="F214" t="str">
        <f ca="1">IFERROR(IF(0=LEN(ReferenceData!$F$214),"",ReferenceData!$F$214),"")</f>
        <v/>
      </c>
      <c r="G214" t="str">
        <f ca="1">IFERROR(IF(0=LEN(ReferenceData!$G$214),"",ReferenceData!$G$214),"")</f>
        <v/>
      </c>
      <c r="H214" t="str">
        <f ca="1">IFERROR(IF(0=LEN(ReferenceData!$H$214),"",ReferenceData!$H$214),"")</f>
        <v/>
      </c>
      <c r="I214" t="str">
        <f ca="1">IFERROR(IF(0=LEN(ReferenceData!$I$214),"",ReferenceData!$I$214),"")</f>
        <v/>
      </c>
      <c r="J214" t="str">
        <f ca="1">IFERROR(IF(0=LEN(ReferenceData!$J$214),"",ReferenceData!$J$214),"")</f>
        <v/>
      </c>
      <c r="K214" t="str">
        <f ca="1">IFERROR(IF(0=LEN(ReferenceData!$K$214),"",ReferenceData!$K$214),"")</f>
        <v/>
      </c>
      <c r="L214" t="str">
        <f ca="1">IFERROR(IF(0=LEN(ReferenceData!$L$214),"",ReferenceData!$L$214),"")</f>
        <v/>
      </c>
      <c r="M214" t="str">
        <f ca="1">IFERROR(IF(0=LEN(ReferenceData!$M$214),"",ReferenceData!$M$214),"")</f>
        <v/>
      </c>
      <c r="N214" t="str">
        <f ca="1">IFERROR(IF(0=LEN(ReferenceData!$N$214),"",ReferenceData!$N$214),"")</f>
        <v/>
      </c>
      <c r="O214" t="str">
        <f ca="1">IFERROR(IF(0=LEN(ReferenceData!$O$214),"",ReferenceData!$O$214),"")</f>
        <v/>
      </c>
      <c r="P214" t="str">
        <f ca="1">IFERROR(IF(0=LEN(ReferenceData!$P$214),"",ReferenceData!$P$214),"")</f>
        <v/>
      </c>
      <c r="Q214" t="str">
        <f ca="1">IFERROR(IF(0=LEN(ReferenceData!$Q$214),"",ReferenceData!$Q$214),"")</f>
        <v/>
      </c>
      <c r="R214" t="str">
        <f ca="1">IFERROR(IF(0=LEN(ReferenceData!$R$214),"",ReferenceData!$R$214),"")</f>
        <v/>
      </c>
      <c r="S214" t="str">
        <f ca="1">IFERROR(IF(0=LEN(ReferenceData!$S$214),"",ReferenceData!$S$214),"")</f>
        <v/>
      </c>
      <c r="T214" t="str">
        <f ca="1">IFERROR(IF(0=LEN(ReferenceData!$T$214),"",ReferenceData!$T$214),"")</f>
        <v/>
      </c>
      <c r="U214" t="str">
        <f ca="1">IFERROR(IF(0=LEN(ReferenceData!$U$214),"",ReferenceData!$U$214),"")</f>
        <v/>
      </c>
      <c r="V214" t="str">
        <f ca="1">IFERROR(IF(0=LEN(ReferenceData!$V$214),"",ReferenceData!$V$214),"")</f>
        <v/>
      </c>
      <c r="W214" t="str">
        <f ca="1">IFERROR(IF(0=LEN(ReferenceData!$W$214),"",ReferenceData!$W$214),"")</f>
        <v/>
      </c>
      <c r="X214" t="str">
        <f ca="1">IFERROR(IF(0=LEN(ReferenceData!$X$214),"",ReferenceData!$X$214),"")</f>
        <v/>
      </c>
      <c r="Y214" t="str">
        <f ca="1">IFERROR(IF(0=LEN(ReferenceData!$Y$214),"",ReferenceData!$Y$214),"")</f>
        <v/>
      </c>
      <c r="Z214" t="str">
        <f ca="1">IFERROR(IF(0=LEN(ReferenceData!$Z$214),"",ReferenceData!$Z$214),"")</f>
        <v/>
      </c>
      <c r="AA214" t="str">
        <f ca="1">IFERROR(IF(0=LEN(ReferenceData!$AA$214),"",ReferenceData!$AA$214),"")</f>
        <v/>
      </c>
      <c r="AB214" t="str">
        <f ca="1">IFERROR(IF(0=LEN(ReferenceData!$AB$214),"",ReferenceData!$AB$214),"")</f>
        <v/>
      </c>
      <c r="AC214" t="str">
        <f ca="1">IFERROR(IF(0=LEN(ReferenceData!$AC$214),"",ReferenceData!$AC$214),"")</f>
        <v/>
      </c>
      <c r="AD214" t="str">
        <f ca="1">IFERROR(IF(0=LEN(ReferenceData!$AD$214),"",ReferenceData!$AD$214),"")</f>
        <v/>
      </c>
      <c r="AE214" t="str">
        <f ca="1">IFERROR(IF(0=LEN(ReferenceData!$AE$214),"",ReferenceData!$AE$214),"")</f>
        <v/>
      </c>
      <c r="AF214" t="str">
        <f ca="1">IFERROR(IF(0=LEN(ReferenceData!$AF$214),"",ReferenceData!$AF$214),"")</f>
        <v/>
      </c>
      <c r="AG214" t="str">
        <f ca="1">IFERROR(IF(0=LEN(ReferenceData!$AG$214),"",ReferenceData!$AG$214),"")</f>
        <v/>
      </c>
      <c r="AH214" t="str">
        <f ca="1">IFERROR(IF(0=LEN(ReferenceData!$AH$214),"",ReferenceData!$AH$214),"")</f>
        <v/>
      </c>
      <c r="AI214" t="str">
        <f ca="1">IFERROR(IF(0=LEN(ReferenceData!$AI$214),"",ReferenceData!$AI$214),"")</f>
        <v/>
      </c>
      <c r="AJ214" t="str">
        <f ca="1">IFERROR(IF(0=LEN(ReferenceData!$AJ$214),"",ReferenceData!$AJ$214),"")</f>
        <v/>
      </c>
      <c r="AK214" t="str">
        <f ca="1">IFERROR(IF(0=LEN(ReferenceData!$AK$214),"",ReferenceData!$AK$214),"")</f>
        <v/>
      </c>
      <c r="AL214" t="str">
        <f ca="1">IFERROR(IF(0=LEN(ReferenceData!$AL$214),"",ReferenceData!$AL$214),"")</f>
        <v/>
      </c>
      <c r="AM214" t="str">
        <f ca="1">IFERROR(IF(0=LEN(ReferenceData!$AM$214),"",ReferenceData!$AM$214),"")</f>
        <v/>
      </c>
      <c r="AN214" t="str">
        <f ca="1">IFERROR(IF(0=LEN(ReferenceData!$AN$214),"",ReferenceData!$AN$214),"")</f>
        <v/>
      </c>
      <c r="AO214" t="str">
        <f ca="1">IFERROR(IF(0=LEN(ReferenceData!$AO$214),"",ReferenceData!$AO$214),"")</f>
        <v/>
      </c>
      <c r="AP214" t="str">
        <f ca="1">IFERROR(IF(0=LEN(ReferenceData!$AP$214),"",ReferenceData!$AP$214),"")</f>
        <v/>
      </c>
      <c r="AQ214" t="str">
        <f ca="1">IFERROR(IF(0=LEN(ReferenceData!$AQ$214),"",ReferenceData!$AQ$214),"")</f>
        <v/>
      </c>
      <c r="AR214" t="str">
        <f ca="1">IFERROR(IF(0=LEN(ReferenceData!$AR$214),"",ReferenceData!$AR$214),"")</f>
        <v/>
      </c>
      <c r="AS214" t="str">
        <f ca="1">IFERROR(IF(0=LEN(ReferenceData!$AS$214),"",ReferenceData!$AS$214),"")</f>
        <v/>
      </c>
    </row>
    <row r="215" spans="1:45" x14ac:dyDescent="0.25">
      <c r="A215" t="str">
        <f>IFERROR(IF(0=LEN(ReferenceData!$A$215),"",ReferenceData!$A$215),"")</f>
        <v xml:space="preserve">    Navistar</v>
      </c>
      <c r="B215" t="str">
        <f>IFERROR(IF(0=LEN(ReferenceData!$B$215),"",ReferenceData!$B$215),"")</f>
        <v/>
      </c>
      <c r="C215" t="str">
        <f>IFERROR(IF(0=LEN(ReferenceData!$C$215),"",ReferenceData!$C$215),"")</f>
        <v/>
      </c>
      <c r="D215" t="str">
        <f>IFERROR(IF(0=LEN(ReferenceData!$D$215),"",ReferenceData!$D$215),"")</f>
        <v/>
      </c>
      <c r="E215" t="str">
        <f>IFERROR(IF(0=LEN(ReferenceData!$E$215),"",ReferenceData!$E$215),"")</f>
        <v>Expression</v>
      </c>
      <c r="F215">
        <f ca="1">IFERROR(IF(0=LEN(ReferenceData!$F$215),"",ReferenceData!$F$215),"")</f>
        <v>3319</v>
      </c>
      <c r="G215">
        <f ca="1">IFERROR(IF(0=LEN(ReferenceData!$G$215),"",ReferenceData!$G$215),"")</f>
        <v>3071</v>
      </c>
      <c r="H215">
        <f ca="1">IFERROR(IF(0=LEN(ReferenceData!$H$215),"",ReferenceData!$H$215),"")</f>
        <v>4386</v>
      </c>
      <c r="I215">
        <f ca="1">IFERROR(IF(0=LEN(ReferenceData!$I$215),"",ReferenceData!$I$215),"")</f>
        <v>3332</v>
      </c>
      <c r="J215">
        <f ca="1">IFERROR(IF(0=LEN(ReferenceData!$J$215),"",ReferenceData!$J$215),"")</f>
        <v>2945</v>
      </c>
      <c r="K215">
        <f ca="1">IFERROR(IF(0=LEN(ReferenceData!$K$215),"",ReferenceData!$K$215),"")</f>
        <v>2633</v>
      </c>
      <c r="L215">
        <f ca="1">IFERROR(IF(0=LEN(ReferenceData!$L$215),"",ReferenceData!$L$215),"")</f>
        <v>2568</v>
      </c>
      <c r="M215">
        <f ca="1">IFERROR(IF(0=LEN(ReferenceData!$M$215),"",ReferenceData!$M$215),"")</f>
        <v>3626</v>
      </c>
      <c r="N215">
        <f ca="1">IFERROR(IF(0=LEN(ReferenceData!$N$215),"",ReferenceData!$N$215),"")</f>
        <v>2725</v>
      </c>
      <c r="O215">
        <f ca="1">IFERROR(IF(0=LEN(ReferenceData!$O$215),"",ReferenceData!$O$215),"")</f>
        <v>2063</v>
      </c>
      <c r="P215">
        <f ca="1">IFERROR(IF(0=LEN(ReferenceData!$P$215),"",ReferenceData!$P$215),"")</f>
        <v>2123</v>
      </c>
      <c r="Q215">
        <f ca="1">IFERROR(IF(0=LEN(ReferenceData!$Q$215),"",ReferenceData!$Q$215),"")</f>
        <v>1577</v>
      </c>
      <c r="R215">
        <f ca="1">IFERROR(IF(0=LEN(ReferenceData!$R$215),"",ReferenceData!$R$215),"")</f>
        <v>2357</v>
      </c>
      <c r="S215">
        <f ca="1">IFERROR(IF(0=LEN(ReferenceData!$S$215),"",ReferenceData!$S$215),"")</f>
        <v>3789</v>
      </c>
      <c r="T215">
        <f ca="1">IFERROR(IF(0=LEN(ReferenceData!$T$215),"",ReferenceData!$T$215),"")</f>
        <v>3589</v>
      </c>
      <c r="U215">
        <f ca="1">IFERROR(IF(0=LEN(ReferenceData!$U$215),"",ReferenceData!$U$215),"")</f>
        <v>2895</v>
      </c>
      <c r="V215">
        <f ca="1">IFERROR(IF(0=LEN(ReferenceData!$V$215),"",ReferenceData!$V$215),"")</f>
        <v>2774</v>
      </c>
      <c r="W215">
        <f ca="1">IFERROR(IF(0=LEN(ReferenceData!$W$215),"",ReferenceData!$W$215),"")</f>
        <v>2518</v>
      </c>
      <c r="X215">
        <f ca="1">IFERROR(IF(0=LEN(ReferenceData!$X$215),"",ReferenceData!$X$215),"")</f>
        <v>2616</v>
      </c>
      <c r="Y215">
        <f ca="1">IFERROR(IF(0=LEN(ReferenceData!$Y$215),"",ReferenceData!$Y$215),"")</f>
        <v>2731</v>
      </c>
      <c r="Z215">
        <f ca="1">IFERROR(IF(0=LEN(ReferenceData!$Z$215),"",ReferenceData!$Z$215),"")</f>
        <v>2763</v>
      </c>
      <c r="AA215">
        <f ca="1">IFERROR(IF(0=LEN(ReferenceData!$AA$215),"",ReferenceData!$AA$215),"")</f>
        <v>2112</v>
      </c>
      <c r="AB215">
        <f ca="1">IFERROR(IF(0=LEN(ReferenceData!$AB$215),"",ReferenceData!$AB$215),"")</f>
        <v>2153</v>
      </c>
      <c r="AC215">
        <f ca="1">IFERROR(IF(0=LEN(ReferenceData!$AC$215),"",ReferenceData!$AC$215),"")</f>
        <v>1775</v>
      </c>
      <c r="AD215">
        <f ca="1">IFERROR(IF(0=LEN(ReferenceData!$AD$215),"",ReferenceData!$AD$215),"")</f>
        <v>2741</v>
      </c>
      <c r="AE215">
        <f ca="1">IFERROR(IF(0=LEN(ReferenceData!$AE$215),"",ReferenceData!$AE$215),"")</f>
        <v>2987</v>
      </c>
      <c r="AF215">
        <f ca="1">IFERROR(IF(0=LEN(ReferenceData!$AF$215),"",ReferenceData!$AF$215),"")</f>
        <v>3300</v>
      </c>
      <c r="AG215">
        <f ca="1">IFERROR(IF(0=LEN(ReferenceData!$AG$215),"",ReferenceData!$AG$215),"")</f>
        <v>3499</v>
      </c>
      <c r="AH215">
        <f ca="1">IFERROR(IF(0=LEN(ReferenceData!$AH$215),"",ReferenceData!$AH$215),"")</f>
        <v>3272</v>
      </c>
      <c r="AI215">
        <f ca="1">IFERROR(IF(0=LEN(ReferenceData!$AI$215),"",ReferenceData!$AI$215),"")</f>
        <v>1978</v>
      </c>
      <c r="AJ215">
        <f ca="1">IFERROR(IF(0=LEN(ReferenceData!$AJ$215),"",ReferenceData!$AJ$215),"")</f>
        <v>2350</v>
      </c>
      <c r="AK215">
        <f ca="1">IFERROR(IF(0=LEN(ReferenceData!$AK$215),"",ReferenceData!$AK$215),"")</f>
        <v>2857</v>
      </c>
      <c r="AL215">
        <f ca="1">IFERROR(IF(0=LEN(ReferenceData!$AL$215),"",ReferenceData!$AL$215),"")</f>
        <v>2259</v>
      </c>
      <c r="AM215">
        <f ca="1">IFERROR(IF(0=LEN(ReferenceData!$AM$215),"",ReferenceData!$AM$215),"")</f>
        <v>2251</v>
      </c>
      <c r="AN215">
        <f ca="1">IFERROR(IF(0=LEN(ReferenceData!$AN$215),"",ReferenceData!$AN$215),"")</f>
        <v>2231</v>
      </c>
      <c r="AO215">
        <f ca="1">IFERROR(IF(0=LEN(ReferenceData!$AO$215),"",ReferenceData!$AO$215),"")</f>
        <v>1412</v>
      </c>
      <c r="AP215">
        <f ca="1">IFERROR(IF(0=LEN(ReferenceData!$AP$215),"",ReferenceData!$AP$215),"")</f>
        <v>2575</v>
      </c>
      <c r="AQ215">
        <f ca="1">IFERROR(IF(0=LEN(ReferenceData!$AQ$215),"",ReferenceData!$AQ$215),"")</f>
        <v>3117</v>
      </c>
      <c r="AR215">
        <f ca="1">IFERROR(IF(0=LEN(ReferenceData!$AR$215),"",ReferenceData!$AR$215),"")</f>
        <v>2654</v>
      </c>
      <c r="AS215">
        <f ca="1">IFERROR(IF(0=LEN(ReferenceData!$AS$215),"",ReferenceData!$AS$215),"")</f>
        <v>3459</v>
      </c>
    </row>
    <row r="216" spans="1:45" x14ac:dyDescent="0.25">
      <c r="A216" t="str">
        <f>IFERROR(IF(0=LEN(ReferenceData!$A$216),"",ReferenceData!$A$216),"")</f>
        <v xml:space="preserve">    PACCAR - Kenworth</v>
      </c>
      <c r="B216" t="str">
        <f>IFERROR(IF(0=LEN(ReferenceData!$B$216),"",ReferenceData!$B$216),"")</f>
        <v/>
      </c>
      <c r="C216" t="str">
        <f>IFERROR(IF(0=LEN(ReferenceData!$C$216),"",ReferenceData!$C$216),"")</f>
        <v/>
      </c>
      <c r="D216" t="str">
        <f>IFERROR(IF(0=LEN(ReferenceData!$D$216),"",ReferenceData!$D$216),"")</f>
        <v/>
      </c>
      <c r="E216" t="str">
        <f>IFERROR(IF(0=LEN(ReferenceData!$E$216),"",ReferenceData!$E$216),"")</f>
        <v>Expression</v>
      </c>
      <c r="F216">
        <f ca="1">IFERROR(IF(0=LEN(ReferenceData!$F$216),"",ReferenceData!$F$216),"")</f>
        <v>664</v>
      </c>
      <c r="G216">
        <f ca="1">IFERROR(IF(0=LEN(ReferenceData!$G$216),"",ReferenceData!$G$216),"")</f>
        <v>674</v>
      </c>
      <c r="H216">
        <f ca="1">IFERROR(IF(0=LEN(ReferenceData!$H$216),"",ReferenceData!$H$216),"")</f>
        <v>669</v>
      </c>
      <c r="I216">
        <f ca="1">IFERROR(IF(0=LEN(ReferenceData!$I$216),"",ReferenceData!$I$216),"")</f>
        <v>709</v>
      </c>
      <c r="J216">
        <f ca="1">IFERROR(IF(0=LEN(ReferenceData!$J$216),"",ReferenceData!$J$216),"")</f>
        <v>685</v>
      </c>
      <c r="K216">
        <f ca="1">IFERROR(IF(0=LEN(ReferenceData!$K$216),"",ReferenceData!$K$216),"")</f>
        <v>678</v>
      </c>
      <c r="L216">
        <f ca="1">IFERROR(IF(0=LEN(ReferenceData!$L$216),"",ReferenceData!$L$216),"")</f>
        <v>647</v>
      </c>
      <c r="M216">
        <f ca="1">IFERROR(IF(0=LEN(ReferenceData!$M$216),"",ReferenceData!$M$216),"")</f>
        <v>617</v>
      </c>
      <c r="N216">
        <f ca="1">IFERROR(IF(0=LEN(ReferenceData!$N$216),"",ReferenceData!$N$216),"")</f>
        <v>391</v>
      </c>
      <c r="O216">
        <f ca="1">IFERROR(IF(0=LEN(ReferenceData!$O$216),"",ReferenceData!$O$216),"")</f>
        <v>448</v>
      </c>
      <c r="P216">
        <f ca="1">IFERROR(IF(0=LEN(ReferenceData!$P$216),"",ReferenceData!$P$216),"")</f>
        <v>852</v>
      </c>
      <c r="Q216">
        <f ca="1">IFERROR(IF(0=LEN(ReferenceData!$Q$216),"",ReferenceData!$Q$216),"")</f>
        <v>609</v>
      </c>
      <c r="R216">
        <f ca="1">IFERROR(IF(0=LEN(ReferenceData!$R$216),"",ReferenceData!$R$216),"")</f>
        <v>719</v>
      </c>
      <c r="S216">
        <f ca="1">IFERROR(IF(0=LEN(ReferenceData!$S$216),"",ReferenceData!$S$216),"")</f>
        <v>606</v>
      </c>
      <c r="T216">
        <f ca="1">IFERROR(IF(0=LEN(ReferenceData!$T$216),"",ReferenceData!$T$216),"")</f>
        <v>684</v>
      </c>
      <c r="U216">
        <f ca="1">IFERROR(IF(0=LEN(ReferenceData!$U$216),"",ReferenceData!$U$216),"")</f>
        <v>546</v>
      </c>
      <c r="V216">
        <f ca="1">IFERROR(IF(0=LEN(ReferenceData!$V$216),"",ReferenceData!$V$216),"")</f>
        <v>699</v>
      </c>
      <c r="W216">
        <f ca="1">IFERROR(IF(0=LEN(ReferenceData!$W$216),"",ReferenceData!$W$216),"")</f>
        <v>658</v>
      </c>
      <c r="X216">
        <f ca="1">IFERROR(IF(0=LEN(ReferenceData!$X$216),"",ReferenceData!$X$216),"")</f>
        <v>630</v>
      </c>
      <c r="Y216">
        <f ca="1">IFERROR(IF(0=LEN(ReferenceData!$Y$216),"",ReferenceData!$Y$216),"")</f>
        <v>648</v>
      </c>
      <c r="Z216">
        <f ca="1">IFERROR(IF(0=LEN(ReferenceData!$Z$216),"",ReferenceData!$Z$216),"")</f>
        <v>457</v>
      </c>
      <c r="AA216">
        <f ca="1">IFERROR(IF(0=LEN(ReferenceData!$AA$216),"",ReferenceData!$AA$216),"")</f>
        <v>425</v>
      </c>
      <c r="AB216">
        <f ca="1">IFERROR(IF(0=LEN(ReferenceData!$AB$216),"",ReferenceData!$AB$216),"")</f>
        <v>854</v>
      </c>
      <c r="AC216">
        <f ca="1">IFERROR(IF(0=LEN(ReferenceData!$AC$216),"",ReferenceData!$AC$216),"")</f>
        <v>692</v>
      </c>
      <c r="AD216">
        <f ca="1">IFERROR(IF(0=LEN(ReferenceData!$AD$216),"",ReferenceData!$AD$216),"")</f>
        <v>682</v>
      </c>
      <c r="AE216">
        <f ca="1">IFERROR(IF(0=LEN(ReferenceData!$AE$216),"",ReferenceData!$AE$216),"")</f>
        <v>734</v>
      </c>
      <c r="AF216">
        <f ca="1">IFERROR(IF(0=LEN(ReferenceData!$AF$216),"",ReferenceData!$AF$216),"")</f>
        <v>880</v>
      </c>
      <c r="AG216">
        <f ca="1">IFERROR(IF(0=LEN(ReferenceData!$AG$216),"",ReferenceData!$AG$216),"")</f>
        <v>825</v>
      </c>
      <c r="AH216">
        <f ca="1">IFERROR(IF(0=LEN(ReferenceData!$AH$216),"",ReferenceData!$AH$216),"")</f>
        <v>527</v>
      </c>
      <c r="AI216">
        <f ca="1">IFERROR(IF(0=LEN(ReferenceData!$AI$216),"",ReferenceData!$AI$216),"")</f>
        <v>624</v>
      </c>
      <c r="AJ216">
        <f ca="1">IFERROR(IF(0=LEN(ReferenceData!$AJ$216),"",ReferenceData!$AJ$216),"")</f>
        <v>516</v>
      </c>
      <c r="AK216">
        <f ca="1">IFERROR(IF(0=LEN(ReferenceData!$AK$216),"",ReferenceData!$AK$216),"")</f>
        <v>479</v>
      </c>
      <c r="AL216">
        <f ca="1">IFERROR(IF(0=LEN(ReferenceData!$AL$216),"",ReferenceData!$AL$216),"")</f>
        <v>394</v>
      </c>
      <c r="AM216">
        <f ca="1">IFERROR(IF(0=LEN(ReferenceData!$AM$216),"",ReferenceData!$AM$216),"")</f>
        <v>504</v>
      </c>
      <c r="AN216">
        <f ca="1">IFERROR(IF(0=LEN(ReferenceData!$AN$216),"",ReferenceData!$AN$216),"")</f>
        <v>812</v>
      </c>
      <c r="AO216">
        <f ca="1">IFERROR(IF(0=LEN(ReferenceData!$AO$216),"",ReferenceData!$AO$216),"")</f>
        <v>560</v>
      </c>
      <c r="AP216">
        <f ca="1">IFERROR(IF(0=LEN(ReferenceData!$AP$216),"",ReferenceData!$AP$216),"")</f>
        <v>564</v>
      </c>
      <c r="AQ216">
        <f ca="1">IFERROR(IF(0=LEN(ReferenceData!$AQ$216),"",ReferenceData!$AQ$216),"")</f>
        <v>579</v>
      </c>
      <c r="AR216">
        <f ca="1">IFERROR(IF(0=LEN(ReferenceData!$AR$216),"",ReferenceData!$AR$216),"")</f>
        <v>514</v>
      </c>
      <c r="AS216">
        <f ca="1">IFERROR(IF(0=LEN(ReferenceData!$AS$216),"",ReferenceData!$AS$216),"")</f>
        <v>723</v>
      </c>
    </row>
    <row r="217" spans="1:45" x14ac:dyDescent="0.25">
      <c r="A217" t="str">
        <f>IFERROR(IF(0=LEN(ReferenceData!$A$217),"",ReferenceData!$A$217),"")</f>
        <v xml:space="preserve">    PACCAR - Peterbilt</v>
      </c>
      <c r="B217" t="str">
        <f>IFERROR(IF(0=LEN(ReferenceData!$B$217),"",ReferenceData!$B$217),"")</f>
        <v/>
      </c>
      <c r="C217" t="str">
        <f>IFERROR(IF(0=LEN(ReferenceData!$C$217),"",ReferenceData!$C$217),"")</f>
        <v/>
      </c>
      <c r="D217" t="str">
        <f>IFERROR(IF(0=LEN(ReferenceData!$D$217),"",ReferenceData!$D$217),"")</f>
        <v/>
      </c>
      <c r="E217" t="str">
        <f>IFERROR(IF(0=LEN(ReferenceData!$E$217),"",ReferenceData!$E$217),"")</f>
        <v>Expression</v>
      </c>
      <c r="F217">
        <f ca="1">IFERROR(IF(0=LEN(ReferenceData!$F$217),"",ReferenceData!$F$217),"")</f>
        <v>705</v>
      </c>
      <c r="G217">
        <f ca="1">IFERROR(IF(0=LEN(ReferenceData!$G$217),"",ReferenceData!$G$217),"")</f>
        <v>560</v>
      </c>
      <c r="H217">
        <f ca="1">IFERROR(IF(0=LEN(ReferenceData!$H$217),"",ReferenceData!$H$217),"")</f>
        <v>553</v>
      </c>
      <c r="I217">
        <f ca="1">IFERROR(IF(0=LEN(ReferenceData!$I$217),"",ReferenceData!$I$217),"")</f>
        <v>553</v>
      </c>
      <c r="J217">
        <f ca="1">IFERROR(IF(0=LEN(ReferenceData!$J$217),"",ReferenceData!$J$217),"")</f>
        <v>515</v>
      </c>
      <c r="K217">
        <f ca="1">IFERROR(IF(0=LEN(ReferenceData!$K$217),"",ReferenceData!$K$217),"")</f>
        <v>601</v>
      </c>
      <c r="L217">
        <f ca="1">IFERROR(IF(0=LEN(ReferenceData!$L$217),"",ReferenceData!$L$217),"")</f>
        <v>467</v>
      </c>
      <c r="M217">
        <f ca="1">IFERROR(IF(0=LEN(ReferenceData!$M$217),"",ReferenceData!$M$217),"")</f>
        <v>606</v>
      </c>
      <c r="N217">
        <f ca="1">IFERROR(IF(0=LEN(ReferenceData!$N$217),"",ReferenceData!$N$217),"")</f>
        <v>449</v>
      </c>
      <c r="O217">
        <f ca="1">IFERROR(IF(0=LEN(ReferenceData!$O$217),"",ReferenceData!$O$217),"")</f>
        <v>380</v>
      </c>
      <c r="P217">
        <f ca="1">IFERROR(IF(0=LEN(ReferenceData!$P$217),"",ReferenceData!$P$217),"")</f>
        <v>756</v>
      </c>
      <c r="Q217">
        <f ca="1">IFERROR(IF(0=LEN(ReferenceData!$Q$217),"",ReferenceData!$Q$217),"")</f>
        <v>484</v>
      </c>
      <c r="R217">
        <f ca="1">IFERROR(IF(0=LEN(ReferenceData!$R$217),"",ReferenceData!$R$217),"")</f>
        <v>566</v>
      </c>
      <c r="S217">
        <f ca="1">IFERROR(IF(0=LEN(ReferenceData!$S$217),"",ReferenceData!$S$217),"")</f>
        <v>558</v>
      </c>
      <c r="T217">
        <f ca="1">IFERROR(IF(0=LEN(ReferenceData!$T$217),"",ReferenceData!$T$217),"")</f>
        <v>514</v>
      </c>
      <c r="U217">
        <f ca="1">IFERROR(IF(0=LEN(ReferenceData!$U$217),"",ReferenceData!$U$217),"")</f>
        <v>526</v>
      </c>
      <c r="V217">
        <f ca="1">IFERROR(IF(0=LEN(ReferenceData!$V$217),"",ReferenceData!$V$217),"")</f>
        <v>593</v>
      </c>
      <c r="W217">
        <f ca="1">IFERROR(IF(0=LEN(ReferenceData!$W$217),"",ReferenceData!$W$217),"")</f>
        <v>485</v>
      </c>
      <c r="X217">
        <f ca="1">IFERROR(IF(0=LEN(ReferenceData!$X$217),"",ReferenceData!$X$217),"")</f>
        <v>545</v>
      </c>
      <c r="Y217">
        <f ca="1">IFERROR(IF(0=LEN(ReferenceData!$Y$217),"",ReferenceData!$Y$217),"")</f>
        <v>576</v>
      </c>
      <c r="Z217">
        <f ca="1">IFERROR(IF(0=LEN(ReferenceData!$Z$217),"",ReferenceData!$Z$217),"")</f>
        <v>511</v>
      </c>
      <c r="AA217">
        <f ca="1">IFERROR(IF(0=LEN(ReferenceData!$AA$217),"",ReferenceData!$AA$217),"")</f>
        <v>478</v>
      </c>
      <c r="AB217">
        <f ca="1">IFERROR(IF(0=LEN(ReferenceData!$AB$217),"",ReferenceData!$AB$217),"")</f>
        <v>714</v>
      </c>
      <c r="AC217">
        <f ca="1">IFERROR(IF(0=LEN(ReferenceData!$AC$217),"",ReferenceData!$AC$217),"")</f>
        <v>517</v>
      </c>
      <c r="AD217">
        <f ca="1">IFERROR(IF(0=LEN(ReferenceData!$AD$217),"",ReferenceData!$AD$217),"")</f>
        <v>542</v>
      </c>
      <c r="AE217">
        <f ca="1">IFERROR(IF(0=LEN(ReferenceData!$AE$217),"",ReferenceData!$AE$217),"")</f>
        <v>716</v>
      </c>
      <c r="AF217">
        <f ca="1">IFERROR(IF(0=LEN(ReferenceData!$AF$217),"",ReferenceData!$AF$217),"")</f>
        <v>600</v>
      </c>
      <c r="AG217">
        <f ca="1">IFERROR(IF(0=LEN(ReferenceData!$AG$217),"",ReferenceData!$AG$217),"")</f>
        <v>624</v>
      </c>
      <c r="AH217">
        <f ca="1">IFERROR(IF(0=LEN(ReferenceData!$AH$217),"",ReferenceData!$AH$217),"")</f>
        <v>608</v>
      </c>
      <c r="AI217">
        <f ca="1">IFERROR(IF(0=LEN(ReferenceData!$AI$217),"",ReferenceData!$AI$217),"")</f>
        <v>524</v>
      </c>
      <c r="AJ217">
        <f ca="1">IFERROR(IF(0=LEN(ReferenceData!$AJ$217),"",ReferenceData!$AJ$217),"")</f>
        <v>590</v>
      </c>
      <c r="AK217">
        <f ca="1">IFERROR(IF(0=LEN(ReferenceData!$AK$217),"",ReferenceData!$AK$217),"")</f>
        <v>528</v>
      </c>
      <c r="AL217">
        <f ca="1">IFERROR(IF(0=LEN(ReferenceData!$AL$217),"",ReferenceData!$AL$217),"")</f>
        <v>374</v>
      </c>
      <c r="AM217">
        <f ca="1">IFERROR(IF(0=LEN(ReferenceData!$AM$217),"",ReferenceData!$AM$217),"")</f>
        <v>415</v>
      </c>
      <c r="AN217">
        <f ca="1">IFERROR(IF(0=LEN(ReferenceData!$AN$217),"",ReferenceData!$AN$217),"")</f>
        <v>601</v>
      </c>
      <c r="AO217">
        <f ca="1">IFERROR(IF(0=LEN(ReferenceData!$AO$217),"",ReferenceData!$AO$217),"")</f>
        <v>531</v>
      </c>
      <c r="AP217">
        <f ca="1">IFERROR(IF(0=LEN(ReferenceData!$AP$217),"",ReferenceData!$AP$217),"")</f>
        <v>503</v>
      </c>
      <c r="AQ217">
        <f ca="1">IFERROR(IF(0=LEN(ReferenceData!$AQ$217),"",ReferenceData!$AQ$217),"")</f>
        <v>462</v>
      </c>
      <c r="AR217">
        <f ca="1">IFERROR(IF(0=LEN(ReferenceData!$AR$217),"",ReferenceData!$AR$217),"")</f>
        <v>448</v>
      </c>
      <c r="AS217">
        <f ca="1">IFERROR(IF(0=LEN(ReferenceData!$AS$217),"",ReferenceData!$AS$217),"")</f>
        <v>487</v>
      </c>
    </row>
    <row r="218" spans="1:45" x14ac:dyDescent="0.25">
      <c r="A218" t="str">
        <f>IFERROR(IF(0=LEN(ReferenceData!$A$218),"",ReferenceData!$A$218),"")</f>
        <v xml:space="preserve">    Ford</v>
      </c>
      <c r="B218" t="str">
        <f>IFERROR(IF(0=LEN(ReferenceData!$B$218),"",ReferenceData!$B$218),"")</f>
        <v/>
      </c>
      <c r="C218" t="str">
        <f>IFERROR(IF(0=LEN(ReferenceData!$C$218),"",ReferenceData!$C$218),"")</f>
        <v/>
      </c>
      <c r="D218" t="str">
        <f>IFERROR(IF(0=LEN(ReferenceData!$D$218),"",ReferenceData!$D$218),"")</f>
        <v/>
      </c>
      <c r="E218" t="str">
        <f>IFERROR(IF(0=LEN(ReferenceData!$E$218),"",ReferenceData!$E$218),"")</f>
        <v>Expression</v>
      </c>
      <c r="F218">
        <f ca="1">IFERROR(IF(0=LEN(ReferenceData!$F$218),"",ReferenceData!$F$218),"")</f>
        <v>1585</v>
      </c>
      <c r="G218">
        <f ca="1">IFERROR(IF(0=LEN(ReferenceData!$G$218),"",ReferenceData!$G$218),"")</f>
        <v>1402</v>
      </c>
      <c r="H218">
        <f ca="1">IFERROR(IF(0=LEN(ReferenceData!$H$218),"",ReferenceData!$H$218),"")</f>
        <v>1821</v>
      </c>
      <c r="I218">
        <f ca="1">IFERROR(IF(0=LEN(ReferenceData!$I$218),"",ReferenceData!$I$218),"")</f>
        <v>1489</v>
      </c>
      <c r="J218">
        <f ca="1">IFERROR(IF(0=LEN(ReferenceData!$J$218),"",ReferenceData!$J$218),"")</f>
        <v>1907</v>
      </c>
      <c r="K218">
        <f ca="1">IFERROR(IF(0=LEN(ReferenceData!$K$218),"",ReferenceData!$K$218),"")</f>
        <v>1279</v>
      </c>
      <c r="L218">
        <f ca="1">IFERROR(IF(0=LEN(ReferenceData!$L$218),"",ReferenceData!$L$218),"")</f>
        <v>2091</v>
      </c>
      <c r="M218">
        <f ca="1">IFERROR(IF(0=LEN(ReferenceData!$M$218),"",ReferenceData!$M$218),"")</f>
        <v>2403</v>
      </c>
      <c r="N218">
        <f ca="1">IFERROR(IF(0=LEN(ReferenceData!$N$218),"",ReferenceData!$N$218),"")</f>
        <v>1830</v>
      </c>
      <c r="O218">
        <f ca="1">IFERROR(IF(0=LEN(ReferenceData!$O$218),"",ReferenceData!$O$218),"")</f>
        <v>2222</v>
      </c>
      <c r="P218">
        <f ca="1">IFERROR(IF(0=LEN(ReferenceData!$P$218),"",ReferenceData!$P$218),"")</f>
        <v>3059</v>
      </c>
      <c r="Q218">
        <f ca="1">IFERROR(IF(0=LEN(ReferenceData!$Q$218),"",ReferenceData!$Q$218),"")</f>
        <v>2196</v>
      </c>
      <c r="R218">
        <f ca="1">IFERROR(IF(0=LEN(ReferenceData!$R$218),"",ReferenceData!$R$218),"")</f>
        <v>1841</v>
      </c>
      <c r="S218">
        <f ca="1">IFERROR(IF(0=LEN(ReferenceData!$S$218),"",ReferenceData!$S$218),"")</f>
        <v>1700</v>
      </c>
      <c r="T218">
        <f ca="1">IFERROR(IF(0=LEN(ReferenceData!$T$218),"",ReferenceData!$T$218),"")</f>
        <v>1654</v>
      </c>
      <c r="U218">
        <f ca="1">IFERROR(IF(0=LEN(ReferenceData!$U$218),"",ReferenceData!$U$218),"")</f>
        <v>1763</v>
      </c>
      <c r="V218">
        <f ca="1">IFERROR(IF(0=LEN(ReferenceData!$V$218),"",ReferenceData!$V$218),"")</f>
        <v>1800</v>
      </c>
      <c r="W218">
        <f ca="1">IFERROR(IF(0=LEN(ReferenceData!$W$218),"",ReferenceData!$W$218),"")</f>
        <v>1941</v>
      </c>
      <c r="X218">
        <f ca="1">IFERROR(IF(0=LEN(ReferenceData!$X$218),"",ReferenceData!$X$218),"")</f>
        <v>2598</v>
      </c>
      <c r="Y218">
        <f ca="1">IFERROR(IF(0=LEN(ReferenceData!$Y$218),"",ReferenceData!$Y$218),"")</f>
        <v>2806</v>
      </c>
      <c r="Z218">
        <f ca="1">IFERROR(IF(0=LEN(ReferenceData!$Z$218),"",ReferenceData!$Z$218),"")</f>
        <v>1795</v>
      </c>
      <c r="AA218">
        <f ca="1">IFERROR(IF(0=LEN(ReferenceData!$AA$218),"",ReferenceData!$AA$218),"")</f>
        <v>1811</v>
      </c>
      <c r="AB218">
        <f ca="1">IFERROR(IF(0=LEN(ReferenceData!$AB$218),"",ReferenceData!$AB$218),"")</f>
        <v>2498</v>
      </c>
      <c r="AC218">
        <f ca="1">IFERROR(IF(0=LEN(ReferenceData!$AC$218),"",ReferenceData!$AC$218),"")</f>
        <v>1648</v>
      </c>
      <c r="AD218">
        <f ca="1">IFERROR(IF(0=LEN(ReferenceData!$AD$218),"",ReferenceData!$AD$218),"")</f>
        <v>1757</v>
      </c>
      <c r="AE218">
        <f ca="1">IFERROR(IF(0=LEN(ReferenceData!$AE$218),"",ReferenceData!$AE$218),"")</f>
        <v>959</v>
      </c>
      <c r="AF218">
        <f ca="1">IFERROR(IF(0=LEN(ReferenceData!$AF$218),"",ReferenceData!$AF$218),"")</f>
        <v>973</v>
      </c>
      <c r="AG218">
        <f ca="1">IFERROR(IF(0=LEN(ReferenceData!$AG$218),"",ReferenceData!$AG$218),"")</f>
        <v>1305</v>
      </c>
      <c r="AH218">
        <f ca="1">IFERROR(IF(0=LEN(ReferenceData!$AH$218),"",ReferenceData!$AH$218),"")</f>
        <v>1471</v>
      </c>
      <c r="AI218">
        <f ca="1">IFERROR(IF(0=LEN(ReferenceData!$AI$218),"",ReferenceData!$AI$218),"")</f>
        <v>1262</v>
      </c>
      <c r="AJ218">
        <f ca="1">IFERROR(IF(0=LEN(ReferenceData!$AJ$218),"",ReferenceData!$AJ$218),"")</f>
        <v>1392</v>
      </c>
      <c r="AK218">
        <f ca="1">IFERROR(IF(0=LEN(ReferenceData!$AK$218),"",ReferenceData!$AK$218),"")</f>
        <v>1656</v>
      </c>
      <c r="AL218">
        <f ca="1">IFERROR(IF(0=LEN(ReferenceData!$AL$218),"",ReferenceData!$AL$218),"")</f>
        <v>1357</v>
      </c>
      <c r="AM218">
        <f ca="1">IFERROR(IF(0=LEN(ReferenceData!$AM$218),"",ReferenceData!$AM$218),"")</f>
        <v>1477</v>
      </c>
      <c r="AN218">
        <f ca="1">IFERROR(IF(0=LEN(ReferenceData!$AN$218),"",ReferenceData!$AN$218),"")</f>
        <v>2119</v>
      </c>
      <c r="AO218">
        <f ca="1">IFERROR(IF(0=LEN(ReferenceData!$AO$218),"",ReferenceData!$AO$218),"")</f>
        <v>1317</v>
      </c>
      <c r="AP218">
        <f ca="1">IFERROR(IF(0=LEN(ReferenceData!$AP$218),"",ReferenceData!$AP$218),"")</f>
        <v>1636</v>
      </c>
      <c r="AQ218">
        <f ca="1">IFERROR(IF(0=LEN(ReferenceData!$AQ$218),"",ReferenceData!$AQ$218),"")</f>
        <v>1467</v>
      </c>
      <c r="AR218">
        <f ca="1">IFERROR(IF(0=LEN(ReferenceData!$AR$218),"",ReferenceData!$AR$218),"")</f>
        <v>1312</v>
      </c>
      <c r="AS218">
        <f ca="1">IFERROR(IF(0=LEN(ReferenceData!$AS$218),"",ReferenceData!$AS$218),"")</f>
        <v>1215</v>
      </c>
    </row>
    <row r="219" spans="1:45" x14ac:dyDescent="0.25">
      <c r="A219" t="str">
        <f>IFERROR(IF(0=LEN(ReferenceData!$A$219),"",ReferenceData!$A$219),"")</f>
        <v xml:space="preserve">    Hino</v>
      </c>
      <c r="B219" t="str">
        <f>IFERROR(IF(0=LEN(ReferenceData!$B$219),"",ReferenceData!$B$219),"")</f>
        <v/>
      </c>
      <c r="C219" t="str">
        <f>IFERROR(IF(0=LEN(ReferenceData!$C$219),"",ReferenceData!$C$219),"")</f>
        <v/>
      </c>
      <c r="D219" t="str">
        <f>IFERROR(IF(0=LEN(ReferenceData!$D$219),"",ReferenceData!$D$219),"")</f>
        <v/>
      </c>
      <c r="E219" t="str">
        <f>IFERROR(IF(0=LEN(ReferenceData!$E$219),"",ReferenceData!$E$219),"")</f>
        <v>Sum</v>
      </c>
      <c r="F219">
        <f ca="1">IFERROR(IF(0=LEN(ReferenceData!$F$219),"",ReferenceData!$F$219),"")</f>
        <v>833</v>
      </c>
      <c r="G219">
        <f ca="1">IFERROR(IF(0=LEN(ReferenceData!$G$219),"",ReferenceData!$G$219),"")</f>
        <v>855</v>
      </c>
      <c r="H219">
        <f ca="1">IFERROR(IF(0=LEN(ReferenceData!$H$219),"",ReferenceData!$H$219),"")</f>
        <v>876</v>
      </c>
      <c r="I219">
        <f ca="1">IFERROR(IF(0=LEN(ReferenceData!$I$219),"",ReferenceData!$I$219),"")</f>
        <v>777</v>
      </c>
      <c r="J219">
        <f ca="1">IFERROR(IF(0=LEN(ReferenceData!$J$219),"",ReferenceData!$J$219),"")</f>
        <v>980</v>
      </c>
      <c r="K219">
        <f ca="1">IFERROR(IF(0=LEN(ReferenceData!$K$219),"",ReferenceData!$K$219),"")</f>
        <v>849</v>
      </c>
      <c r="L219">
        <f ca="1">IFERROR(IF(0=LEN(ReferenceData!$L$219),"",ReferenceData!$L$219),"")</f>
        <v>737</v>
      </c>
      <c r="M219">
        <f ca="1">IFERROR(IF(0=LEN(ReferenceData!$M$219),"",ReferenceData!$M$219),"")</f>
        <v>1066</v>
      </c>
      <c r="N219">
        <f ca="1">IFERROR(IF(0=LEN(ReferenceData!$N$219),"",ReferenceData!$N$219),"")</f>
        <v>785</v>
      </c>
      <c r="O219">
        <f ca="1">IFERROR(IF(0=LEN(ReferenceData!$O$219),"",ReferenceData!$O$219),"")</f>
        <v>703</v>
      </c>
      <c r="P219">
        <f ca="1">IFERROR(IF(0=LEN(ReferenceData!$P$219),"",ReferenceData!$P$219),"")</f>
        <v>944</v>
      </c>
      <c r="Q219">
        <f ca="1">IFERROR(IF(0=LEN(ReferenceData!$Q$219),"",ReferenceData!$Q$219),"")</f>
        <v>939</v>
      </c>
      <c r="R219">
        <f ca="1">IFERROR(IF(0=LEN(ReferenceData!$R$219),"",ReferenceData!$R$219),"")</f>
        <v>794</v>
      </c>
      <c r="S219">
        <f ca="1">IFERROR(IF(0=LEN(ReferenceData!$S$219),"",ReferenceData!$S$219),"")</f>
        <v>860</v>
      </c>
      <c r="T219">
        <f ca="1">IFERROR(IF(0=LEN(ReferenceData!$T$219),"",ReferenceData!$T$219),"")</f>
        <v>795</v>
      </c>
      <c r="U219">
        <f ca="1">IFERROR(IF(0=LEN(ReferenceData!$U$219),"",ReferenceData!$U$219),"")</f>
        <v>779</v>
      </c>
      <c r="V219">
        <f ca="1">IFERROR(IF(0=LEN(ReferenceData!$V$219),"",ReferenceData!$V$219),"")</f>
        <v>924</v>
      </c>
      <c r="W219">
        <f ca="1">IFERROR(IF(0=LEN(ReferenceData!$W$219),"",ReferenceData!$W$219),"")</f>
        <v>923</v>
      </c>
      <c r="X219">
        <f ca="1">IFERROR(IF(0=LEN(ReferenceData!$X$219),"",ReferenceData!$X$219),"")</f>
        <v>701</v>
      </c>
      <c r="Y219">
        <f ca="1">IFERROR(IF(0=LEN(ReferenceData!$Y$219),"",ReferenceData!$Y$219),"")</f>
        <v>1492</v>
      </c>
      <c r="Z219">
        <f ca="1">IFERROR(IF(0=LEN(ReferenceData!$Z$219),"",ReferenceData!$Z$219),"")</f>
        <v>883</v>
      </c>
      <c r="AA219">
        <f ca="1">IFERROR(IF(0=LEN(ReferenceData!$AA$219),"",ReferenceData!$AA$219),"")</f>
        <v>728</v>
      </c>
      <c r="AB219">
        <f ca="1">IFERROR(IF(0=LEN(ReferenceData!$AB$219),"",ReferenceData!$AB$219),"")</f>
        <v>1260</v>
      </c>
      <c r="AC219">
        <f ca="1">IFERROR(IF(0=LEN(ReferenceData!$AC$219),"",ReferenceData!$AC$219),"")</f>
        <v>876</v>
      </c>
      <c r="AD219">
        <f ca="1">IFERROR(IF(0=LEN(ReferenceData!$AD$219),"",ReferenceData!$AD$219),"")</f>
        <v>970</v>
      </c>
      <c r="AE219">
        <f ca="1">IFERROR(IF(0=LEN(ReferenceData!$AE$219),"",ReferenceData!$AE$219),"")</f>
        <v>922</v>
      </c>
      <c r="AF219">
        <f ca="1">IFERROR(IF(0=LEN(ReferenceData!$AF$219),"",ReferenceData!$AF$219),"")</f>
        <v>911</v>
      </c>
      <c r="AG219">
        <f ca="1">IFERROR(IF(0=LEN(ReferenceData!$AG$219),"",ReferenceData!$AG$219),"")</f>
        <v>888</v>
      </c>
      <c r="AH219">
        <f ca="1">IFERROR(IF(0=LEN(ReferenceData!$AH$219),"",ReferenceData!$AH$219),"")</f>
        <v>895</v>
      </c>
      <c r="AI219">
        <f ca="1">IFERROR(IF(0=LEN(ReferenceData!$AI$219),"",ReferenceData!$AI$219),"")</f>
        <v>718</v>
      </c>
      <c r="AJ219">
        <f ca="1">IFERROR(IF(0=LEN(ReferenceData!$AJ$219),"",ReferenceData!$AJ$219),"")</f>
        <v>807</v>
      </c>
      <c r="AK219">
        <f ca="1">IFERROR(IF(0=LEN(ReferenceData!$AK$219),"",ReferenceData!$AK$219),"")</f>
        <v>1400</v>
      </c>
      <c r="AL219">
        <f ca="1">IFERROR(IF(0=LEN(ReferenceData!$AL$219),"",ReferenceData!$AL$219),"")</f>
        <v>780</v>
      </c>
      <c r="AM219">
        <f ca="1">IFERROR(IF(0=LEN(ReferenceData!$AM$219),"",ReferenceData!$AM$219),"")</f>
        <v>590</v>
      </c>
      <c r="AN219">
        <f ca="1">IFERROR(IF(0=LEN(ReferenceData!$AN$219),"",ReferenceData!$AN$219),"")</f>
        <v>1378</v>
      </c>
      <c r="AO219">
        <f ca="1">IFERROR(IF(0=LEN(ReferenceData!$AO$219),"",ReferenceData!$AO$219),"")</f>
        <v>846</v>
      </c>
      <c r="AP219">
        <f ca="1">IFERROR(IF(0=LEN(ReferenceData!$AP$219),"",ReferenceData!$AP$219),"")</f>
        <v>765</v>
      </c>
      <c r="AQ219">
        <f ca="1">IFERROR(IF(0=LEN(ReferenceData!$AQ$219),"",ReferenceData!$AQ$219),"")</f>
        <v>740</v>
      </c>
      <c r="AR219">
        <f ca="1">IFERROR(IF(0=LEN(ReferenceData!$AR$219),"",ReferenceData!$AR$219),"")</f>
        <v>726</v>
      </c>
      <c r="AS219">
        <f ca="1">IFERROR(IF(0=LEN(ReferenceData!$AS$219),"",ReferenceData!$AS$219),"")</f>
        <v>700</v>
      </c>
    </row>
    <row r="220" spans="1:45" x14ac:dyDescent="0.25">
      <c r="A220" t="str">
        <f>IFERROR(IF(0=LEN(ReferenceData!$A$220),"",ReferenceData!$A$220),"")</f>
        <v xml:space="preserve">        US</v>
      </c>
      <c r="B220" t="str">
        <f>IFERROR(IF(0=LEN(ReferenceData!$B$220),"",ReferenceData!$B$220),"")</f>
        <v/>
      </c>
      <c r="C220" t="str">
        <f>IFERROR(IF(0=LEN(ReferenceData!$C$220),"",ReferenceData!$C$220),"")</f>
        <v/>
      </c>
      <c r="D220" t="str">
        <f>IFERROR(IF(0=LEN(ReferenceData!$D$220),"",ReferenceData!$D$220),"")</f>
        <v/>
      </c>
      <c r="E220" t="str">
        <f>IFERROR(IF(0=LEN(ReferenceData!$E$220),"",ReferenceData!$E$220),"")</f>
        <v>Expression</v>
      </c>
      <c r="F220">
        <f ca="1">IFERROR(IF(0=LEN(ReferenceData!$F$220),"",ReferenceData!$F$220),"")</f>
        <v>716</v>
      </c>
      <c r="G220">
        <f ca="1">IFERROR(IF(0=LEN(ReferenceData!$G$220),"",ReferenceData!$G$220),"")</f>
        <v>711</v>
      </c>
      <c r="H220">
        <f ca="1">IFERROR(IF(0=LEN(ReferenceData!$H$220),"",ReferenceData!$H$220),"")</f>
        <v>756</v>
      </c>
      <c r="I220">
        <f ca="1">IFERROR(IF(0=LEN(ReferenceData!$I$220),"",ReferenceData!$I$220),"")</f>
        <v>641</v>
      </c>
      <c r="J220">
        <f ca="1">IFERROR(IF(0=LEN(ReferenceData!$J$220),"",ReferenceData!$J$220),"")</f>
        <v>840</v>
      </c>
      <c r="K220">
        <f ca="1">IFERROR(IF(0=LEN(ReferenceData!$K$220),"",ReferenceData!$K$220),"")</f>
        <v>684</v>
      </c>
      <c r="L220">
        <f ca="1">IFERROR(IF(0=LEN(ReferenceData!$L$220),"",ReferenceData!$L$220),"")</f>
        <v>582</v>
      </c>
      <c r="M220">
        <f ca="1">IFERROR(IF(0=LEN(ReferenceData!$M$220),"",ReferenceData!$M$220),"")</f>
        <v>929</v>
      </c>
      <c r="N220">
        <f ca="1">IFERROR(IF(0=LEN(ReferenceData!$N$220),"",ReferenceData!$N$220),"")</f>
        <v>639</v>
      </c>
      <c r="O220">
        <f ca="1">IFERROR(IF(0=LEN(ReferenceData!$O$220),"",ReferenceData!$O$220),"")</f>
        <v>586</v>
      </c>
      <c r="P220">
        <f ca="1">IFERROR(IF(0=LEN(ReferenceData!$P$220),"",ReferenceData!$P$220),"")</f>
        <v>738</v>
      </c>
      <c r="Q220">
        <f ca="1">IFERROR(IF(0=LEN(ReferenceData!$Q$220),"",ReferenceData!$Q$220),"")</f>
        <v>738</v>
      </c>
      <c r="R220">
        <f ca="1">IFERROR(IF(0=LEN(ReferenceData!$R$220),"",ReferenceData!$R$220),"")</f>
        <v>621</v>
      </c>
      <c r="S220">
        <f ca="1">IFERROR(IF(0=LEN(ReferenceData!$S$220),"",ReferenceData!$S$220),"")</f>
        <v>651</v>
      </c>
      <c r="T220">
        <f ca="1">IFERROR(IF(0=LEN(ReferenceData!$T$220),"",ReferenceData!$T$220),"")</f>
        <v>630</v>
      </c>
      <c r="U220">
        <f ca="1">IFERROR(IF(0=LEN(ReferenceData!$U$220),"",ReferenceData!$U$220),"")</f>
        <v>577</v>
      </c>
      <c r="V220">
        <f ca="1">IFERROR(IF(0=LEN(ReferenceData!$V$220),"",ReferenceData!$V$220),"")</f>
        <v>758</v>
      </c>
      <c r="W220">
        <f ca="1">IFERROR(IF(0=LEN(ReferenceData!$W$220),"",ReferenceData!$W$220),"")</f>
        <v>699</v>
      </c>
      <c r="X220">
        <f ca="1">IFERROR(IF(0=LEN(ReferenceData!$X$220),"",ReferenceData!$X$220),"")</f>
        <v>506</v>
      </c>
      <c r="Y220">
        <f ca="1">IFERROR(IF(0=LEN(ReferenceData!$Y$220),"",ReferenceData!$Y$220),"")</f>
        <v>1330</v>
      </c>
      <c r="Z220">
        <f ca="1">IFERROR(IF(0=LEN(ReferenceData!$Z$220),"",ReferenceData!$Z$220),"")</f>
        <v>709</v>
      </c>
      <c r="AA220">
        <f ca="1">IFERROR(IF(0=LEN(ReferenceData!$AA$220),"",ReferenceData!$AA$220),"")</f>
        <v>552</v>
      </c>
      <c r="AB220">
        <f ca="1">IFERROR(IF(0=LEN(ReferenceData!$AB$220),"",ReferenceData!$AB$220),"")</f>
        <v>1075</v>
      </c>
      <c r="AC220">
        <f ca="1">IFERROR(IF(0=LEN(ReferenceData!$AC$220),"",ReferenceData!$AC$220),"")</f>
        <v>736</v>
      </c>
      <c r="AD220">
        <f ca="1">IFERROR(IF(0=LEN(ReferenceData!$AD$220),"",ReferenceData!$AD$220),"")</f>
        <v>833</v>
      </c>
      <c r="AE220">
        <f ca="1">IFERROR(IF(0=LEN(ReferenceData!$AE$220),"",ReferenceData!$AE$220),"")</f>
        <v>795</v>
      </c>
      <c r="AF220">
        <f ca="1">IFERROR(IF(0=LEN(ReferenceData!$AF$220),"",ReferenceData!$AF$220),"")</f>
        <v>779</v>
      </c>
      <c r="AG220">
        <f ca="1">IFERROR(IF(0=LEN(ReferenceData!$AG$220),"",ReferenceData!$AG$220),"")</f>
        <v>746</v>
      </c>
      <c r="AH220">
        <f ca="1">IFERROR(IF(0=LEN(ReferenceData!$AH$220),"",ReferenceData!$AH$220),"")</f>
        <v>747</v>
      </c>
      <c r="AI220">
        <f ca="1">IFERROR(IF(0=LEN(ReferenceData!$AI$220),"",ReferenceData!$AI$220),"")</f>
        <v>579</v>
      </c>
      <c r="AJ220">
        <f ca="1">IFERROR(IF(0=LEN(ReferenceData!$AJ$220),"",ReferenceData!$AJ$220),"")</f>
        <v>665</v>
      </c>
      <c r="AK220">
        <f ca="1">IFERROR(IF(0=LEN(ReferenceData!$AK$220),"",ReferenceData!$AK$220),"")</f>
        <v>1258</v>
      </c>
      <c r="AL220">
        <f ca="1">IFERROR(IF(0=LEN(ReferenceData!$AL$220),"",ReferenceData!$AL$220),"")</f>
        <v>664</v>
      </c>
      <c r="AM220">
        <f ca="1">IFERROR(IF(0=LEN(ReferenceData!$AM$220),"",ReferenceData!$AM$220),"")</f>
        <v>494</v>
      </c>
      <c r="AN220">
        <f ca="1">IFERROR(IF(0=LEN(ReferenceData!$AN$220),"",ReferenceData!$AN$220),"")</f>
        <v>1208</v>
      </c>
      <c r="AO220">
        <f ca="1">IFERROR(IF(0=LEN(ReferenceData!$AO$220),"",ReferenceData!$AO$220),"")</f>
        <v>701</v>
      </c>
      <c r="AP220">
        <f ca="1">IFERROR(IF(0=LEN(ReferenceData!$AP$220),"",ReferenceData!$AP$220),"")</f>
        <v>618</v>
      </c>
      <c r="AQ220">
        <f ca="1">IFERROR(IF(0=LEN(ReferenceData!$AQ$220),"",ReferenceData!$AQ$220),"")</f>
        <v>637</v>
      </c>
      <c r="AR220">
        <f ca="1">IFERROR(IF(0=LEN(ReferenceData!$AR$220),"",ReferenceData!$AR$220),"")</f>
        <v>645</v>
      </c>
      <c r="AS220">
        <f ca="1">IFERROR(IF(0=LEN(ReferenceData!$AS$220),"",ReferenceData!$AS$220),"")</f>
        <v>598</v>
      </c>
    </row>
    <row r="221" spans="1:45" x14ac:dyDescent="0.25">
      <c r="A221" t="str">
        <f>IFERROR(IF(0=LEN(ReferenceData!$A$221),"",ReferenceData!$A$221),"")</f>
        <v xml:space="preserve">        Canada</v>
      </c>
      <c r="B221" t="str">
        <f>IFERROR(IF(0=LEN(ReferenceData!$B$221),"",ReferenceData!$B$221),"")</f>
        <v/>
      </c>
      <c r="C221" t="str">
        <f>IFERROR(IF(0=LEN(ReferenceData!$C$221),"",ReferenceData!$C$221),"")</f>
        <v/>
      </c>
      <c r="D221" t="str">
        <f>IFERROR(IF(0=LEN(ReferenceData!$D$221),"",ReferenceData!$D$221),"")</f>
        <v/>
      </c>
      <c r="E221" t="str">
        <f>IFERROR(IF(0=LEN(ReferenceData!$E$221),"",ReferenceData!$E$221),"")</f>
        <v>Expression</v>
      </c>
      <c r="F221">
        <f ca="1">IFERROR(IF(0=LEN(ReferenceData!$F$221),"",ReferenceData!$F$221),"")</f>
        <v>117</v>
      </c>
      <c r="G221">
        <f ca="1">IFERROR(IF(0=LEN(ReferenceData!$G$221),"",ReferenceData!$G$221),"")</f>
        <v>144</v>
      </c>
      <c r="H221">
        <f ca="1">IFERROR(IF(0=LEN(ReferenceData!$H$221),"",ReferenceData!$H$221),"")</f>
        <v>120</v>
      </c>
      <c r="I221">
        <f ca="1">IFERROR(IF(0=LEN(ReferenceData!$I$221),"",ReferenceData!$I$221),"")</f>
        <v>136</v>
      </c>
      <c r="J221">
        <f ca="1">IFERROR(IF(0=LEN(ReferenceData!$J$221),"",ReferenceData!$J$221),"")</f>
        <v>140</v>
      </c>
      <c r="K221">
        <f ca="1">IFERROR(IF(0=LEN(ReferenceData!$K$221),"",ReferenceData!$K$221),"")</f>
        <v>165</v>
      </c>
      <c r="L221">
        <f ca="1">IFERROR(IF(0=LEN(ReferenceData!$L$221),"",ReferenceData!$L$221),"")</f>
        <v>155</v>
      </c>
      <c r="M221">
        <f ca="1">IFERROR(IF(0=LEN(ReferenceData!$M$221),"",ReferenceData!$M$221),"")</f>
        <v>137</v>
      </c>
      <c r="N221">
        <f ca="1">IFERROR(IF(0=LEN(ReferenceData!$N$221),"",ReferenceData!$N$221),"")</f>
        <v>146</v>
      </c>
      <c r="O221">
        <f ca="1">IFERROR(IF(0=LEN(ReferenceData!$O$221),"",ReferenceData!$O$221),"")</f>
        <v>117</v>
      </c>
      <c r="P221">
        <f ca="1">IFERROR(IF(0=LEN(ReferenceData!$P$221),"",ReferenceData!$P$221),"")</f>
        <v>86</v>
      </c>
      <c r="Q221">
        <f ca="1">IFERROR(IF(0=LEN(ReferenceData!$Q$221),"",ReferenceData!$Q$221),"")</f>
        <v>109</v>
      </c>
      <c r="R221">
        <f ca="1">IFERROR(IF(0=LEN(ReferenceData!$R$221),"",ReferenceData!$R$221),"")</f>
        <v>95</v>
      </c>
      <c r="S221">
        <f ca="1">IFERROR(IF(0=LEN(ReferenceData!$S$221),"",ReferenceData!$S$221),"")</f>
        <v>127</v>
      </c>
      <c r="T221">
        <f ca="1">IFERROR(IF(0=LEN(ReferenceData!$T$221),"",ReferenceData!$T$221),"")</f>
        <v>92</v>
      </c>
      <c r="U221">
        <f ca="1">IFERROR(IF(0=LEN(ReferenceData!$U$221),"",ReferenceData!$U$221),"")</f>
        <v>141</v>
      </c>
      <c r="V221">
        <f ca="1">IFERROR(IF(0=LEN(ReferenceData!$V$221),"",ReferenceData!$V$221),"")</f>
        <v>102</v>
      </c>
      <c r="W221">
        <f ca="1">IFERROR(IF(0=LEN(ReferenceData!$W$221),"",ReferenceData!$W$221),"")</f>
        <v>148</v>
      </c>
      <c r="X221">
        <f ca="1">IFERROR(IF(0=LEN(ReferenceData!$X$221),"",ReferenceData!$X$221),"")</f>
        <v>120</v>
      </c>
      <c r="Y221">
        <f ca="1">IFERROR(IF(0=LEN(ReferenceData!$Y$221),"",ReferenceData!$Y$221),"")</f>
        <v>101</v>
      </c>
      <c r="Z221">
        <f ca="1">IFERROR(IF(0=LEN(ReferenceData!$Z$221),"",ReferenceData!$Z$221),"")</f>
        <v>121</v>
      </c>
      <c r="AA221">
        <f ca="1">IFERROR(IF(0=LEN(ReferenceData!$AA$221),"",ReferenceData!$AA$221),"")</f>
        <v>107</v>
      </c>
      <c r="AB221">
        <f ca="1">IFERROR(IF(0=LEN(ReferenceData!$AB$221),"",ReferenceData!$AB$221),"")</f>
        <v>116</v>
      </c>
      <c r="AC221">
        <f ca="1">IFERROR(IF(0=LEN(ReferenceData!$AC$221),"",ReferenceData!$AC$221),"")</f>
        <v>85</v>
      </c>
      <c r="AD221">
        <f ca="1">IFERROR(IF(0=LEN(ReferenceData!$AD$221),"",ReferenceData!$AD$221),"")</f>
        <v>86</v>
      </c>
      <c r="AE221">
        <f ca="1">IFERROR(IF(0=LEN(ReferenceData!$AE$221),"",ReferenceData!$AE$221),"")</f>
        <v>79</v>
      </c>
      <c r="AF221">
        <f ca="1">IFERROR(IF(0=LEN(ReferenceData!$AF$221),"",ReferenceData!$AF$221),"")</f>
        <v>84</v>
      </c>
      <c r="AG221">
        <f ca="1">IFERROR(IF(0=LEN(ReferenceData!$AG$221),"",ReferenceData!$AG$221),"")</f>
        <v>94</v>
      </c>
      <c r="AH221">
        <f ca="1">IFERROR(IF(0=LEN(ReferenceData!$AH$221),"",ReferenceData!$AH$221),"")</f>
        <v>102</v>
      </c>
      <c r="AI221">
        <f ca="1">IFERROR(IF(0=LEN(ReferenceData!$AI$221),"",ReferenceData!$AI$221),"")</f>
        <v>97</v>
      </c>
      <c r="AJ221">
        <f ca="1">IFERROR(IF(0=LEN(ReferenceData!$AJ$221),"",ReferenceData!$AJ$221),"")</f>
        <v>102</v>
      </c>
      <c r="AK221">
        <f ca="1">IFERROR(IF(0=LEN(ReferenceData!$AK$221),"",ReferenceData!$AK$221),"")</f>
        <v>89</v>
      </c>
      <c r="AL221">
        <f ca="1">IFERROR(IF(0=LEN(ReferenceData!$AL$221),"",ReferenceData!$AL$221),"")</f>
        <v>67</v>
      </c>
      <c r="AM221">
        <f ca="1">IFERROR(IF(0=LEN(ReferenceData!$AM$221),"",ReferenceData!$AM$221),"")</f>
        <v>43</v>
      </c>
      <c r="AN221">
        <f ca="1">IFERROR(IF(0=LEN(ReferenceData!$AN$221),"",ReferenceData!$AN$221),"")</f>
        <v>83</v>
      </c>
      <c r="AO221">
        <f ca="1">IFERROR(IF(0=LEN(ReferenceData!$AO$221),"",ReferenceData!$AO$221),"")</f>
        <v>64</v>
      </c>
      <c r="AP221">
        <f ca="1">IFERROR(IF(0=LEN(ReferenceData!$AP$221),"",ReferenceData!$AP$221),"")</f>
        <v>68</v>
      </c>
      <c r="AQ221">
        <f ca="1">IFERROR(IF(0=LEN(ReferenceData!$AQ$221),"",ReferenceData!$AQ$221),"")</f>
        <v>71</v>
      </c>
      <c r="AR221">
        <f ca="1">IFERROR(IF(0=LEN(ReferenceData!$AR$221),"",ReferenceData!$AR$221),"")</f>
        <v>58</v>
      </c>
      <c r="AS221">
        <f ca="1">IFERROR(IF(0=LEN(ReferenceData!$AS$221),"",ReferenceData!$AS$221),"")</f>
        <v>73</v>
      </c>
    </row>
    <row r="222" spans="1:45" x14ac:dyDescent="0.25">
      <c r="A222" t="str">
        <f>IFERROR(IF(0=LEN(ReferenceData!$A$222),"",ReferenceData!$A$222),"")</f>
        <v xml:space="preserve">        Mexico</v>
      </c>
      <c r="B222" t="str">
        <f>IFERROR(IF(0=LEN(ReferenceData!$B$222),"",ReferenceData!$B$222),"")</f>
        <v/>
      </c>
      <c r="C222" t="str">
        <f>IFERROR(IF(0=LEN(ReferenceData!$C$222),"",ReferenceData!$C$222),"")</f>
        <v/>
      </c>
      <c r="D222" t="str">
        <f>IFERROR(IF(0=LEN(ReferenceData!$D$222),"",ReferenceData!$D$222),"")</f>
        <v/>
      </c>
      <c r="E222" t="str">
        <f>IFERROR(IF(0=LEN(ReferenceData!$E$222),"",ReferenceData!$E$222),"")</f>
        <v>Expression</v>
      </c>
      <c r="F222" t="str">
        <f ca="1">IFERROR(IF(0=LEN(ReferenceData!$F$222),"",ReferenceData!$F$222),"")</f>
        <v/>
      </c>
      <c r="G222" t="str">
        <f ca="1">IFERROR(IF(0=LEN(ReferenceData!$G$222),"",ReferenceData!$G$222),"")</f>
        <v/>
      </c>
      <c r="H222" t="str">
        <f ca="1">IFERROR(IF(0=LEN(ReferenceData!$H$222),"",ReferenceData!$H$222),"")</f>
        <v/>
      </c>
      <c r="I222" t="str">
        <f ca="1">IFERROR(IF(0=LEN(ReferenceData!$I$222),"",ReferenceData!$I$222),"")</f>
        <v/>
      </c>
      <c r="J222" t="str">
        <f ca="1">IFERROR(IF(0=LEN(ReferenceData!$J$222),"",ReferenceData!$J$222),"")</f>
        <v/>
      </c>
      <c r="K222" t="str">
        <f ca="1">IFERROR(IF(0=LEN(ReferenceData!$K$222),"",ReferenceData!$K$222),"")</f>
        <v/>
      </c>
      <c r="L222" t="str">
        <f ca="1">IFERROR(IF(0=LEN(ReferenceData!$L$222),"",ReferenceData!$L$222),"")</f>
        <v/>
      </c>
      <c r="M222" t="str">
        <f ca="1">IFERROR(IF(0=LEN(ReferenceData!$M$222),"",ReferenceData!$M$222),"")</f>
        <v/>
      </c>
      <c r="N222" t="str">
        <f ca="1">IFERROR(IF(0=LEN(ReferenceData!$N$222),"",ReferenceData!$N$222),"")</f>
        <v/>
      </c>
      <c r="O222" t="str">
        <f ca="1">IFERROR(IF(0=LEN(ReferenceData!$O$222),"",ReferenceData!$O$222),"")</f>
        <v/>
      </c>
      <c r="P222">
        <f ca="1">IFERROR(IF(0=LEN(ReferenceData!$P$222),"",ReferenceData!$P$222),"")</f>
        <v>120</v>
      </c>
      <c r="Q222">
        <f ca="1">IFERROR(IF(0=LEN(ReferenceData!$Q$222),"",ReferenceData!$Q$222),"")</f>
        <v>92</v>
      </c>
      <c r="R222">
        <f ca="1">IFERROR(IF(0=LEN(ReferenceData!$R$222),"",ReferenceData!$R$222),"")</f>
        <v>78</v>
      </c>
      <c r="S222">
        <f ca="1">IFERROR(IF(0=LEN(ReferenceData!$S$222),"",ReferenceData!$S$222),"")</f>
        <v>82</v>
      </c>
      <c r="T222">
        <f ca="1">IFERROR(IF(0=LEN(ReferenceData!$T$222),"",ReferenceData!$T$222),"")</f>
        <v>73</v>
      </c>
      <c r="U222">
        <f ca="1">IFERROR(IF(0=LEN(ReferenceData!$U$222),"",ReferenceData!$U$222),"")</f>
        <v>61</v>
      </c>
      <c r="V222">
        <f ca="1">IFERROR(IF(0=LEN(ReferenceData!$V$222),"",ReferenceData!$V$222),"")</f>
        <v>64</v>
      </c>
      <c r="W222">
        <f ca="1">IFERROR(IF(0=LEN(ReferenceData!$W$222),"",ReferenceData!$W$222),"")</f>
        <v>76</v>
      </c>
      <c r="X222">
        <f ca="1">IFERROR(IF(0=LEN(ReferenceData!$X$222),"",ReferenceData!$X$222),"")</f>
        <v>75</v>
      </c>
      <c r="Y222">
        <f ca="1">IFERROR(IF(0=LEN(ReferenceData!$Y$222),"",ReferenceData!$Y$222),"")</f>
        <v>61</v>
      </c>
      <c r="Z222">
        <f ca="1">IFERROR(IF(0=LEN(ReferenceData!$Z$222),"",ReferenceData!$Z$222),"")</f>
        <v>53</v>
      </c>
      <c r="AA222">
        <f ca="1">IFERROR(IF(0=LEN(ReferenceData!$AA$222),"",ReferenceData!$AA$222),"")</f>
        <v>69</v>
      </c>
      <c r="AB222">
        <f ca="1">IFERROR(IF(0=LEN(ReferenceData!$AB$222),"",ReferenceData!$AB$222),"")</f>
        <v>69</v>
      </c>
      <c r="AC222">
        <f ca="1">IFERROR(IF(0=LEN(ReferenceData!$AC$222),"",ReferenceData!$AC$222),"")</f>
        <v>55</v>
      </c>
      <c r="AD222">
        <f ca="1">IFERROR(IF(0=LEN(ReferenceData!$AD$222),"",ReferenceData!$AD$222),"")</f>
        <v>51</v>
      </c>
      <c r="AE222">
        <f ca="1">IFERROR(IF(0=LEN(ReferenceData!$AE$222),"",ReferenceData!$AE$222),"")</f>
        <v>48</v>
      </c>
      <c r="AF222">
        <f ca="1">IFERROR(IF(0=LEN(ReferenceData!$AF$222),"",ReferenceData!$AF$222),"")</f>
        <v>48</v>
      </c>
      <c r="AG222">
        <f ca="1">IFERROR(IF(0=LEN(ReferenceData!$AG$222),"",ReferenceData!$AG$222),"")</f>
        <v>48</v>
      </c>
      <c r="AH222">
        <f ca="1">IFERROR(IF(0=LEN(ReferenceData!$AH$222),"",ReferenceData!$AH$222),"")</f>
        <v>46</v>
      </c>
      <c r="AI222">
        <f ca="1">IFERROR(IF(0=LEN(ReferenceData!$AI$222),"",ReferenceData!$AI$222),"")</f>
        <v>42</v>
      </c>
      <c r="AJ222">
        <f ca="1">IFERROR(IF(0=LEN(ReferenceData!$AJ$222),"",ReferenceData!$AJ$222),"")</f>
        <v>40</v>
      </c>
      <c r="AK222">
        <f ca="1">IFERROR(IF(0=LEN(ReferenceData!$AK$222),"",ReferenceData!$AK$222),"")</f>
        <v>53</v>
      </c>
      <c r="AL222">
        <f ca="1">IFERROR(IF(0=LEN(ReferenceData!$AL$222),"",ReferenceData!$AL$222),"")</f>
        <v>49</v>
      </c>
      <c r="AM222">
        <f ca="1">IFERROR(IF(0=LEN(ReferenceData!$AM$222),"",ReferenceData!$AM$222),"")</f>
        <v>53</v>
      </c>
      <c r="AN222">
        <f ca="1">IFERROR(IF(0=LEN(ReferenceData!$AN$222),"",ReferenceData!$AN$222),"")</f>
        <v>87</v>
      </c>
      <c r="AO222">
        <f ca="1">IFERROR(IF(0=LEN(ReferenceData!$AO$222),"",ReferenceData!$AO$222),"")</f>
        <v>81</v>
      </c>
      <c r="AP222">
        <f ca="1">IFERROR(IF(0=LEN(ReferenceData!$AP$222),"",ReferenceData!$AP$222),"")</f>
        <v>79</v>
      </c>
      <c r="AQ222">
        <f ca="1">IFERROR(IF(0=LEN(ReferenceData!$AQ$222),"",ReferenceData!$AQ$222),"")</f>
        <v>32</v>
      </c>
      <c r="AR222">
        <f ca="1">IFERROR(IF(0=LEN(ReferenceData!$AR$222),"",ReferenceData!$AR$222),"")</f>
        <v>23</v>
      </c>
      <c r="AS222">
        <f ca="1">IFERROR(IF(0=LEN(ReferenceData!$AS$222),"",ReferenceData!$AS$222),"")</f>
        <v>29</v>
      </c>
    </row>
    <row r="223" spans="1:45" x14ac:dyDescent="0.25">
      <c r="A223" t="str">
        <f>IFERROR(IF(0=LEN(ReferenceData!$A$223),"",ReferenceData!$A$223),"")</f>
        <v xml:space="preserve">    Volvo - Mack</v>
      </c>
      <c r="B223" t="str">
        <f>IFERROR(IF(0=LEN(ReferenceData!$B$223),"",ReferenceData!$B$223),"")</f>
        <v/>
      </c>
      <c r="C223" t="str">
        <f>IFERROR(IF(0=LEN(ReferenceData!$C$223),"",ReferenceData!$C$223),"")</f>
        <v/>
      </c>
      <c r="D223" t="str">
        <f>IFERROR(IF(0=LEN(ReferenceData!$D$223),"",ReferenceData!$D$223),"")</f>
        <v/>
      </c>
      <c r="E223" t="str">
        <f>IFERROR(IF(0=LEN(ReferenceData!$E$223),"",ReferenceData!$E$223),"")</f>
        <v>Expression</v>
      </c>
      <c r="F223" t="str">
        <f ca="1">IFERROR(IF(0=LEN(ReferenceData!$F$223),"",ReferenceData!$F$223),"")</f>
        <v/>
      </c>
      <c r="G223" t="str">
        <f ca="1">IFERROR(IF(0=LEN(ReferenceData!$G$223),"",ReferenceData!$G$223),"")</f>
        <v/>
      </c>
      <c r="H223" t="str">
        <f ca="1">IFERROR(IF(0=LEN(ReferenceData!$H$223),"",ReferenceData!$H$223),"")</f>
        <v/>
      </c>
      <c r="I223" t="str">
        <f ca="1">IFERROR(IF(0=LEN(ReferenceData!$I$223),"",ReferenceData!$I$223),"")</f>
        <v/>
      </c>
      <c r="J223" t="str">
        <f ca="1">IFERROR(IF(0=LEN(ReferenceData!$J$223),"",ReferenceData!$J$223),"")</f>
        <v/>
      </c>
      <c r="K223" t="str">
        <f ca="1">IFERROR(IF(0=LEN(ReferenceData!$K$223),"",ReferenceData!$K$223),"")</f>
        <v/>
      </c>
      <c r="L223" t="str">
        <f ca="1">IFERROR(IF(0=LEN(ReferenceData!$L$223),"",ReferenceData!$L$223),"")</f>
        <v/>
      </c>
      <c r="M223" t="str">
        <f ca="1">IFERROR(IF(0=LEN(ReferenceData!$M$223),"",ReferenceData!$M$223),"")</f>
        <v/>
      </c>
      <c r="N223" t="str">
        <f ca="1">IFERROR(IF(0=LEN(ReferenceData!$N$223),"",ReferenceData!$N$223),"")</f>
        <v/>
      </c>
      <c r="O223" t="str">
        <f ca="1">IFERROR(IF(0=LEN(ReferenceData!$O$223),"",ReferenceData!$O$223),"")</f>
        <v/>
      </c>
      <c r="P223" t="str">
        <f ca="1">IFERROR(IF(0=LEN(ReferenceData!$P$223),"",ReferenceData!$P$223),"")</f>
        <v/>
      </c>
      <c r="Q223" t="str">
        <f ca="1">IFERROR(IF(0=LEN(ReferenceData!$Q$223),"",ReferenceData!$Q$223),"")</f>
        <v/>
      </c>
      <c r="R223" t="str">
        <f ca="1">IFERROR(IF(0=LEN(ReferenceData!$R$223),"",ReferenceData!$R$223),"")</f>
        <v/>
      </c>
      <c r="S223" t="str">
        <f ca="1">IFERROR(IF(0=LEN(ReferenceData!$S$223),"",ReferenceData!$S$223),"")</f>
        <v/>
      </c>
      <c r="T223" t="str">
        <f ca="1">IFERROR(IF(0=LEN(ReferenceData!$T$223),"",ReferenceData!$T$223),"")</f>
        <v/>
      </c>
      <c r="U223" t="str">
        <f ca="1">IFERROR(IF(0=LEN(ReferenceData!$U$223),"",ReferenceData!$U$223),"")</f>
        <v/>
      </c>
      <c r="V223" t="str">
        <f ca="1">IFERROR(IF(0=LEN(ReferenceData!$V$223),"",ReferenceData!$V$223),"")</f>
        <v/>
      </c>
      <c r="W223" t="str">
        <f ca="1">IFERROR(IF(0=LEN(ReferenceData!$W$223),"",ReferenceData!$W$223),"")</f>
        <v/>
      </c>
      <c r="X223" t="str">
        <f ca="1">IFERROR(IF(0=LEN(ReferenceData!$X$223),"",ReferenceData!$X$223),"")</f>
        <v/>
      </c>
      <c r="Y223" t="str">
        <f ca="1">IFERROR(IF(0=LEN(ReferenceData!$Y$223),"",ReferenceData!$Y$223),"")</f>
        <v/>
      </c>
      <c r="Z223" t="str">
        <f ca="1">IFERROR(IF(0=LEN(ReferenceData!$Z$223),"",ReferenceData!$Z$223),"")</f>
        <v/>
      </c>
      <c r="AA223" t="str">
        <f ca="1">IFERROR(IF(0=LEN(ReferenceData!$AA$223),"",ReferenceData!$AA$223),"")</f>
        <v/>
      </c>
      <c r="AB223" t="str">
        <f ca="1">IFERROR(IF(0=LEN(ReferenceData!$AB$223),"",ReferenceData!$AB$223),"")</f>
        <v/>
      </c>
      <c r="AC223" t="str">
        <f ca="1">IFERROR(IF(0=LEN(ReferenceData!$AC$223),"",ReferenceData!$AC$223),"")</f>
        <v/>
      </c>
      <c r="AD223" t="str">
        <f ca="1">IFERROR(IF(0=LEN(ReferenceData!$AD$223),"",ReferenceData!$AD$223),"")</f>
        <v/>
      </c>
      <c r="AE223" t="str">
        <f ca="1">IFERROR(IF(0=LEN(ReferenceData!$AE$223),"",ReferenceData!$AE$223),"")</f>
        <v/>
      </c>
      <c r="AF223" t="str">
        <f ca="1">IFERROR(IF(0=LEN(ReferenceData!$AF$223),"",ReferenceData!$AF$223),"")</f>
        <v/>
      </c>
      <c r="AG223" t="str">
        <f ca="1">IFERROR(IF(0=LEN(ReferenceData!$AG$223),"",ReferenceData!$AG$223),"")</f>
        <v/>
      </c>
      <c r="AH223" t="str">
        <f ca="1">IFERROR(IF(0=LEN(ReferenceData!$AH$223),"",ReferenceData!$AH$223),"")</f>
        <v/>
      </c>
      <c r="AI223" t="str">
        <f ca="1">IFERROR(IF(0=LEN(ReferenceData!$AI$223),"",ReferenceData!$AI$223),"")</f>
        <v/>
      </c>
      <c r="AJ223" t="str">
        <f ca="1">IFERROR(IF(0=LEN(ReferenceData!$AJ$223),"",ReferenceData!$AJ$223),"")</f>
        <v/>
      </c>
      <c r="AK223" t="str">
        <f ca="1">IFERROR(IF(0=LEN(ReferenceData!$AK$223),"",ReferenceData!$AK$223),"")</f>
        <v/>
      </c>
      <c r="AL223" t="str">
        <f ca="1">IFERROR(IF(0=LEN(ReferenceData!$AL$223),"",ReferenceData!$AL$223),"")</f>
        <v/>
      </c>
      <c r="AM223" t="str">
        <f ca="1">IFERROR(IF(0=LEN(ReferenceData!$AM$223),"",ReferenceData!$AM$223),"")</f>
        <v/>
      </c>
      <c r="AN223" t="str">
        <f ca="1">IFERROR(IF(0=LEN(ReferenceData!$AN$223),"",ReferenceData!$AN$223),"")</f>
        <v/>
      </c>
      <c r="AO223" t="str">
        <f ca="1">IFERROR(IF(0=LEN(ReferenceData!$AO$223),"",ReferenceData!$AO$223),"")</f>
        <v/>
      </c>
      <c r="AP223" t="str">
        <f ca="1">IFERROR(IF(0=LEN(ReferenceData!$AP$223),"",ReferenceData!$AP$223),"")</f>
        <v/>
      </c>
      <c r="AQ223" t="str">
        <f ca="1">IFERROR(IF(0=LEN(ReferenceData!$AQ$223),"",ReferenceData!$AQ$223),"")</f>
        <v/>
      </c>
      <c r="AR223" t="str">
        <f ca="1">IFERROR(IF(0=LEN(ReferenceData!$AR$223),"",ReferenceData!$AR$223),"")</f>
        <v/>
      </c>
      <c r="AS223" t="str">
        <f ca="1">IFERROR(IF(0=LEN(ReferenceData!$AS$223),"",ReferenceData!$AS$223),"")</f>
        <v/>
      </c>
    </row>
    <row r="224" spans="1:45" x14ac:dyDescent="0.25">
      <c r="A224" t="str">
        <f>IFERROR(IF(0=LEN(ReferenceData!$A$224),"",ReferenceData!$A$224),"")</f>
        <v xml:space="preserve">    Volvo - UD Truck</v>
      </c>
      <c r="B224" t="str">
        <f>IFERROR(IF(0=LEN(ReferenceData!$B$224),"",ReferenceData!$B$224),"")</f>
        <v/>
      </c>
      <c r="C224" t="str">
        <f>IFERROR(IF(0=LEN(ReferenceData!$C$224),"",ReferenceData!$C$224),"")</f>
        <v/>
      </c>
      <c r="D224" t="str">
        <f>IFERROR(IF(0=LEN(ReferenceData!$D$224),"",ReferenceData!$D$224),"")</f>
        <v/>
      </c>
      <c r="E224" t="str">
        <f>IFERROR(IF(0=LEN(ReferenceData!$E$224),"",ReferenceData!$E$224),"")</f>
        <v>Expression</v>
      </c>
      <c r="F224" t="str">
        <f ca="1">IFERROR(IF(0=LEN(ReferenceData!$F$224),"",ReferenceData!$F$224),"")</f>
        <v/>
      </c>
      <c r="G224" t="str">
        <f ca="1">IFERROR(IF(0=LEN(ReferenceData!$G$224),"",ReferenceData!$G$224),"")</f>
        <v/>
      </c>
      <c r="H224" t="str">
        <f ca="1">IFERROR(IF(0=LEN(ReferenceData!$H$224),"",ReferenceData!$H$224),"")</f>
        <v/>
      </c>
      <c r="I224" t="str">
        <f ca="1">IFERROR(IF(0=LEN(ReferenceData!$I$224),"",ReferenceData!$I$224),"")</f>
        <v/>
      </c>
      <c r="J224" t="str">
        <f ca="1">IFERROR(IF(0=LEN(ReferenceData!$J$224),"",ReferenceData!$J$224),"")</f>
        <v/>
      </c>
      <c r="K224" t="str">
        <f ca="1">IFERROR(IF(0=LEN(ReferenceData!$K$224),"",ReferenceData!$K$224),"")</f>
        <v/>
      </c>
      <c r="L224" t="str">
        <f ca="1">IFERROR(IF(0=LEN(ReferenceData!$L$224),"",ReferenceData!$L$224),"")</f>
        <v/>
      </c>
      <c r="M224" t="str">
        <f ca="1">IFERROR(IF(0=LEN(ReferenceData!$M$224),"",ReferenceData!$M$224),"")</f>
        <v/>
      </c>
      <c r="N224" t="str">
        <f ca="1">IFERROR(IF(0=LEN(ReferenceData!$N$224),"",ReferenceData!$N$224),"")</f>
        <v/>
      </c>
      <c r="O224" t="str">
        <f ca="1">IFERROR(IF(0=LEN(ReferenceData!$O$224),"",ReferenceData!$O$224),"")</f>
        <v/>
      </c>
      <c r="P224" t="str">
        <f ca="1">IFERROR(IF(0=LEN(ReferenceData!$P$224),"",ReferenceData!$P$224),"")</f>
        <v/>
      </c>
      <c r="Q224" t="str">
        <f ca="1">IFERROR(IF(0=LEN(ReferenceData!$Q$224),"",ReferenceData!$Q$224),"")</f>
        <v/>
      </c>
      <c r="R224" t="str">
        <f ca="1">IFERROR(IF(0=LEN(ReferenceData!$R$224),"",ReferenceData!$R$224),"")</f>
        <v/>
      </c>
      <c r="S224" t="str">
        <f ca="1">IFERROR(IF(0=LEN(ReferenceData!$S$224),"",ReferenceData!$S$224),"")</f>
        <v/>
      </c>
      <c r="T224" t="str">
        <f ca="1">IFERROR(IF(0=LEN(ReferenceData!$T$224),"",ReferenceData!$T$224),"")</f>
        <v/>
      </c>
      <c r="U224" t="str">
        <f ca="1">IFERROR(IF(0=LEN(ReferenceData!$U$224),"",ReferenceData!$U$224),"")</f>
        <v/>
      </c>
      <c r="V224" t="str">
        <f ca="1">IFERROR(IF(0=LEN(ReferenceData!$V$224),"",ReferenceData!$V$224),"")</f>
        <v/>
      </c>
      <c r="W224" t="str">
        <f ca="1">IFERROR(IF(0=LEN(ReferenceData!$W$224),"",ReferenceData!$W$224),"")</f>
        <v/>
      </c>
      <c r="X224" t="str">
        <f ca="1">IFERROR(IF(0=LEN(ReferenceData!$X$224),"",ReferenceData!$X$224),"")</f>
        <v/>
      </c>
      <c r="Y224" t="str">
        <f ca="1">IFERROR(IF(0=LEN(ReferenceData!$Y$224),"",ReferenceData!$Y$224),"")</f>
        <v/>
      </c>
      <c r="Z224" t="str">
        <f ca="1">IFERROR(IF(0=LEN(ReferenceData!$Z$224),"",ReferenceData!$Z$224),"")</f>
        <v/>
      </c>
      <c r="AA224" t="str">
        <f ca="1">IFERROR(IF(0=LEN(ReferenceData!$AA$224),"",ReferenceData!$AA$224),"")</f>
        <v/>
      </c>
      <c r="AB224" t="str">
        <f ca="1">IFERROR(IF(0=LEN(ReferenceData!$AB$224),"",ReferenceData!$AB$224),"")</f>
        <v/>
      </c>
      <c r="AC224" t="str">
        <f ca="1">IFERROR(IF(0=LEN(ReferenceData!$AC$224),"",ReferenceData!$AC$224),"")</f>
        <v/>
      </c>
      <c r="AD224" t="str">
        <f ca="1">IFERROR(IF(0=LEN(ReferenceData!$AD$224),"",ReferenceData!$AD$224),"")</f>
        <v/>
      </c>
      <c r="AE224" t="str">
        <f ca="1">IFERROR(IF(0=LEN(ReferenceData!$AE$224),"",ReferenceData!$AE$224),"")</f>
        <v/>
      </c>
      <c r="AF224" t="str">
        <f ca="1">IFERROR(IF(0=LEN(ReferenceData!$AF$224),"",ReferenceData!$AF$224),"")</f>
        <v/>
      </c>
      <c r="AG224" t="str">
        <f ca="1">IFERROR(IF(0=LEN(ReferenceData!$AG$224),"",ReferenceData!$AG$224),"")</f>
        <v/>
      </c>
      <c r="AH224" t="str">
        <f ca="1">IFERROR(IF(0=LEN(ReferenceData!$AH$224),"",ReferenceData!$AH$224),"")</f>
        <v/>
      </c>
      <c r="AI224" t="str">
        <f ca="1">IFERROR(IF(0=LEN(ReferenceData!$AI$224),"",ReferenceData!$AI$224),"")</f>
        <v/>
      </c>
      <c r="AJ224" t="str">
        <f ca="1">IFERROR(IF(0=LEN(ReferenceData!$AJ$224),"",ReferenceData!$AJ$224),"")</f>
        <v/>
      </c>
      <c r="AK224" t="str">
        <f ca="1">IFERROR(IF(0=LEN(ReferenceData!$AK$224),"",ReferenceData!$AK$224),"")</f>
        <v/>
      </c>
      <c r="AL224" t="str">
        <f ca="1">IFERROR(IF(0=LEN(ReferenceData!$AL$224),"",ReferenceData!$AL$224),"")</f>
        <v/>
      </c>
      <c r="AM224" t="str">
        <f ca="1">IFERROR(IF(0=LEN(ReferenceData!$AM$224),"",ReferenceData!$AM$224),"")</f>
        <v/>
      </c>
      <c r="AN224" t="str">
        <f ca="1">IFERROR(IF(0=LEN(ReferenceData!$AN$224),"",ReferenceData!$AN$224),"")</f>
        <v/>
      </c>
      <c r="AO224" t="str">
        <f ca="1">IFERROR(IF(0=LEN(ReferenceData!$AO$224),"",ReferenceData!$AO$224),"")</f>
        <v/>
      </c>
      <c r="AP224" t="str">
        <f ca="1">IFERROR(IF(0=LEN(ReferenceData!$AP$224),"",ReferenceData!$AP$224),"")</f>
        <v/>
      </c>
      <c r="AQ224" t="str">
        <f ca="1">IFERROR(IF(0=LEN(ReferenceData!$AQ$224),"",ReferenceData!$AQ$224),"")</f>
        <v/>
      </c>
      <c r="AR224" t="str">
        <f ca="1">IFERROR(IF(0=LEN(ReferenceData!$AR$224),"",ReferenceData!$AR$224),"")</f>
        <v/>
      </c>
      <c r="AS224" t="str">
        <f ca="1">IFERROR(IF(0=LEN(ReferenceData!$AS$224),"",ReferenceData!$AS$224),"")</f>
        <v/>
      </c>
    </row>
    <row r="225" spans="1:45" x14ac:dyDescent="0.25">
      <c r="A225" t="str">
        <f>IFERROR(IF(0=LEN(ReferenceData!$A$225),"",ReferenceData!$A$225),"")</f>
        <v xml:space="preserve">    Volvo - Volvo Truck</v>
      </c>
      <c r="B225" t="str">
        <f>IFERROR(IF(0=LEN(ReferenceData!$B$225),"",ReferenceData!$B$225),"")</f>
        <v/>
      </c>
      <c r="C225" t="str">
        <f>IFERROR(IF(0=LEN(ReferenceData!$C$225),"",ReferenceData!$C$225),"")</f>
        <v/>
      </c>
      <c r="D225" t="str">
        <f>IFERROR(IF(0=LEN(ReferenceData!$D$225),"",ReferenceData!$D$225),"")</f>
        <v/>
      </c>
      <c r="E225" t="str">
        <f>IFERROR(IF(0=LEN(ReferenceData!$E$225),"",ReferenceData!$E$225),"")</f>
        <v>Expression</v>
      </c>
      <c r="F225" t="str">
        <f ca="1">IFERROR(IF(0=LEN(ReferenceData!$F$225),"",ReferenceData!$F$225),"")</f>
        <v/>
      </c>
      <c r="G225" t="str">
        <f ca="1">IFERROR(IF(0=LEN(ReferenceData!$G$225),"",ReferenceData!$G$225),"")</f>
        <v/>
      </c>
      <c r="H225" t="str">
        <f ca="1">IFERROR(IF(0=LEN(ReferenceData!$H$225),"",ReferenceData!$H$225),"")</f>
        <v/>
      </c>
      <c r="I225" t="str">
        <f ca="1">IFERROR(IF(0=LEN(ReferenceData!$I$225),"",ReferenceData!$I$225),"")</f>
        <v/>
      </c>
      <c r="J225" t="str">
        <f ca="1">IFERROR(IF(0=LEN(ReferenceData!$J$225),"",ReferenceData!$J$225),"")</f>
        <v/>
      </c>
      <c r="K225" t="str">
        <f ca="1">IFERROR(IF(0=LEN(ReferenceData!$K$225),"",ReferenceData!$K$225),"")</f>
        <v/>
      </c>
      <c r="L225" t="str">
        <f ca="1">IFERROR(IF(0=LEN(ReferenceData!$L$225),"",ReferenceData!$L$225),"")</f>
        <v/>
      </c>
      <c r="M225" t="str">
        <f ca="1">IFERROR(IF(0=LEN(ReferenceData!$M$225),"",ReferenceData!$M$225),"")</f>
        <v/>
      </c>
      <c r="N225" t="str">
        <f ca="1">IFERROR(IF(0=LEN(ReferenceData!$N$225),"",ReferenceData!$N$225),"")</f>
        <v/>
      </c>
      <c r="O225" t="str">
        <f ca="1">IFERROR(IF(0=LEN(ReferenceData!$O$225),"",ReferenceData!$O$225),"")</f>
        <v/>
      </c>
      <c r="P225" t="str">
        <f ca="1">IFERROR(IF(0=LEN(ReferenceData!$P$225),"",ReferenceData!$P$225),"")</f>
        <v/>
      </c>
      <c r="Q225" t="str">
        <f ca="1">IFERROR(IF(0=LEN(ReferenceData!$Q$225),"",ReferenceData!$Q$225),"")</f>
        <v/>
      </c>
      <c r="R225" t="str">
        <f ca="1">IFERROR(IF(0=LEN(ReferenceData!$R$225),"",ReferenceData!$R$225),"")</f>
        <v/>
      </c>
      <c r="S225" t="str">
        <f ca="1">IFERROR(IF(0=LEN(ReferenceData!$S$225),"",ReferenceData!$S$225),"")</f>
        <v/>
      </c>
      <c r="T225" t="str">
        <f ca="1">IFERROR(IF(0=LEN(ReferenceData!$T$225),"",ReferenceData!$T$225),"")</f>
        <v/>
      </c>
      <c r="U225" t="str">
        <f ca="1">IFERROR(IF(0=LEN(ReferenceData!$U$225),"",ReferenceData!$U$225),"")</f>
        <v/>
      </c>
      <c r="V225" t="str">
        <f ca="1">IFERROR(IF(0=LEN(ReferenceData!$V$225),"",ReferenceData!$V$225),"")</f>
        <v/>
      </c>
      <c r="W225" t="str">
        <f ca="1">IFERROR(IF(0=LEN(ReferenceData!$W$225),"",ReferenceData!$W$225),"")</f>
        <v/>
      </c>
      <c r="X225" t="str">
        <f ca="1">IFERROR(IF(0=LEN(ReferenceData!$X$225),"",ReferenceData!$X$225),"")</f>
        <v/>
      </c>
      <c r="Y225" t="str">
        <f ca="1">IFERROR(IF(0=LEN(ReferenceData!$Y$225),"",ReferenceData!$Y$225),"")</f>
        <v/>
      </c>
      <c r="Z225" t="str">
        <f ca="1">IFERROR(IF(0=LEN(ReferenceData!$Z$225),"",ReferenceData!$Z$225),"")</f>
        <v/>
      </c>
      <c r="AA225" t="str">
        <f ca="1">IFERROR(IF(0=LEN(ReferenceData!$AA$225),"",ReferenceData!$AA$225),"")</f>
        <v/>
      </c>
      <c r="AB225" t="str">
        <f ca="1">IFERROR(IF(0=LEN(ReferenceData!$AB$225),"",ReferenceData!$AB$225),"")</f>
        <v/>
      </c>
      <c r="AC225" t="str">
        <f ca="1">IFERROR(IF(0=LEN(ReferenceData!$AC$225),"",ReferenceData!$AC$225),"")</f>
        <v/>
      </c>
      <c r="AD225" t="str">
        <f ca="1">IFERROR(IF(0=LEN(ReferenceData!$AD$225),"",ReferenceData!$AD$225),"")</f>
        <v/>
      </c>
      <c r="AE225" t="str">
        <f ca="1">IFERROR(IF(0=LEN(ReferenceData!$AE$225),"",ReferenceData!$AE$225),"")</f>
        <v/>
      </c>
      <c r="AF225" t="str">
        <f ca="1">IFERROR(IF(0=LEN(ReferenceData!$AF$225),"",ReferenceData!$AF$225),"")</f>
        <v/>
      </c>
      <c r="AG225" t="str">
        <f ca="1">IFERROR(IF(0=LEN(ReferenceData!$AG$225),"",ReferenceData!$AG$225),"")</f>
        <v/>
      </c>
      <c r="AH225" t="str">
        <f ca="1">IFERROR(IF(0=LEN(ReferenceData!$AH$225),"",ReferenceData!$AH$225),"")</f>
        <v/>
      </c>
      <c r="AI225" t="str">
        <f ca="1">IFERROR(IF(0=LEN(ReferenceData!$AI$225),"",ReferenceData!$AI$225),"")</f>
        <v/>
      </c>
      <c r="AJ225" t="str">
        <f ca="1">IFERROR(IF(0=LEN(ReferenceData!$AJ$225),"",ReferenceData!$AJ$225),"")</f>
        <v/>
      </c>
      <c r="AK225" t="str">
        <f ca="1">IFERROR(IF(0=LEN(ReferenceData!$AK$225),"",ReferenceData!$AK$225),"")</f>
        <v/>
      </c>
      <c r="AL225" t="str">
        <f ca="1">IFERROR(IF(0=LEN(ReferenceData!$AL$225),"",ReferenceData!$AL$225),"")</f>
        <v/>
      </c>
      <c r="AM225" t="str">
        <f ca="1">IFERROR(IF(0=LEN(ReferenceData!$AM$225),"",ReferenceData!$AM$225),"")</f>
        <v/>
      </c>
      <c r="AN225" t="str">
        <f ca="1">IFERROR(IF(0=LEN(ReferenceData!$AN$225),"",ReferenceData!$AN$225),"")</f>
        <v/>
      </c>
      <c r="AO225" t="str">
        <f ca="1">IFERROR(IF(0=LEN(ReferenceData!$AO$225),"",ReferenceData!$AO$225),"")</f>
        <v/>
      </c>
      <c r="AP225" t="str">
        <f ca="1">IFERROR(IF(0=LEN(ReferenceData!$AP$225),"",ReferenceData!$AP$225),"")</f>
        <v/>
      </c>
      <c r="AQ225" t="str">
        <f ca="1">IFERROR(IF(0=LEN(ReferenceData!$AQ$225),"",ReferenceData!$AQ$225),"")</f>
        <v/>
      </c>
      <c r="AR225" t="str">
        <f ca="1">IFERROR(IF(0=LEN(ReferenceData!$AR$225),"",ReferenceData!$AR$225),"")</f>
        <v/>
      </c>
      <c r="AS225" t="str">
        <f ca="1">IFERROR(IF(0=LEN(ReferenceData!$AS$225),"",ReferenceData!$AS$225),"")</f>
        <v/>
      </c>
    </row>
    <row r="226" spans="1:45" x14ac:dyDescent="0.25">
      <c r="A226" t="str">
        <f>IFERROR(IF(0=LEN(ReferenceData!$A$226),"",ReferenceData!$A$226),"")</f>
        <v xml:space="preserve">    Isuzu</v>
      </c>
      <c r="B226" t="str">
        <f>IFERROR(IF(0=LEN(ReferenceData!$B$226),"",ReferenceData!$B$226),"")</f>
        <v/>
      </c>
      <c r="C226" t="str">
        <f>IFERROR(IF(0=LEN(ReferenceData!$C$226),"",ReferenceData!$C$226),"")</f>
        <v/>
      </c>
      <c r="D226" t="str">
        <f>IFERROR(IF(0=LEN(ReferenceData!$D$226),"",ReferenceData!$D$226),"")</f>
        <v/>
      </c>
      <c r="E226" t="str">
        <f>IFERROR(IF(0=LEN(ReferenceData!$E$226),"",ReferenceData!$E$226),"")</f>
        <v>Expression</v>
      </c>
      <c r="F226" t="str">
        <f ca="1">IFERROR(IF(0=LEN(ReferenceData!$F$226),"",ReferenceData!$F$226),"")</f>
        <v/>
      </c>
      <c r="G226">
        <f ca="1">IFERROR(IF(0=LEN(ReferenceData!$G$226),"",ReferenceData!$G$226),"")</f>
        <v>39</v>
      </c>
      <c r="H226">
        <f ca="1">IFERROR(IF(0=LEN(ReferenceData!$H$226),"",ReferenceData!$H$226),"")</f>
        <v>26</v>
      </c>
      <c r="I226">
        <f ca="1">IFERROR(IF(0=LEN(ReferenceData!$I$226),"",ReferenceData!$I$226),"")</f>
        <v>4</v>
      </c>
      <c r="J226">
        <f ca="1">IFERROR(IF(0=LEN(ReferenceData!$J$226),"",ReferenceData!$J$226),"")</f>
        <v>0</v>
      </c>
      <c r="K226">
        <f ca="1">IFERROR(IF(0=LEN(ReferenceData!$K$226),"",ReferenceData!$K$226),"")</f>
        <v>0</v>
      </c>
      <c r="L226">
        <f ca="1">IFERROR(IF(0=LEN(ReferenceData!$L$226),"",ReferenceData!$L$226),"")</f>
        <v>0</v>
      </c>
      <c r="M226">
        <f ca="1">IFERROR(IF(0=LEN(ReferenceData!$M$226),"",ReferenceData!$M$226),"")</f>
        <v>0</v>
      </c>
      <c r="N226">
        <f ca="1">IFERROR(IF(0=LEN(ReferenceData!$N$226),"",ReferenceData!$N$226),"")</f>
        <v>0</v>
      </c>
      <c r="O226">
        <f ca="1">IFERROR(IF(0=LEN(ReferenceData!$O$226),"",ReferenceData!$O$226),"")</f>
        <v>0</v>
      </c>
      <c r="P226">
        <f ca="1">IFERROR(IF(0=LEN(ReferenceData!$P$226),"",ReferenceData!$P$226),"")</f>
        <v>42</v>
      </c>
      <c r="Q226">
        <f ca="1">IFERROR(IF(0=LEN(ReferenceData!$Q$226),"",ReferenceData!$Q$226),"")</f>
        <v>36</v>
      </c>
      <c r="R226">
        <f ca="1">IFERROR(IF(0=LEN(ReferenceData!$R$226),"",ReferenceData!$R$226),"")</f>
        <v>19</v>
      </c>
      <c r="S226">
        <f ca="1">IFERROR(IF(0=LEN(ReferenceData!$S$226),"",ReferenceData!$S$226),"")</f>
        <v>32</v>
      </c>
      <c r="T226">
        <f ca="1">IFERROR(IF(0=LEN(ReferenceData!$T$226),"",ReferenceData!$T$226),"")</f>
        <v>38</v>
      </c>
      <c r="U226">
        <f ca="1">IFERROR(IF(0=LEN(ReferenceData!$U$226),"",ReferenceData!$U$226),"")</f>
        <v>31</v>
      </c>
      <c r="V226">
        <f ca="1">IFERROR(IF(0=LEN(ReferenceData!$V$226),"",ReferenceData!$V$226),"")</f>
        <v>26</v>
      </c>
      <c r="W226">
        <f ca="1">IFERROR(IF(0=LEN(ReferenceData!$W$226),"",ReferenceData!$W$226),"")</f>
        <v>31</v>
      </c>
      <c r="X226">
        <f ca="1">IFERROR(IF(0=LEN(ReferenceData!$X$226),"",ReferenceData!$X$226),"")</f>
        <v>33</v>
      </c>
      <c r="Y226">
        <f ca="1">IFERROR(IF(0=LEN(ReferenceData!$Y$226),"",ReferenceData!$Y$226),"")</f>
        <v>21</v>
      </c>
      <c r="Z226">
        <f ca="1">IFERROR(IF(0=LEN(ReferenceData!$Z$226),"",ReferenceData!$Z$226),"")</f>
        <v>28</v>
      </c>
      <c r="AA226">
        <f ca="1">IFERROR(IF(0=LEN(ReferenceData!$AA$226),"",ReferenceData!$AA$226),"")</f>
        <v>23</v>
      </c>
      <c r="AB226" t="str">
        <f ca="1">IFERROR(IF(0=LEN(ReferenceData!$AB$226),"",ReferenceData!$AB$226),"")</f>
        <v/>
      </c>
      <c r="AC226" t="str">
        <f ca="1">IFERROR(IF(0=LEN(ReferenceData!$AC$226),"",ReferenceData!$AC$226),"")</f>
        <v/>
      </c>
      <c r="AD226" t="str">
        <f ca="1">IFERROR(IF(0=LEN(ReferenceData!$AD$226),"",ReferenceData!$AD$226),"")</f>
        <v/>
      </c>
      <c r="AE226" t="str">
        <f ca="1">IFERROR(IF(0=LEN(ReferenceData!$AE$226),"",ReferenceData!$AE$226),"")</f>
        <v/>
      </c>
      <c r="AF226" t="str">
        <f ca="1">IFERROR(IF(0=LEN(ReferenceData!$AF$226),"",ReferenceData!$AF$226),"")</f>
        <v/>
      </c>
      <c r="AG226" t="str">
        <f ca="1">IFERROR(IF(0=LEN(ReferenceData!$AG$226),"",ReferenceData!$AG$226),"")</f>
        <v/>
      </c>
      <c r="AH226" t="str">
        <f ca="1">IFERROR(IF(0=LEN(ReferenceData!$AH$226),"",ReferenceData!$AH$226),"")</f>
        <v/>
      </c>
      <c r="AI226" t="str">
        <f ca="1">IFERROR(IF(0=LEN(ReferenceData!$AI$226),"",ReferenceData!$AI$226),"")</f>
        <v/>
      </c>
      <c r="AJ226" t="str">
        <f ca="1">IFERROR(IF(0=LEN(ReferenceData!$AJ$226),"",ReferenceData!$AJ$226),"")</f>
        <v/>
      </c>
      <c r="AK226" t="str">
        <f ca="1">IFERROR(IF(0=LEN(ReferenceData!$AK$226),"",ReferenceData!$AK$226),"")</f>
        <v/>
      </c>
      <c r="AL226" t="str">
        <f ca="1">IFERROR(IF(0=LEN(ReferenceData!$AL$226),"",ReferenceData!$AL$226),"")</f>
        <v/>
      </c>
      <c r="AM226" t="str">
        <f ca="1">IFERROR(IF(0=LEN(ReferenceData!$AM$226),"",ReferenceData!$AM$226),"")</f>
        <v/>
      </c>
      <c r="AN226" t="str">
        <f ca="1">IFERROR(IF(0=LEN(ReferenceData!$AN$226),"",ReferenceData!$AN$226),"")</f>
        <v/>
      </c>
      <c r="AO226" t="str">
        <f ca="1">IFERROR(IF(0=LEN(ReferenceData!$AO$226),"",ReferenceData!$AO$226),"")</f>
        <v/>
      </c>
      <c r="AP226" t="str">
        <f ca="1">IFERROR(IF(0=LEN(ReferenceData!$AP$226),"",ReferenceData!$AP$226),"")</f>
        <v/>
      </c>
      <c r="AQ226" t="str">
        <f ca="1">IFERROR(IF(0=LEN(ReferenceData!$AQ$226),"",ReferenceData!$AQ$226),"")</f>
        <v/>
      </c>
      <c r="AR226" t="str">
        <f ca="1">IFERROR(IF(0=LEN(ReferenceData!$AR$226),"",ReferenceData!$AR$226),"")</f>
        <v/>
      </c>
      <c r="AS226" t="str">
        <f ca="1">IFERROR(IF(0=LEN(ReferenceData!$AS$226),"",ReferenceData!$AS$226),"")</f>
        <v/>
      </c>
    </row>
    <row r="227" spans="1:45" x14ac:dyDescent="0.25">
      <c r="A227" t="str">
        <f>IFERROR(IF(0=LEN(ReferenceData!$A$227),"",ReferenceData!$A$227),"")</f>
        <v xml:space="preserve">    Dina Camiones</v>
      </c>
      <c r="B227" t="str">
        <f>IFERROR(IF(0=LEN(ReferenceData!$B$227),"",ReferenceData!$B$227),"")</f>
        <v/>
      </c>
      <c r="C227" t="str">
        <f>IFERROR(IF(0=LEN(ReferenceData!$C$227),"",ReferenceData!$C$227),"")</f>
        <v/>
      </c>
      <c r="D227" t="str">
        <f>IFERROR(IF(0=LEN(ReferenceData!$D$227),"",ReferenceData!$D$227),"")</f>
        <v/>
      </c>
      <c r="E227" t="str">
        <f>IFERROR(IF(0=LEN(ReferenceData!$E$227),"",ReferenceData!$E$227),"")</f>
        <v>Expression</v>
      </c>
      <c r="F227" t="str">
        <f ca="1">IFERROR(IF(0=LEN(ReferenceData!$F$227),"",ReferenceData!$F$227),"")</f>
        <v/>
      </c>
      <c r="G227" t="str">
        <f ca="1">IFERROR(IF(0=LEN(ReferenceData!$G$227),"",ReferenceData!$G$227),"")</f>
        <v/>
      </c>
      <c r="H227" t="str">
        <f ca="1">IFERROR(IF(0=LEN(ReferenceData!$H$227),"",ReferenceData!$H$227),"")</f>
        <v/>
      </c>
      <c r="I227" t="str">
        <f ca="1">IFERROR(IF(0=LEN(ReferenceData!$I$227),"",ReferenceData!$I$227),"")</f>
        <v/>
      </c>
      <c r="J227" t="str">
        <f ca="1">IFERROR(IF(0=LEN(ReferenceData!$J$227),"",ReferenceData!$J$227),"")</f>
        <v/>
      </c>
      <c r="K227" t="str">
        <f ca="1">IFERROR(IF(0=LEN(ReferenceData!$K$227),"",ReferenceData!$K$227),"")</f>
        <v/>
      </c>
      <c r="L227" t="str">
        <f ca="1">IFERROR(IF(0=LEN(ReferenceData!$L$227),"",ReferenceData!$L$227),"")</f>
        <v/>
      </c>
      <c r="M227" t="str">
        <f ca="1">IFERROR(IF(0=LEN(ReferenceData!$M$227),"",ReferenceData!$M$227),"")</f>
        <v/>
      </c>
      <c r="N227" t="str">
        <f ca="1">IFERROR(IF(0=LEN(ReferenceData!$N$227),"",ReferenceData!$N$227),"")</f>
        <v/>
      </c>
      <c r="O227" t="str">
        <f ca="1">IFERROR(IF(0=LEN(ReferenceData!$O$227),"",ReferenceData!$O$227),"")</f>
        <v/>
      </c>
      <c r="P227">
        <f ca="1">IFERROR(IF(0=LEN(ReferenceData!$P$227),"",ReferenceData!$P$227),"")</f>
        <v>14</v>
      </c>
      <c r="Q227">
        <f ca="1">IFERROR(IF(0=LEN(ReferenceData!$Q$227),"",ReferenceData!$Q$227),"")</f>
        <v>12</v>
      </c>
      <c r="R227">
        <f ca="1">IFERROR(IF(0=LEN(ReferenceData!$R$227),"",ReferenceData!$R$227),"")</f>
        <v>10</v>
      </c>
      <c r="S227">
        <f ca="1">IFERROR(IF(0=LEN(ReferenceData!$S$227),"",ReferenceData!$S$227),"")</f>
        <v>10</v>
      </c>
      <c r="T227">
        <f ca="1">IFERROR(IF(0=LEN(ReferenceData!$T$227),"",ReferenceData!$T$227),"")</f>
        <v>14</v>
      </c>
      <c r="U227">
        <f ca="1">IFERROR(IF(0=LEN(ReferenceData!$U$227),"",ReferenceData!$U$227),"")</f>
        <v>12</v>
      </c>
      <c r="V227">
        <f ca="1">IFERROR(IF(0=LEN(ReferenceData!$V$227),"",ReferenceData!$V$227),"")</f>
        <v>15</v>
      </c>
      <c r="W227">
        <f ca="1">IFERROR(IF(0=LEN(ReferenceData!$W$227),"",ReferenceData!$W$227),"")</f>
        <v>10</v>
      </c>
      <c r="X227">
        <f ca="1">IFERROR(IF(0=LEN(ReferenceData!$X$227),"",ReferenceData!$X$227),"")</f>
        <v>9</v>
      </c>
      <c r="Y227">
        <f ca="1">IFERROR(IF(0=LEN(ReferenceData!$Y$227),"",ReferenceData!$Y$227),"")</f>
        <v>13</v>
      </c>
      <c r="Z227">
        <f ca="1">IFERROR(IF(0=LEN(ReferenceData!$Z$227),"",ReferenceData!$Z$227),"")</f>
        <v>8</v>
      </c>
      <c r="AA227">
        <f ca="1">IFERROR(IF(0=LEN(ReferenceData!$AA$227),"",ReferenceData!$AA$227),"")</f>
        <v>6</v>
      </c>
      <c r="AB227">
        <f ca="1">IFERROR(IF(0=LEN(ReferenceData!$AB$227),"",ReferenceData!$AB$227),"")</f>
        <v>52</v>
      </c>
      <c r="AC227">
        <f ca="1">IFERROR(IF(0=LEN(ReferenceData!$AC$227),"",ReferenceData!$AC$227),"")</f>
        <v>42</v>
      </c>
      <c r="AD227">
        <f ca="1">IFERROR(IF(0=LEN(ReferenceData!$AD$227),"",ReferenceData!$AD$227),"")</f>
        <v>39</v>
      </c>
      <c r="AE227">
        <f ca="1">IFERROR(IF(0=LEN(ReferenceData!$AE$227),"",ReferenceData!$AE$227),"")</f>
        <v>37</v>
      </c>
      <c r="AF227">
        <f ca="1">IFERROR(IF(0=LEN(ReferenceData!$AF$227),"",ReferenceData!$AF$227),"")</f>
        <v>37</v>
      </c>
      <c r="AG227">
        <f ca="1">IFERROR(IF(0=LEN(ReferenceData!$AG$227),"",ReferenceData!$AG$227),"")</f>
        <v>37</v>
      </c>
      <c r="AH227">
        <f ca="1">IFERROR(IF(0=LEN(ReferenceData!$AH$227),"",ReferenceData!$AH$227),"")</f>
        <v>35</v>
      </c>
      <c r="AI227">
        <f ca="1">IFERROR(IF(0=LEN(ReferenceData!$AI$227),"",ReferenceData!$AI$227),"")</f>
        <v>33</v>
      </c>
      <c r="AJ227">
        <f ca="1">IFERROR(IF(0=LEN(ReferenceData!$AJ$227),"",ReferenceData!$AJ$227),"")</f>
        <v>31</v>
      </c>
      <c r="AK227">
        <f ca="1">IFERROR(IF(0=LEN(ReferenceData!$AK$227),"",ReferenceData!$AK$227),"")</f>
        <v>40</v>
      </c>
      <c r="AL227">
        <f ca="1">IFERROR(IF(0=LEN(ReferenceData!$AL$227),"",ReferenceData!$AL$227),"")</f>
        <v>38</v>
      </c>
      <c r="AM227">
        <f ca="1">IFERROR(IF(0=LEN(ReferenceData!$AM$227),"",ReferenceData!$AM$227),"")</f>
        <v>40</v>
      </c>
      <c r="AN227">
        <f ca="1">IFERROR(IF(0=LEN(ReferenceData!$AN$227),"",ReferenceData!$AN$227),"")</f>
        <v>18</v>
      </c>
      <c r="AO227">
        <f ca="1">IFERROR(IF(0=LEN(ReferenceData!$AO$227),"",ReferenceData!$AO$227),"")</f>
        <v>16</v>
      </c>
      <c r="AP227">
        <f ca="1">IFERROR(IF(0=LEN(ReferenceData!$AP$227),"",ReferenceData!$AP$227),"")</f>
        <v>16</v>
      </c>
      <c r="AQ227">
        <f ca="1">IFERROR(IF(0=LEN(ReferenceData!$AQ$227),"",ReferenceData!$AQ$227),"")</f>
        <v>128</v>
      </c>
      <c r="AR227">
        <f ca="1">IFERROR(IF(0=LEN(ReferenceData!$AR$227),"",ReferenceData!$AR$227),"")</f>
        <v>29</v>
      </c>
      <c r="AS227">
        <f ca="1">IFERROR(IF(0=LEN(ReferenceData!$AS$227),"",ReferenceData!$AS$227),"")</f>
        <v>9</v>
      </c>
    </row>
    <row r="228" spans="1:45" x14ac:dyDescent="0.25">
      <c r="A228" t="str">
        <f>IFERROR(IF(0=LEN(ReferenceData!$A$228),"",ReferenceData!$A$228),"")</f>
        <v xml:space="preserve">    General Motors - GMC</v>
      </c>
      <c r="B228" t="str">
        <f>IFERROR(IF(0=LEN(ReferenceData!$B$228),"",ReferenceData!$B$228),"")</f>
        <v>MTLQQ US Equity</v>
      </c>
      <c r="C228" t="str">
        <f>IFERROR(IF(0=LEN(ReferenceData!$C$228),"",ReferenceData!$C$228),"")</f>
        <v/>
      </c>
      <c r="D228" t="str">
        <f>IFERROR(IF(0=LEN(ReferenceData!$D$228),"",ReferenceData!$D$228),"")</f>
        <v/>
      </c>
      <c r="E228" t="str">
        <f>IFERROR(IF(0=LEN(ReferenceData!$E$228),"",ReferenceData!$E$228),"")</f>
        <v>Expression</v>
      </c>
      <c r="F228" t="str">
        <f ca="1">IFERROR(IF(0=LEN(ReferenceData!$F$228),"",ReferenceData!$F$228),"")</f>
        <v/>
      </c>
      <c r="G228" t="str">
        <f ca="1">IFERROR(IF(0=LEN(ReferenceData!$G$228),"",ReferenceData!$G$228),"")</f>
        <v/>
      </c>
      <c r="H228" t="str">
        <f ca="1">IFERROR(IF(0=LEN(ReferenceData!$H$228),"",ReferenceData!$H$228),"")</f>
        <v/>
      </c>
      <c r="I228" t="str">
        <f ca="1">IFERROR(IF(0=LEN(ReferenceData!$I$228),"",ReferenceData!$I$228),"")</f>
        <v/>
      </c>
      <c r="J228" t="str">
        <f ca="1">IFERROR(IF(0=LEN(ReferenceData!$J$228),"",ReferenceData!$J$228),"")</f>
        <v/>
      </c>
      <c r="K228" t="str">
        <f ca="1">IFERROR(IF(0=LEN(ReferenceData!$K$228),"",ReferenceData!$K$228),"")</f>
        <v/>
      </c>
      <c r="L228" t="str">
        <f ca="1">IFERROR(IF(0=LEN(ReferenceData!$L$228),"",ReferenceData!$L$228),"")</f>
        <v/>
      </c>
      <c r="M228" t="str">
        <f ca="1">IFERROR(IF(0=LEN(ReferenceData!$M$228),"",ReferenceData!$M$228),"")</f>
        <v/>
      </c>
      <c r="N228" t="str">
        <f ca="1">IFERROR(IF(0=LEN(ReferenceData!$N$228),"",ReferenceData!$N$228),"")</f>
        <v/>
      </c>
      <c r="O228" t="str">
        <f ca="1">IFERROR(IF(0=LEN(ReferenceData!$O$228),"",ReferenceData!$O$228),"")</f>
        <v/>
      </c>
      <c r="P228" t="str">
        <f ca="1">IFERROR(IF(0=LEN(ReferenceData!$P$228),"",ReferenceData!$P$228),"")</f>
        <v/>
      </c>
      <c r="Q228" t="str">
        <f ca="1">IFERROR(IF(0=LEN(ReferenceData!$Q$228),"",ReferenceData!$Q$228),"")</f>
        <v/>
      </c>
      <c r="R228" t="str">
        <f ca="1">IFERROR(IF(0=LEN(ReferenceData!$R$228),"",ReferenceData!$R$228),"")</f>
        <v/>
      </c>
      <c r="S228" t="str">
        <f ca="1">IFERROR(IF(0=LEN(ReferenceData!$S$228),"",ReferenceData!$S$228),"")</f>
        <v/>
      </c>
      <c r="T228" t="str">
        <f ca="1">IFERROR(IF(0=LEN(ReferenceData!$T$228),"",ReferenceData!$T$228),"")</f>
        <v/>
      </c>
      <c r="U228" t="str">
        <f ca="1">IFERROR(IF(0=LEN(ReferenceData!$U$228),"",ReferenceData!$U$228),"")</f>
        <v/>
      </c>
      <c r="V228" t="str">
        <f ca="1">IFERROR(IF(0=LEN(ReferenceData!$V$228),"",ReferenceData!$V$228),"")</f>
        <v/>
      </c>
      <c r="W228" t="str">
        <f ca="1">IFERROR(IF(0=LEN(ReferenceData!$W$228),"",ReferenceData!$W$228),"")</f>
        <v/>
      </c>
      <c r="X228" t="str">
        <f ca="1">IFERROR(IF(0=LEN(ReferenceData!$X$228),"",ReferenceData!$X$228),"")</f>
        <v/>
      </c>
      <c r="Y228" t="str">
        <f ca="1">IFERROR(IF(0=LEN(ReferenceData!$Y$228),"",ReferenceData!$Y$228),"")</f>
        <v/>
      </c>
      <c r="Z228" t="str">
        <f ca="1">IFERROR(IF(0=LEN(ReferenceData!$Z$228),"",ReferenceData!$Z$228),"")</f>
        <v/>
      </c>
      <c r="AA228" t="str">
        <f ca="1">IFERROR(IF(0=LEN(ReferenceData!$AA$228),"",ReferenceData!$AA$228),"")</f>
        <v/>
      </c>
      <c r="AB228" t="str">
        <f ca="1">IFERROR(IF(0=LEN(ReferenceData!$AB$228),"",ReferenceData!$AB$228),"")</f>
        <v/>
      </c>
      <c r="AC228" t="str">
        <f ca="1">IFERROR(IF(0=LEN(ReferenceData!$AC$228),"",ReferenceData!$AC$228),"")</f>
        <v/>
      </c>
      <c r="AD228" t="str">
        <f ca="1">IFERROR(IF(0=LEN(ReferenceData!$AD$228),"",ReferenceData!$AD$228),"")</f>
        <v/>
      </c>
      <c r="AE228" t="str">
        <f ca="1">IFERROR(IF(0=LEN(ReferenceData!$AE$228),"",ReferenceData!$AE$228),"")</f>
        <v/>
      </c>
      <c r="AF228" t="str">
        <f ca="1">IFERROR(IF(0=LEN(ReferenceData!$AF$228),"",ReferenceData!$AF$228),"")</f>
        <v/>
      </c>
      <c r="AG228" t="str">
        <f ca="1">IFERROR(IF(0=LEN(ReferenceData!$AG$228),"",ReferenceData!$AG$228),"")</f>
        <v/>
      </c>
      <c r="AH228" t="str">
        <f ca="1">IFERROR(IF(0=LEN(ReferenceData!$AH$228),"",ReferenceData!$AH$228),"")</f>
        <v/>
      </c>
      <c r="AI228" t="str">
        <f ca="1">IFERROR(IF(0=LEN(ReferenceData!$AI$228),"",ReferenceData!$AI$228),"")</f>
        <v/>
      </c>
      <c r="AJ228" t="str">
        <f ca="1">IFERROR(IF(0=LEN(ReferenceData!$AJ$228),"",ReferenceData!$AJ$228),"")</f>
        <v/>
      </c>
      <c r="AK228" t="str">
        <f ca="1">IFERROR(IF(0=LEN(ReferenceData!$AK$228),"",ReferenceData!$AK$228),"")</f>
        <v/>
      </c>
      <c r="AL228" t="str">
        <f ca="1">IFERROR(IF(0=LEN(ReferenceData!$AL$228),"",ReferenceData!$AL$228),"")</f>
        <v/>
      </c>
      <c r="AM228" t="str">
        <f ca="1">IFERROR(IF(0=LEN(ReferenceData!$AM$228),"",ReferenceData!$AM$228),"")</f>
        <v/>
      </c>
      <c r="AN228" t="str">
        <f ca="1">IFERROR(IF(0=LEN(ReferenceData!$AN$228),"",ReferenceData!$AN$228),"")</f>
        <v/>
      </c>
      <c r="AO228" t="str">
        <f ca="1">IFERROR(IF(0=LEN(ReferenceData!$AO$228),"",ReferenceData!$AO$228),"")</f>
        <v/>
      </c>
      <c r="AP228" t="str">
        <f ca="1">IFERROR(IF(0=LEN(ReferenceData!$AP$228),"",ReferenceData!$AP$228),"")</f>
        <v/>
      </c>
      <c r="AQ228" t="str">
        <f ca="1">IFERROR(IF(0=LEN(ReferenceData!$AQ$228),"",ReferenceData!$AQ$228),"")</f>
        <v/>
      </c>
      <c r="AR228" t="str">
        <f ca="1">IFERROR(IF(0=LEN(ReferenceData!$AR$228),"",ReferenceData!$AR$228),"")</f>
        <v/>
      </c>
      <c r="AS228" t="str">
        <f ca="1">IFERROR(IF(0=LEN(ReferenceData!$AS$228),"",ReferenceData!$AS$228),"")</f>
        <v/>
      </c>
    </row>
    <row r="229" spans="1:45" x14ac:dyDescent="0.25">
      <c r="A229" t="str">
        <f>IFERROR(IF(0=LEN(ReferenceData!$A$229),"",ReferenceData!$A$229),"")</f>
        <v xml:space="preserve">    General Motors - Chevrolet</v>
      </c>
      <c r="B229" t="str">
        <f>IFERROR(IF(0=LEN(ReferenceData!$B$229),"",ReferenceData!$B$229),"")</f>
        <v>MTLQQ US Equity</v>
      </c>
      <c r="C229" t="str">
        <f>IFERROR(IF(0=LEN(ReferenceData!$C$229),"",ReferenceData!$C$229),"")</f>
        <v/>
      </c>
      <c r="D229" t="str">
        <f>IFERROR(IF(0=LEN(ReferenceData!$D$229),"",ReferenceData!$D$229),"")</f>
        <v/>
      </c>
      <c r="E229" t="str">
        <f>IFERROR(IF(0=LEN(ReferenceData!$E$229),"",ReferenceData!$E$229),"")</f>
        <v>Expression</v>
      </c>
      <c r="F229" t="str">
        <f ca="1">IFERROR(IF(0=LEN(ReferenceData!$F$229),"",ReferenceData!$F$229),"")</f>
        <v/>
      </c>
      <c r="G229" t="str">
        <f ca="1">IFERROR(IF(0=LEN(ReferenceData!$G$229),"",ReferenceData!$G$229),"")</f>
        <v/>
      </c>
      <c r="H229" t="str">
        <f ca="1">IFERROR(IF(0=LEN(ReferenceData!$H$229),"",ReferenceData!$H$229),"")</f>
        <v/>
      </c>
      <c r="I229" t="str">
        <f ca="1">IFERROR(IF(0=LEN(ReferenceData!$I$229),"",ReferenceData!$I$229),"")</f>
        <v/>
      </c>
      <c r="J229" t="str">
        <f ca="1">IFERROR(IF(0=LEN(ReferenceData!$J$229),"",ReferenceData!$J$229),"")</f>
        <v/>
      </c>
      <c r="K229" t="str">
        <f ca="1">IFERROR(IF(0=LEN(ReferenceData!$K$229),"",ReferenceData!$K$229),"")</f>
        <v/>
      </c>
      <c r="L229" t="str">
        <f ca="1">IFERROR(IF(0=LEN(ReferenceData!$L$229),"",ReferenceData!$L$229),"")</f>
        <v/>
      </c>
      <c r="M229" t="str">
        <f ca="1">IFERROR(IF(0=LEN(ReferenceData!$M$229),"",ReferenceData!$M$229),"")</f>
        <v/>
      </c>
      <c r="N229" t="str">
        <f ca="1">IFERROR(IF(0=LEN(ReferenceData!$N$229),"",ReferenceData!$N$229),"")</f>
        <v/>
      </c>
      <c r="O229" t="str">
        <f ca="1">IFERROR(IF(0=LEN(ReferenceData!$O$229),"",ReferenceData!$O$229),"")</f>
        <v/>
      </c>
      <c r="P229" t="str">
        <f ca="1">IFERROR(IF(0=LEN(ReferenceData!$P$229),"",ReferenceData!$P$229),"")</f>
        <v/>
      </c>
      <c r="Q229" t="str">
        <f ca="1">IFERROR(IF(0=LEN(ReferenceData!$Q$229),"",ReferenceData!$Q$229),"")</f>
        <v/>
      </c>
      <c r="R229" t="str">
        <f ca="1">IFERROR(IF(0=LEN(ReferenceData!$R$229),"",ReferenceData!$R$229),"")</f>
        <v/>
      </c>
      <c r="S229" t="str">
        <f ca="1">IFERROR(IF(0=LEN(ReferenceData!$S$229),"",ReferenceData!$S$229),"")</f>
        <v/>
      </c>
      <c r="T229" t="str">
        <f ca="1">IFERROR(IF(0=LEN(ReferenceData!$T$229),"",ReferenceData!$T$229),"")</f>
        <v/>
      </c>
      <c r="U229" t="str">
        <f ca="1">IFERROR(IF(0=LEN(ReferenceData!$U$229),"",ReferenceData!$U$229),"")</f>
        <v/>
      </c>
      <c r="V229" t="str">
        <f ca="1">IFERROR(IF(0=LEN(ReferenceData!$V$229),"",ReferenceData!$V$229),"")</f>
        <v/>
      </c>
      <c r="W229" t="str">
        <f ca="1">IFERROR(IF(0=LEN(ReferenceData!$W$229),"",ReferenceData!$W$229),"")</f>
        <v/>
      </c>
      <c r="X229" t="str">
        <f ca="1">IFERROR(IF(0=LEN(ReferenceData!$X$229),"",ReferenceData!$X$229),"")</f>
        <v/>
      </c>
      <c r="Y229" t="str">
        <f ca="1">IFERROR(IF(0=LEN(ReferenceData!$Y$229),"",ReferenceData!$Y$229),"")</f>
        <v/>
      </c>
      <c r="Z229" t="str">
        <f ca="1">IFERROR(IF(0=LEN(ReferenceData!$Z$229),"",ReferenceData!$Z$229),"")</f>
        <v/>
      </c>
      <c r="AA229" t="str">
        <f ca="1">IFERROR(IF(0=LEN(ReferenceData!$AA$229),"",ReferenceData!$AA$229),"")</f>
        <v/>
      </c>
      <c r="AB229" t="str">
        <f ca="1">IFERROR(IF(0=LEN(ReferenceData!$AB$229),"",ReferenceData!$AB$229),"")</f>
        <v/>
      </c>
      <c r="AC229" t="str">
        <f ca="1">IFERROR(IF(0=LEN(ReferenceData!$AC$229),"",ReferenceData!$AC$229),"")</f>
        <v/>
      </c>
      <c r="AD229" t="str">
        <f ca="1">IFERROR(IF(0=LEN(ReferenceData!$AD$229),"",ReferenceData!$AD$229),"")</f>
        <v/>
      </c>
      <c r="AE229" t="str">
        <f ca="1">IFERROR(IF(0=LEN(ReferenceData!$AE$229),"",ReferenceData!$AE$229),"")</f>
        <v/>
      </c>
      <c r="AF229" t="str">
        <f ca="1">IFERROR(IF(0=LEN(ReferenceData!$AF$229),"",ReferenceData!$AF$229),"")</f>
        <v/>
      </c>
      <c r="AG229" t="str">
        <f ca="1">IFERROR(IF(0=LEN(ReferenceData!$AG$229),"",ReferenceData!$AG$229),"")</f>
        <v/>
      </c>
      <c r="AH229" t="str">
        <f ca="1">IFERROR(IF(0=LEN(ReferenceData!$AH$229),"",ReferenceData!$AH$229),"")</f>
        <v/>
      </c>
      <c r="AI229" t="str">
        <f ca="1">IFERROR(IF(0=LEN(ReferenceData!$AI$229),"",ReferenceData!$AI$229),"")</f>
        <v/>
      </c>
      <c r="AJ229" t="str">
        <f ca="1">IFERROR(IF(0=LEN(ReferenceData!$AJ$229),"",ReferenceData!$AJ$229),"")</f>
        <v/>
      </c>
      <c r="AK229" t="str">
        <f ca="1">IFERROR(IF(0=LEN(ReferenceData!$AK$229),"",ReferenceData!$AK$229),"")</f>
        <v/>
      </c>
      <c r="AL229" t="str">
        <f ca="1">IFERROR(IF(0=LEN(ReferenceData!$AL$229),"",ReferenceData!$AL$229),"")</f>
        <v/>
      </c>
      <c r="AM229" t="str">
        <f ca="1">IFERROR(IF(0=LEN(ReferenceData!$AM$229),"",ReferenceData!$AM$229),"")</f>
        <v/>
      </c>
      <c r="AN229" t="str">
        <f ca="1">IFERROR(IF(0=LEN(ReferenceData!$AN$229),"",ReferenceData!$AN$229),"")</f>
        <v/>
      </c>
      <c r="AO229" t="str">
        <f ca="1">IFERROR(IF(0=LEN(ReferenceData!$AO$229),"",ReferenceData!$AO$229),"")</f>
        <v/>
      </c>
      <c r="AP229" t="str">
        <f ca="1">IFERROR(IF(0=LEN(ReferenceData!$AP$229),"",ReferenceData!$AP$229),"")</f>
        <v/>
      </c>
      <c r="AQ229" t="str">
        <f ca="1">IFERROR(IF(0=LEN(ReferenceData!$AQ$229),"",ReferenceData!$AQ$229),"")</f>
        <v/>
      </c>
      <c r="AR229" t="str">
        <f ca="1">IFERROR(IF(0=LEN(ReferenceData!$AR$229),"",ReferenceData!$AR$229),"")</f>
        <v/>
      </c>
      <c r="AS229" t="str">
        <f ca="1">IFERROR(IF(0=LEN(ReferenceData!$AS$229),"",ReferenceData!$AS$229),"")</f>
        <v/>
      </c>
    </row>
    <row r="230" spans="1:45" x14ac:dyDescent="0.25">
      <c r="A230" t="str">
        <f>IFERROR(IF(0=LEN(ReferenceData!$A$230),"",ReferenceData!$A$230),"")</f>
        <v xml:space="preserve">    Scania</v>
      </c>
      <c r="B230" t="str">
        <f>IFERROR(IF(0=LEN(ReferenceData!$B$230),"",ReferenceData!$B$230),"")</f>
        <v/>
      </c>
      <c r="C230" t="str">
        <f>IFERROR(IF(0=LEN(ReferenceData!$C$230),"",ReferenceData!$C$230),"")</f>
        <v/>
      </c>
      <c r="D230" t="str">
        <f>IFERROR(IF(0=LEN(ReferenceData!$D$230),"",ReferenceData!$D$230),"")</f>
        <v/>
      </c>
      <c r="E230" t="str">
        <f>IFERROR(IF(0=LEN(ReferenceData!$E$230),"",ReferenceData!$E$230),"")</f>
        <v>Expression</v>
      </c>
      <c r="F230" t="str">
        <f ca="1">IFERROR(IF(0=LEN(ReferenceData!$F$230),"",ReferenceData!$F$230),"")</f>
        <v/>
      </c>
      <c r="G230" t="str">
        <f ca="1">IFERROR(IF(0=LEN(ReferenceData!$G$230),"",ReferenceData!$G$230),"")</f>
        <v/>
      </c>
      <c r="H230" t="str">
        <f ca="1">IFERROR(IF(0=LEN(ReferenceData!$H$230),"",ReferenceData!$H$230),"")</f>
        <v/>
      </c>
      <c r="I230" t="str">
        <f ca="1">IFERROR(IF(0=LEN(ReferenceData!$I$230),"",ReferenceData!$I$230),"")</f>
        <v/>
      </c>
      <c r="J230" t="str">
        <f ca="1">IFERROR(IF(0=LEN(ReferenceData!$J$230),"",ReferenceData!$J$230),"")</f>
        <v/>
      </c>
      <c r="K230" t="str">
        <f ca="1">IFERROR(IF(0=LEN(ReferenceData!$K$230),"",ReferenceData!$K$230),"")</f>
        <v/>
      </c>
      <c r="L230" t="str">
        <f ca="1">IFERROR(IF(0=LEN(ReferenceData!$L$230),"",ReferenceData!$L$230),"")</f>
        <v/>
      </c>
      <c r="M230" t="str">
        <f ca="1">IFERROR(IF(0=LEN(ReferenceData!$M$230),"",ReferenceData!$M$230),"")</f>
        <v/>
      </c>
      <c r="N230" t="str">
        <f ca="1">IFERROR(IF(0=LEN(ReferenceData!$N$230),"",ReferenceData!$N$230),"")</f>
        <v/>
      </c>
      <c r="O230" t="str">
        <f ca="1">IFERROR(IF(0=LEN(ReferenceData!$O$230),"",ReferenceData!$O$230),"")</f>
        <v/>
      </c>
      <c r="P230" t="str">
        <f ca="1">IFERROR(IF(0=LEN(ReferenceData!$P$230),"",ReferenceData!$P$230),"")</f>
        <v/>
      </c>
      <c r="Q230" t="str">
        <f ca="1">IFERROR(IF(0=LEN(ReferenceData!$Q$230),"",ReferenceData!$Q$230),"")</f>
        <v/>
      </c>
      <c r="R230" t="str">
        <f ca="1">IFERROR(IF(0=LEN(ReferenceData!$R$230),"",ReferenceData!$R$230),"")</f>
        <v/>
      </c>
      <c r="S230" t="str">
        <f ca="1">IFERROR(IF(0=LEN(ReferenceData!$S$230),"",ReferenceData!$S$230),"")</f>
        <v/>
      </c>
      <c r="T230" t="str">
        <f ca="1">IFERROR(IF(0=LEN(ReferenceData!$T$230),"",ReferenceData!$T$230),"")</f>
        <v/>
      </c>
      <c r="U230" t="str">
        <f ca="1">IFERROR(IF(0=LEN(ReferenceData!$U$230),"",ReferenceData!$U$230),"")</f>
        <v/>
      </c>
      <c r="V230" t="str">
        <f ca="1">IFERROR(IF(0=LEN(ReferenceData!$V$230),"",ReferenceData!$V$230),"")</f>
        <v/>
      </c>
      <c r="W230" t="str">
        <f ca="1">IFERROR(IF(0=LEN(ReferenceData!$W$230),"",ReferenceData!$W$230),"")</f>
        <v/>
      </c>
      <c r="X230" t="str">
        <f ca="1">IFERROR(IF(0=LEN(ReferenceData!$X$230),"",ReferenceData!$X$230),"")</f>
        <v/>
      </c>
      <c r="Y230" t="str">
        <f ca="1">IFERROR(IF(0=LEN(ReferenceData!$Y$230),"",ReferenceData!$Y$230),"")</f>
        <v/>
      </c>
      <c r="Z230" t="str">
        <f ca="1">IFERROR(IF(0=LEN(ReferenceData!$Z$230),"",ReferenceData!$Z$230),"")</f>
        <v/>
      </c>
      <c r="AA230" t="str">
        <f ca="1">IFERROR(IF(0=LEN(ReferenceData!$AA$230),"",ReferenceData!$AA$230),"")</f>
        <v/>
      </c>
      <c r="AB230" t="str">
        <f ca="1">IFERROR(IF(0=LEN(ReferenceData!$AB$230),"",ReferenceData!$AB$230),"")</f>
        <v/>
      </c>
      <c r="AC230" t="str">
        <f ca="1">IFERROR(IF(0=LEN(ReferenceData!$AC$230),"",ReferenceData!$AC$230),"")</f>
        <v/>
      </c>
      <c r="AD230" t="str">
        <f ca="1">IFERROR(IF(0=LEN(ReferenceData!$AD$230),"",ReferenceData!$AD$230),"")</f>
        <v/>
      </c>
      <c r="AE230" t="str">
        <f ca="1">IFERROR(IF(0=LEN(ReferenceData!$AE$230),"",ReferenceData!$AE$230),"")</f>
        <v/>
      </c>
      <c r="AF230" t="str">
        <f ca="1">IFERROR(IF(0=LEN(ReferenceData!$AF$230),"",ReferenceData!$AF$230),"")</f>
        <v/>
      </c>
      <c r="AG230" t="str">
        <f ca="1">IFERROR(IF(0=LEN(ReferenceData!$AG$230),"",ReferenceData!$AG$230),"")</f>
        <v/>
      </c>
      <c r="AH230" t="str">
        <f ca="1">IFERROR(IF(0=LEN(ReferenceData!$AH$230),"",ReferenceData!$AH$230),"")</f>
        <v/>
      </c>
      <c r="AI230" t="str">
        <f ca="1">IFERROR(IF(0=LEN(ReferenceData!$AI$230),"",ReferenceData!$AI$230),"")</f>
        <v/>
      </c>
      <c r="AJ230" t="str">
        <f ca="1">IFERROR(IF(0=LEN(ReferenceData!$AJ$230),"",ReferenceData!$AJ$230),"")</f>
        <v/>
      </c>
      <c r="AK230" t="str">
        <f ca="1">IFERROR(IF(0=LEN(ReferenceData!$AK$230),"",ReferenceData!$AK$230),"")</f>
        <v/>
      </c>
      <c r="AL230" t="str">
        <f ca="1">IFERROR(IF(0=LEN(ReferenceData!$AL$230),"",ReferenceData!$AL$230),"")</f>
        <v/>
      </c>
      <c r="AM230" t="str">
        <f ca="1">IFERROR(IF(0=LEN(ReferenceData!$AM$230),"",ReferenceData!$AM$230),"")</f>
        <v/>
      </c>
      <c r="AN230" t="str">
        <f ca="1">IFERROR(IF(0=LEN(ReferenceData!$AN$230),"",ReferenceData!$AN$230),"")</f>
        <v/>
      </c>
      <c r="AO230" t="str">
        <f ca="1">IFERROR(IF(0=LEN(ReferenceData!$AO$230),"",ReferenceData!$AO$230),"")</f>
        <v/>
      </c>
      <c r="AP230" t="str">
        <f ca="1">IFERROR(IF(0=LEN(ReferenceData!$AP$230),"",ReferenceData!$AP$230),"")</f>
        <v/>
      </c>
      <c r="AQ230" t="str">
        <f ca="1">IFERROR(IF(0=LEN(ReferenceData!$AQ$230),"",ReferenceData!$AQ$230),"")</f>
        <v/>
      </c>
      <c r="AR230" t="str">
        <f ca="1">IFERROR(IF(0=LEN(ReferenceData!$AR$230),"",ReferenceData!$AR$230),"")</f>
        <v/>
      </c>
      <c r="AS230" t="str">
        <f ca="1">IFERROR(IF(0=LEN(ReferenceData!$AS$230),"",ReferenceData!$AS$230),"")</f>
        <v/>
      </c>
    </row>
    <row r="231" spans="1:45" x14ac:dyDescent="0.25">
      <c r="A231" t="str">
        <f>IFERROR(IF(0=LEN(ReferenceData!$A$231),"",ReferenceData!$A$231),"")</f>
        <v xml:space="preserve">    MAN - MAN</v>
      </c>
      <c r="B231" t="str">
        <f>IFERROR(IF(0=LEN(ReferenceData!$B$231),"",ReferenceData!$B$231),"")</f>
        <v>VOW GR Equity</v>
      </c>
      <c r="C231" t="str">
        <f>IFERROR(IF(0=LEN(ReferenceData!$C$231),"",ReferenceData!$C$231),"")</f>
        <v/>
      </c>
      <c r="D231" t="str">
        <f>IFERROR(IF(0=LEN(ReferenceData!$D$231),"",ReferenceData!$D$231),"")</f>
        <v/>
      </c>
      <c r="E231" t="str">
        <f>IFERROR(IF(0=LEN(ReferenceData!$E$231),"",ReferenceData!$E$231),"")</f>
        <v>Expression</v>
      </c>
      <c r="F231" t="str">
        <f ca="1">IFERROR(IF(0=LEN(ReferenceData!$F$231),"",ReferenceData!$F$231),"")</f>
        <v/>
      </c>
      <c r="G231" t="str">
        <f ca="1">IFERROR(IF(0=LEN(ReferenceData!$G$231),"",ReferenceData!$G$231),"")</f>
        <v/>
      </c>
      <c r="H231" t="str">
        <f ca="1">IFERROR(IF(0=LEN(ReferenceData!$H$231),"",ReferenceData!$H$231),"")</f>
        <v/>
      </c>
      <c r="I231" t="str">
        <f ca="1">IFERROR(IF(0=LEN(ReferenceData!$I$231),"",ReferenceData!$I$231),"")</f>
        <v/>
      </c>
      <c r="J231" t="str">
        <f ca="1">IFERROR(IF(0=LEN(ReferenceData!$J$231),"",ReferenceData!$J$231),"")</f>
        <v/>
      </c>
      <c r="K231" t="str">
        <f ca="1">IFERROR(IF(0=LEN(ReferenceData!$K$231),"",ReferenceData!$K$231),"")</f>
        <v/>
      </c>
      <c r="L231" t="str">
        <f ca="1">IFERROR(IF(0=LEN(ReferenceData!$L$231),"",ReferenceData!$L$231),"")</f>
        <v/>
      </c>
      <c r="M231" t="str">
        <f ca="1">IFERROR(IF(0=LEN(ReferenceData!$M$231),"",ReferenceData!$M$231),"")</f>
        <v/>
      </c>
      <c r="N231" t="str">
        <f ca="1">IFERROR(IF(0=LEN(ReferenceData!$N$231),"",ReferenceData!$N$231),"")</f>
        <v/>
      </c>
      <c r="O231" t="str">
        <f ca="1">IFERROR(IF(0=LEN(ReferenceData!$O$231),"",ReferenceData!$O$231),"")</f>
        <v/>
      </c>
      <c r="P231" t="str">
        <f ca="1">IFERROR(IF(0=LEN(ReferenceData!$P$231),"",ReferenceData!$P$231),"")</f>
        <v/>
      </c>
      <c r="Q231" t="str">
        <f ca="1">IFERROR(IF(0=LEN(ReferenceData!$Q$231),"",ReferenceData!$Q$231),"")</f>
        <v/>
      </c>
      <c r="R231" t="str">
        <f ca="1">IFERROR(IF(0=LEN(ReferenceData!$R$231),"",ReferenceData!$R$231),"")</f>
        <v/>
      </c>
      <c r="S231" t="str">
        <f ca="1">IFERROR(IF(0=LEN(ReferenceData!$S$231),"",ReferenceData!$S$231),"")</f>
        <v/>
      </c>
      <c r="T231" t="str">
        <f ca="1">IFERROR(IF(0=LEN(ReferenceData!$T$231),"",ReferenceData!$T$231),"")</f>
        <v/>
      </c>
      <c r="U231" t="str">
        <f ca="1">IFERROR(IF(0=LEN(ReferenceData!$U$231),"",ReferenceData!$U$231),"")</f>
        <v/>
      </c>
      <c r="V231" t="str">
        <f ca="1">IFERROR(IF(0=LEN(ReferenceData!$V$231),"",ReferenceData!$V$231),"")</f>
        <v/>
      </c>
      <c r="W231" t="str">
        <f ca="1">IFERROR(IF(0=LEN(ReferenceData!$W$231),"",ReferenceData!$W$231),"")</f>
        <v/>
      </c>
      <c r="X231" t="str">
        <f ca="1">IFERROR(IF(0=LEN(ReferenceData!$X$231),"",ReferenceData!$X$231),"")</f>
        <v/>
      </c>
      <c r="Y231" t="str">
        <f ca="1">IFERROR(IF(0=LEN(ReferenceData!$Y$231),"",ReferenceData!$Y$231),"")</f>
        <v/>
      </c>
      <c r="Z231" t="str">
        <f ca="1">IFERROR(IF(0=LEN(ReferenceData!$Z$231),"",ReferenceData!$Z$231),"")</f>
        <v/>
      </c>
      <c r="AA231" t="str">
        <f ca="1">IFERROR(IF(0=LEN(ReferenceData!$AA$231),"",ReferenceData!$AA$231),"")</f>
        <v/>
      </c>
      <c r="AB231" t="str">
        <f ca="1">IFERROR(IF(0=LEN(ReferenceData!$AB$231),"",ReferenceData!$AB$231),"")</f>
        <v/>
      </c>
      <c r="AC231" t="str">
        <f ca="1">IFERROR(IF(0=LEN(ReferenceData!$AC$231),"",ReferenceData!$AC$231),"")</f>
        <v/>
      </c>
      <c r="AD231" t="str">
        <f ca="1">IFERROR(IF(0=LEN(ReferenceData!$AD$231),"",ReferenceData!$AD$231),"")</f>
        <v/>
      </c>
      <c r="AE231" t="str">
        <f ca="1">IFERROR(IF(0=LEN(ReferenceData!$AE$231),"",ReferenceData!$AE$231),"")</f>
        <v/>
      </c>
      <c r="AF231" t="str">
        <f ca="1">IFERROR(IF(0=LEN(ReferenceData!$AF$231),"",ReferenceData!$AF$231),"")</f>
        <v/>
      </c>
      <c r="AG231" t="str">
        <f ca="1">IFERROR(IF(0=LEN(ReferenceData!$AG$231),"",ReferenceData!$AG$231),"")</f>
        <v/>
      </c>
      <c r="AH231" t="str">
        <f ca="1">IFERROR(IF(0=LEN(ReferenceData!$AH$231),"",ReferenceData!$AH$231),"")</f>
        <v/>
      </c>
      <c r="AI231" t="str">
        <f ca="1">IFERROR(IF(0=LEN(ReferenceData!$AI$231),"",ReferenceData!$AI$231),"")</f>
        <v/>
      </c>
      <c r="AJ231" t="str">
        <f ca="1">IFERROR(IF(0=LEN(ReferenceData!$AJ$231),"",ReferenceData!$AJ$231),"")</f>
        <v/>
      </c>
      <c r="AK231" t="str">
        <f ca="1">IFERROR(IF(0=LEN(ReferenceData!$AK$231),"",ReferenceData!$AK$231),"")</f>
        <v/>
      </c>
      <c r="AL231" t="str">
        <f ca="1">IFERROR(IF(0=LEN(ReferenceData!$AL$231),"",ReferenceData!$AL$231),"")</f>
        <v/>
      </c>
      <c r="AM231" t="str">
        <f ca="1">IFERROR(IF(0=LEN(ReferenceData!$AM$231),"",ReferenceData!$AM$231),"")</f>
        <v/>
      </c>
      <c r="AN231" t="str">
        <f ca="1">IFERROR(IF(0=LEN(ReferenceData!$AN$231),"",ReferenceData!$AN$231),"")</f>
        <v/>
      </c>
      <c r="AO231" t="str">
        <f ca="1">IFERROR(IF(0=LEN(ReferenceData!$AO$231),"",ReferenceData!$AO$231),"")</f>
        <v/>
      </c>
      <c r="AP231" t="str">
        <f ca="1">IFERROR(IF(0=LEN(ReferenceData!$AP$231),"",ReferenceData!$AP$231),"")</f>
        <v/>
      </c>
      <c r="AQ231" t="str">
        <f ca="1">IFERROR(IF(0=LEN(ReferenceData!$AQ$231),"",ReferenceData!$AQ$231),"")</f>
        <v/>
      </c>
      <c r="AR231" t="str">
        <f ca="1">IFERROR(IF(0=LEN(ReferenceData!$AR$231),"",ReferenceData!$AR$231),"")</f>
        <v/>
      </c>
      <c r="AS231" t="str">
        <f ca="1">IFERROR(IF(0=LEN(ReferenceData!$AS$231),"",ReferenceData!$AS$231),"")</f>
        <v/>
      </c>
    </row>
    <row r="232" spans="1:45" x14ac:dyDescent="0.25">
      <c r="A232" t="str">
        <f>IFERROR(IF(0=LEN(ReferenceData!$A$232),"",ReferenceData!$A$232),"")</f>
        <v xml:space="preserve">    MAN - Volkswagen Truck &amp; Bus</v>
      </c>
      <c r="B232" t="str">
        <f>IFERROR(IF(0=LEN(ReferenceData!$B$232),"",ReferenceData!$B$232),"")</f>
        <v>VOW GR Equity</v>
      </c>
      <c r="C232" t="str">
        <f>IFERROR(IF(0=LEN(ReferenceData!$C$232),"",ReferenceData!$C$232),"")</f>
        <v/>
      </c>
      <c r="D232" t="str">
        <f>IFERROR(IF(0=LEN(ReferenceData!$D$232),"",ReferenceData!$D$232),"")</f>
        <v/>
      </c>
      <c r="E232" t="str">
        <f>IFERROR(IF(0=LEN(ReferenceData!$E$232),"",ReferenceData!$E$232),"")</f>
        <v>Expression</v>
      </c>
      <c r="F232" t="str">
        <f ca="1">IFERROR(IF(0=LEN(ReferenceData!$F$232),"",ReferenceData!$F$232),"")</f>
        <v/>
      </c>
      <c r="G232" t="str">
        <f ca="1">IFERROR(IF(0=LEN(ReferenceData!$G$232),"",ReferenceData!$G$232),"")</f>
        <v/>
      </c>
      <c r="H232" t="str">
        <f ca="1">IFERROR(IF(0=LEN(ReferenceData!$H$232),"",ReferenceData!$H$232),"")</f>
        <v/>
      </c>
      <c r="I232" t="str">
        <f ca="1">IFERROR(IF(0=LEN(ReferenceData!$I$232),"",ReferenceData!$I$232),"")</f>
        <v/>
      </c>
      <c r="J232" t="str">
        <f ca="1">IFERROR(IF(0=LEN(ReferenceData!$J$232),"",ReferenceData!$J$232),"")</f>
        <v/>
      </c>
      <c r="K232" t="str">
        <f ca="1">IFERROR(IF(0=LEN(ReferenceData!$K$232),"",ReferenceData!$K$232),"")</f>
        <v/>
      </c>
      <c r="L232" t="str">
        <f ca="1">IFERROR(IF(0=LEN(ReferenceData!$L$232),"",ReferenceData!$L$232),"")</f>
        <v/>
      </c>
      <c r="M232" t="str">
        <f ca="1">IFERROR(IF(0=LEN(ReferenceData!$M$232),"",ReferenceData!$M$232),"")</f>
        <v/>
      </c>
      <c r="N232" t="str">
        <f ca="1">IFERROR(IF(0=LEN(ReferenceData!$N$232),"",ReferenceData!$N$232),"")</f>
        <v/>
      </c>
      <c r="O232" t="str">
        <f ca="1">IFERROR(IF(0=LEN(ReferenceData!$O$232),"",ReferenceData!$O$232),"")</f>
        <v/>
      </c>
      <c r="P232">
        <f ca="1">IFERROR(IF(0=LEN(ReferenceData!$P$232),"",ReferenceData!$P$232),"")</f>
        <v>76</v>
      </c>
      <c r="Q232">
        <f ca="1">IFERROR(IF(0=LEN(ReferenceData!$Q$232),"",ReferenceData!$Q$232),"")</f>
        <v>57</v>
      </c>
      <c r="R232">
        <f ca="1">IFERROR(IF(0=LEN(ReferenceData!$R$232),"",ReferenceData!$R$232),"")</f>
        <v>52</v>
      </c>
      <c r="S232">
        <f ca="1">IFERROR(IF(0=LEN(ReferenceData!$S$232),"",ReferenceData!$S$232),"")</f>
        <v>50</v>
      </c>
      <c r="T232">
        <f ca="1">IFERROR(IF(0=LEN(ReferenceData!$T$232),"",ReferenceData!$T$232),"")</f>
        <v>40</v>
      </c>
      <c r="U232">
        <f ca="1">IFERROR(IF(0=LEN(ReferenceData!$U$232),"",ReferenceData!$U$232),"")</f>
        <v>34</v>
      </c>
      <c r="V232">
        <f ca="1">IFERROR(IF(0=LEN(ReferenceData!$V$232),"",ReferenceData!$V$232),"")</f>
        <v>39</v>
      </c>
      <c r="W232">
        <f ca="1">IFERROR(IF(0=LEN(ReferenceData!$W$232),"",ReferenceData!$W$232),"")</f>
        <v>46</v>
      </c>
      <c r="X232">
        <f ca="1">IFERROR(IF(0=LEN(ReferenceData!$X$232),"",ReferenceData!$X$232),"")</f>
        <v>44</v>
      </c>
      <c r="Y232">
        <f ca="1">IFERROR(IF(0=LEN(ReferenceData!$Y$232),"",ReferenceData!$Y$232),"")</f>
        <v>39</v>
      </c>
      <c r="Z232">
        <f ca="1">IFERROR(IF(0=LEN(ReferenceData!$Z$232),"",ReferenceData!$Z$232),"")</f>
        <v>30</v>
      </c>
      <c r="AA232">
        <f ca="1">IFERROR(IF(0=LEN(ReferenceData!$AA$232),"",ReferenceData!$AA$232),"")</f>
        <v>44</v>
      </c>
      <c r="AB232">
        <f ca="1">IFERROR(IF(0=LEN(ReferenceData!$AB$232),"",ReferenceData!$AB$232),"")</f>
        <v>74</v>
      </c>
      <c r="AC232">
        <f ca="1">IFERROR(IF(0=LEN(ReferenceData!$AC$232),"",ReferenceData!$AC$232),"")</f>
        <v>59</v>
      </c>
      <c r="AD232">
        <f ca="1">IFERROR(IF(0=LEN(ReferenceData!$AD$232),"",ReferenceData!$AD$232),"")</f>
        <v>55</v>
      </c>
      <c r="AE232">
        <f ca="1">IFERROR(IF(0=LEN(ReferenceData!$AE$232),"",ReferenceData!$AE$232),"")</f>
        <v>52</v>
      </c>
      <c r="AF232">
        <f ca="1">IFERROR(IF(0=LEN(ReferenceData!$AF$232),"",ReferenceData!$AF$232),"")</f>
        <v>52</v>
      </c>
      <c r="AG232">
        <f ca="1">IFERROR(IF(0=LEN(ReferenceData!$AG$232),"",ReferenceData!$AG$232),"")</f>
        <v>52</v>
      </c>
      <c r="AH232">
        <f ca="1">IFERROR(IF(0=LEN(ReferenceData!$AH$232),"",ReferenceData!$AH$232),"")</f>
        <v>50</v>
      </c>
      <c r="AI232">
        <f ca="1">IFERROR(IF(0=LEN(ReferenceData!$AI$232),"",ReferenceData!$AI$232),"")</f>
        <v>46</v>
      </c>
      <c r="AJ232">
        <f ca="1">IFERROR(IF(0=LEN(ReferenceData!$AJ$232),"",ReferenceData!$AJ$232),"")</f>
        <v>44</v>
      </c>
      <c r="AK232">
        <f ca="1">IFERROR(IF(0=LEN(ReferenceData!$AK$232),"",ReferenceData!$AK$232),"")</f>
        <v>57</v>
      </c>
      <c r="AL232">
        <f ca="1">IFERROR(IF(0=LEN(ReferenceData!$AL$232),"",ReferenceData!$AL$232),"")</f>
        <v>54</v>
      </c>
      <c r="AM232">
        <f ca="1">IFERROR(IF(0=LEN(ReferenceData!$AM$232),"",ReferenceData!$AM$232),"")</f>
        <v>57</v>
      </c>
      <c r="AN232">
        <f ca="1">IFERROR(IF(0=LEN(ReferenceData!$AN$232),"",ReferenceData!$AN$232),"")</f>
        <v>74</v>
      </c>
      <c r="AO232">
        <f ca="1">IFERROR(IF(0=LEN(ReferenceData!$AO$232),"",ReferenceData!$AO$232),"")</f>
        <v>72</v>
      </c>
      <c r="AP232">
        <f ca="1">IFERROR(IF(0=LEN(ReferenceData!$AP$232),"",ReferenceData!$AP$232),"")</f>
        <v>75</v>
      </c>
      <c r="AQ232">
        <f ca="1">IFERROR(IF(0=LEN(ReferenceData!$AQ$232),"",ReferenceData!$AQ$232),"")</f>
        <v>28</v>
      </c>
      <c r="AR232">
        <f ca="1">IFERROR(IF(0=LEN(ReferenceData!$AR$232),"",ReferenceData!$AR$232),"")</f>
        <v>26</v>
      </c>
      <c r="AS232">
        <f ca="1">IFERROR(IF(0=LEN(ReferenceData!$AS$232),"",ReferenceData!$AS$232),"")</f>
        <v>19</v>
      </c>
    </row>
    <row r="233" spans="1:45" x14ac:dyDescent="0.25">
      <c r="A233" t="str">
        <f>IFERROR(IF(0=LEN(ReferenceData!$A$233),"",ReferenceData!$A$233),"")</f>
        <v xml:space="preserve">    Other</v>
      </c>
      <c r="B233" t="str">
        <f>IFERROR(IF(0=LEN(ReferenceData!$B$233),"",ReferenceData!$B$233),"")</f>
        <v/>
      </c>
      <c r="C233" t="str">
        <f>IFERROR(IF(0=LEN(ReferenceData!$C$233),"",ReferenceData!$C$233),"")</f>
        <v/>
      </c>
      <c r="D233" t="str">
        <f>IFERROR(IF(0=LEN(ReferenceData!$D$233),"",ReferenceData!$D$233),"")</f>
        <v/>
      </c>
      <c r="E233" t="str">
        <f>IFERROR(IF(0=LEN(ReferenceData!$E$233),"",ReferenceData!$E$233),"")</f>
        <v>Expression</v>
      </c>
      <c r="F233">
        <f ca="1">IFERROR(IF(0=LEN(ReferenceData!$F$233),"",ReferenceData!$F$233),"")</f>
        <v>474</v>
      </c>
      <c r="G233">
        <f ca="1">IFERROR(IF(0=LEN(ReferenceData!$G$233),"",ReferenceData!$G$233),"")</f>
        <v>498</v>
      </c>
      <c r="H233">
        <f ca="1">IFERROR(IF(0=LEN(ReferenceData!$H$233),"",ReferenceData!$H$233),"")</f>
        <v>515</v>
      </c>
      <c r="I233">
        <f ca="1">IFERROR(IF(0=LEN(ReferenceData!$I$233),"",ReferenceData!$I$233),"")</f>
        <v>468</v>
      </c>
      <c r="J233">
        <f ca="1">IFERROR(IF(0=LEN(ReferenceData!$J$233),"",ReferenceData!$J$233),"")</f>
        <v>518</v>
      </c>
      <c r="K233">
        <f ca="1">IFERROR(IF(0=LEN(ReferenceData!$K$233),"",ReferenceData!$K$233),"")</f>
        <v>432</v>
      </c>
      <c r="L233">
        <f ca="1">IFERROR(IF(0=LEN(ReferenceData!$L$233),"",ReferenceData!$L$233),"")</f>
        <v>437</v>
      </c>
      <c r="M233">
        <f ca="1">IFERROR(IF(0=LEN(ReferenceData!$M$233),"",ReferenceData!$M$233),"")</f>
        <v>500</v>
      </c>
      <c r="N233">
        <f ca="1">IFERROR(IF(0=LEN(ReferenceData!$N$233),"",ReferenceData!$N$233),"")</f>
        <v>433</v>
      </c>
      <c r="O233">
        <f ca="1">IFERROR(IF(0=LEN(ReferenceData!$O$233),"",ReferenceData!$O$233),"")</f>
        <v>448</v>
      </c>
      <c r="P233">
        <f ca="1">IFERROR(IF(0=LEN(ReferenceData!$P$233),"",ReferenceData!$P$233),"")</f>
        <v>0</v>
      </c>
      <c r="Q233">
        <f ca="1">IFERROR(IF(0=LEN(ReferenceData!$Q$233),"",ReferenceData!$Q$233),"")</f>
        <v>0</v>
      </c>
      <c r="R233">
        <f ca="1">IFERROR(IF(0=LEN(ReferenceData!$R$233),"",ReferenceData!$R$233),"")</f>
        <v>0</v>
      </c>
      <c r="S233">
        <f ca="1">IFERROR(IF(0=LEN(ReferenceData!$S$233),"",ReferenceData!$S$233),"")</f>
        <v>0</v>
      </c>
      <c r="T233">
        <f ca="1">IFERROR(IF(0=LEN(ReferenceData!$T$233),"",ReferenceData!$T$233),"")</f>
        <v>0</v>
      </c>
      <c r="U233">
        <f ca="1">IFERROR(IF(0=LEN(ReferenceData!$U$233),"",ReferenceData!$U$233),"")</f>
        <v>0</v>
      </c>
      <c r="V233">
        <f ca="1">IFERROR(IF(0=LEN(ReferenceData!$V$233),"",ReferenceData!$V$233),"")</f>
        <v>0</v>
      </c>
      <c r="W233">
        <f ca="1">IFERROR(IF(0=LEN(ReferenceData!$W$233),"",ReferenceData!$W$233),"")</f>
        <v>0</v>
      </c>
      <c r="X233">
        <f ca="1">IFERROR(IF(0=LEN(ReferenceData!$X$233),"",ReferenceData!$X$233),"")</f>
        <v>0</v>
      </c>
      <c r="Y233">
        <f ca="1">IFERROR(IF(0=LEN(ReferenceData!$Y$233),"",ReferenceData!$Y$233),"")</f>
        <v>0</v>
      </c>
      <c r="Z233">
        <f ca="1">IFERROR(IF(0=LEN(ReferenceData!$Z$233),"",ReferenceData!$Z$233),"")</f>
        <v>0</v>
      </c>
      <c r="AA233">
        <f ca="1">IFERROR(IF(0=LEN(ReferenceData!$AA$233),"",ReferenceData!$AA$233),"")</f>
        <v>0</v>
      </c>
      <c r="AB233">
        <f ca="1">IFERROR(IF(0=LEN(ReferenceData!$AB$233),"",ReferenceData!$AB$233),"")</f>
        <v>0</v>
      </c>
      <c r="AC233">
        <f ca="1">IFERROR(IF(0=LEN(ReferenceData!$AC$233),"",ReferenceData!$AC$233),"")</f>
        <v>0</v>
      </c>
      <c r="AD233">
        <f ca="1">IFERROR(IF(0=LEN(ReferenceData!$AD$233),"",ReferenceData!$AD$233),"")</f>
        <v>0</v>
      </c>
      <c r="AE233">
        <f ca="1">IFERROR(IF(0=LEN(ReferenceData!$AE$233),"",ReferenceData!$AE$233),"")</f>
        <v>0</v>
      </c>
      <c r="AF233">
        <f ca="1">IFERROR(IF(0=LEN(ReferenceData!$AF$233),"",ReferenceData!$AF$233),"")</f>
        <v>0</v>
      </c>
      <c r="AG233">
        <f ca="1">IFERROR(IF(0=LEN(ReferenceData!$AG$233),"",ReferenceData!$AG$233),"")</f>
        <v>0</v>
      </c>
      <c r="AH233">
        <f ca="1">IFERROR(IF(0=LEN(ReferenceData!$AH$233),"",ReferenceData!$AH$233),"")</f>
        <v>0</v>
      </c>
      <c r="AI233">
        <f ca="1">IFERROR(IF(0=LEN(ReferenceData!$AI$233),"",ReferenceData!$AI$233),"")</f>
        <v>0</v>
      </c>
      <c r="AJ233">
        <f ca="1">IFERROR(IF(0=LEN(ReferenceData!$AJ$233),"",ReferenceData!$AJ$233),"")</f>
        <v>0</v>
      </c>
      <c r="AK233">
        <f ca="1">IFERROR(IF(0=LEN(ReferenceData!$AK$233),"",ReferenceData!$AK$233),"")</f>
        <v>0</v>
      </c>
      <c r="AL233">
        <f ca="1">IFERROR(IF(0=LEN(ReferenceData!$AL$233),"",ReferenceData!$AL$233),"")</f>
        <v>0</v>
      </c>
      <c r="AM233">
        <f ca="1">IFERROR(IF(0=LEN(ReferenceData!$AM$233),"",ReferenceData!$AM$233),"")</f>
        <v>0</v>
      </c>
      <c r="AN233">
        <f ca="1">IFERROR(IF(0=LEN(ReferenceData!$AN$233),"",ReferenceData!$AN$233),"")</f>
        <v>0</v>
      </c>
      <c r="AO233">
        <f ca="1">IFERROR(IF(0=LEN(ReferenceData!$AO$233),"",ReferenceData!$AO$233),"")</f>
        <v>0</v>
      </c>
      <c r="AP233">
        <f ca="1">IFERROR(IF(0=LEN(ReferenceData!$AP$233),"",ReferenceData!$AP$233),"")</f>
        <v>0</v>
      </c>
      <c r="AQ233">
        <f ca="1">IFERROR(IF(0=LEN(ReferenceData!$AQ$233),"",ReferenceData!$AQ$233),"")</f>
        <v>0</v>
      </c>
      <c r="AR233">
        <f ca="1">IFERROR(IF(0=LEN(ReferenceData!$AR$233),"",ReferenceData!$AR$233),"")</f>
        <v>0</v>
      </c>
      <c r="AS233">
        <f ca="1">IFERROR(IF(0=LEN(ReferenceData!$AS$233),"",ReferenceData!$AS$233),"")</f>
        <v>0</v>
      </c>
    </row>
    <row r="234" spans="1:45" x14ac:dyDescent="0.25">
      <c r="A234" t="str">
        <f>IFERROR(IF(0=LEN(ReferenceData!$A$234),"",ReferenceData!$A$234),"")</f>
        <v>United States (Class 6-7)</v>
      </c>
      <c r="B234" t="str">
        <f>IFERROR(IF(0=LEN(ReferenceData!$B$234),"",ReferenceData!$B$234),"")</f>
        <v>TRCKUS6S Index</v>
      </c>
      <c r="C234" t="str">
        <f>IFERROR(IF(0=LEN(ReferenceData!$C$234),"",ReferenceData!$C$234),"")</f>
        <v>PR005</v>
      </c>
      <c r="D234" t="str">
        <f>IFERROR(IF(0=LEN(ReferenceData!$D$234),"",ReferenceData!$D$234),"")</f>
        <v>PX_LAST</v>
      </c>
      <c r="E234" t="str">
        <f>IFERROR(IF(0=LEN(ReferenceData!$E$234),"",ReferenceData!$E$234),"")</f>
        <v>Dynamic</v>
      </c>
      <c r="F234">
        <f ca="1">IFERROR(IF(0=LEN(ReferenceData!$F$234),"",ReferenceData!$F$234),"")</f>
        <v>10534</v>
      </c>
      <c r="G234">
        <f ca="1">IFERROR(IF(0=LEN(ReferenceData!$G$234),"",ReferenceData!$G$234),"")</f>
        <v>9700</v>
      </c>
      <c r="H234">
        <f ca="1">IFERROR(IF(0=LEN(ReferenceData!$H$234),"",ReferenceData!$H$234),"")</f>
        <v>12452</v>
      </c>
      <c r="I234">
        <f ca="1">IFERROR(IF(0=LEN(ReferenceData!$I$234),"",ReferenceData!$I$234),"")</f>
        <v>9911</v>
      </c>
      <c r="J234">
        <f ca="1">IFERROR(IF(0=LEN(ReferenceData!$J$234),"",ReferenceData!$J$234),"")</f>
        <v>10271</v>
      </c>
      <c r="K234">
        <f ca="1">IFERROR(IF(0=LEN(ReferenceData!$K$234),"",ReferenceData!$K$234),"")</f>
        <v>9762</v>
      </c>
      <c r="L234">
        <f ca="1">IFERROR(IF(0=LEN(ReferenceData!$L$234),"",ReferenceData!$L$234),"")</f>
        <v>9975</v>
      </c>
      <c r="M234">
        <f ca="1">IFERROR(IF(0=LEN(ReferenceData!$M$234),"",ReferenceData!$M$234),"")</f>
        <v>12600</v>
      </c>
      <c r="N234">
        <f ca="1">IFERROR(IF(0=LEN(ReferenceData!$N$234),"",ReferenceData!$N$234),"")</f>
        <v>9740</v>
      </c>
      <c r="O234">
        <f ca="1">IFERROR(IF(0=LEN(ReferenceData!$O$234),"",ReferenceData!$O$234),"")</f>
        <v>8923</v>
      </c>
      <c r="P234">
        <f ca="1">IFERROR(IF(0=LEN(ReferenceData!$P$234),"",ReferenceData!$P$234),"")</f>
        <v>10433</v>
      </c>
      <c r="Q234">
        <f ca="1">IFERROR(IF(0=LEN(ReferenceData!$Q$234),"",ReferenceData!$Q$234),"")</f>
        <v>8729</v>
      </c>
      <c r="R234">
        <f ca="1">IFERROR(IF(0=LEN(ReferenceData!$R$234),"",ReferenceData!$R$234),"")</f>
        <v>9636</v>
      </c>
      <c r="S234">
        <f ca="1">IFERROR(IF(0=LEN(ReferenceData!$S$234),"",ReferenceData!$S$234),"")</f>
        <v>10268</v>
      </c>
      <c r="T234">
        <f ca="1">IFERROR(IF(0=LEN(ReferenceData!$T$234),"",ReferenceData!$T$234),"")</f>
        <v>11020</v>
      </c>
      <c r="U234">
        <f ca="1">IFERROR(IF(0=LEN(ReferenceData!$U$234),"",ReferenceData!$U$234),"")</f>
        <v>9791</v>
      </c>
      <c r="V234">
        <f ca="1">IFERROR(IF(0=LEN(ReferenceData!$V$234),"",ReferenceData!$V$234),"")</f>
        <v>10355</v>
      </c>
      <c r="W234">
        <f ca="1">IFERROR(IF(0=LEN(ReferenceData!$W$234),"",ReferenceData!$W$234),"")</f>
        <v>9805</v>
      </c>
      <c r="X234">
        <f ca="1">IFERROR(IF(0=LEN(ReferenceData!$X$234),"",ReferenceData!$X$234),"")</f>
        <v>10136</v>
      </c>
      <c r="Y234">
        <f ca="1">IFERROR(IF(0=LEN(ReferenceData!$Y$234),"",ReferenceData!$Y$234),"")</f>
        <v>11921</v>
      </c>
      <c r="Z234">
        <f ca="1">IFERROR(IF(0=LEN(ReferenceData!$Z$234),"",ReferenceData!$Z$234),"")</f>
        <v>10086</v>
      </c>
      <c r="AA234">
        <f ca="1">IFERROR(IF(0=LEN(ReferenceData!$AA$234),"",ReferenceData!$AA$234),"")</f>
        <v>9012</v>
      </c>
      <c r="AB234">
        <f ca="1">IFERROR(IF(0=LEN(ReferenceData!$AB$234),"",ReferenceData!$AB$234),"")</f>
        <v>10297</v>
      </c>
      <c r="AC234">
        <f ca="1">IFERROR(IF(0=LEN(ReferenceData!$AC$234),"",ReferenceData!$AC$234),"")</f>
        <v>9525</v>
      </c>
      <c r="AD234">
        <f ca="1">IFERROR(IF(0=LEN(ReferenceData!$AD$234),"",ReferenceData!$AD$234),"")</f>
        <v>10848</v>
      </c>
      <c r="AE234">
        <f ca="1">IFERROR(IF(0=LEN(ReferenceData!$AE$234),"",ReferenceData!$AE$234),"")</f>
        <v>9305</v>
      </c>
      <c r="AF234">
        <f ca="1">IFERROR(IF(0=LEN(ReferenceData!$AF$234),"",ReferenceData!$AF$234),"")</f>
        <v>10127</v>
      </c>
      <c r="AG234">
        <f ca="1">IFERROR(IF(0=LEN(ReferenceData!$AG$234),"",ReferenceData!$AG$234),"")</f>
        <v>10275</v>
      </c>
      <c r="AH234">
        <f ca="1">IFERROR(IF(0=LEN(ReferenceData!$AH$234),"",ReferenceData!$AH$234),"")</f>
        <v>10149</v>
      </c>
      <c r="AI234">
        <f ca="1">IFERROR(IF(0=LEN(ReferenceData!$AI$234),"",ReferenceData!$AI$234),"")</f>
        <v>8287</v>
      </c>
      <c r="AJ234">
        <f ca="1">IFERROR(IF(0=LEN(ReferenceData!$AJ$234),"",ReferenceData!$AJ$234),"")</f>
        <v>8667</v>
      </c>
      <c r="AK234">
        <f ca="1">IFERROR(IF(0=LEN(ReferenceData!$AK$234),"",ReferenceData!$AK$234),"")</f>
        <v>10261</v>
      </c>
      <c r="AL234">
        <f ca="1">IFERROR(IF(0=LEN(ReferenceData!$AL$234),"",ReferenceData!$AL$234),"")</f>
        <v>7922</v>
      </c>
      <c r="AM234">
        <f ca="1">IFERROR(IF(0=LEN(ReferenceData!$AM$234),"",ReferenceData!$AM$234),"")</f>
        <v>8343</v>
      </c>
      <c r="AN234">
        <f ca="1">IFERROR(IF(0=LEN(ReferenceData!$AN$234),"",ReferenceData!$AN$234),"")</f>
        <v>10030</v>
      </c>
      <c r="AO234">
        <f ca="1">IFERROR(IF(0=LEN(ReferenceData!$AO$234),"",ReferenceData!$AO$234),"")</f>
        <v>6932</v>
      </c>
      <c r="AP234">
        <f ca="1">IFERROR(IF(0=LEN(ReferenceData!$AP$234),"",ReferenceData!$AP$234),"")</f>
        <v>9392</v>
      </c>
      <c r="AQ234">
        <f ca="1">IFERROR(IF(0=LEN(ReferenceData!$AQ$234),"",ReferenceData!$AQ$234),"")</f>
        <v>9189</v>
      </c>
      <c r="AR234">
        <f ca="1">IFERROR(IF(0=LEN(ReferenceData!$AR$234),"",ReferenceData!$AR$234),"")</f>
        <v>8916</v>
      </c>
      <c r="AS234">
        <f ca="1">IFERROR(IF(0=LEN(ReferenceData!$AS$234),"",ReferenceData!$AS$234),"")</f>
        <v>10129</v>
      </c>
    </row>
    <row r="235" spans="1:45" x14ac:dyDescent="0.25">
      <c r="A235" t="str">
        <f>IFERROR(IF(0=LEN(ReferenceData!$A$235),"",ReferenceData!$A$235),"")</f>
        <v xml:space="preserve">    Daimler - Freightliner</v>
      </c>
      <c r="B235" t="str">
        <f>IFERROR(IF(0=LEN(ReferenceData!$B$235),"",ReferenceData!$B$235),"")</f>
        <v>DAI GR Equity</v>
      </c>
      <c r="C235" t="str">
        <f>IFERROR(IF(0=LEN(ReferenceData!$C$235),"",ReferenceData!$C$235),"")</f>
        <v>X1701</v>
      </c>
      <c r="D235" t="str">
        <f>IFERROR(IF(0=LEN(ReferenceData!$D$235),"",ReferenceData!$D$235),"")</f>
        <v>WARDS_RETAIL_SALES_UNITS</v>
      </c>
      <c r="E235" t="str">
        <f>IFERROR(IF(0=LEN(ReferenceData!$E$235),"",ReferenceData!$E$235),"")</f>
        <v>Dynamic</v>
      </c>
      <c r="F235">
        <f ca="1">IFERROR(IF(0=LEN(ReferenceData!$F$235),"",ReferenceData!$F$235),"")</f>
        <v>4070</v>
      </c>
      <c r="G235">
        <f ca="1">IFERROR(IF(0=LEN(ReferenceData!$G$235),"",ReferenceData!$G$235),"")</f>
        <v>3920</v>
      </c>
      <c r="H235">
        <f ca="1">IFERROR(IF(0=LEN(ReferenceData!$H$235),"",ReferenceData!$H$235),"")</f>
        <v>4654</v>
      </c>
      <c r="I235">
        <f ca="1">IFERROR(IF(0=LEN(ReferenceData!$I$235),"",ReferenceData!$I$235),"")</f>
        <v>3569</v>
      </c>
      <c r="J235">
        <f ca="1">IFERROR(IF(0=LEN(ReferenceData!$J$235),"",ReferenceData!$J$235),"")</f>
        <v>3732</v>
      </c>
      <c r="K235">
        <f ca="1">IFERROR(IF(0=LEN(ReferenceData!$K$235),"",ReferenceData!$K$235),"")</f>
        <v>4302</v>
      </c>
      <c r="L235">
        <f ca="1">IFERROR(IF(0=LEN(ReferenceData!$L$235),"",ReferenceData!$L$235),"")</f>
        <v>3975</v>
      </c>
      <c r="M235">
        <f ca="1">IFERROR(IF(0=LEN(ReferenceData!$M$235),"",ReferenceData!$M$235),"")</f>
        <v>4811</v>
      </c>
      <c r="N235">
        <f ca="1">IFERROR(IF(0=LEN(ReferenceData!$N$235),"",ReferenceData!$N$235),"")</f>
        <v>4136</v>
      </c>
      <c r="O235">
        <f ca="1">IFERROR(IF(0=LEN(ReferenceData!$O$235),"",ReferenceData!$O$235),"")</f>
        <v>3534</v>
      </c>
      <c r="P235">
        <f ca="1">IFERROR(IF(0=LEN(ReferenceData!$P$235),"",ReferenceData!$P$235),"")</f>
        <v>3199</v>
      </c>
      <c r="Q235">
        <f ca="1">IFERROR(IF(0=LEN(ReferenceData!$Q$235),"",ReferenceData!$Q$235),"")</f>
        <v>3421</v>
      </c>
      <c r="R235">
        <f ca="1">IFERROR(IF(0=LEN(ReferenceData!$R$235),"",ReferenceData!$R$235),"")</f>
        <v>3922</v>
      </c>
      <c r="S235">
        <f ca="1">IFERROR(IF(0=LEN(ReferenceData!$S$235),"",ReferenceData!$S$235),"")</f>
        <v>3749</v>
      </c>
      <c r="T235">
        <f ca="1">IFERROR(IF(0=LEN(ReferenceData!$T$235),"",ReferenceData!$T$235),"")</f>
        <v>4458</v>
      </c>
      <c r="U235">
        <f ca="1">IFERROR(IF(0=LEN(ReferenceData!$U$235),"",ReferenceData!$U$235),"")</f>
        <v>3891</v>
      </c>
      <c r="V235">
        <f ca="1">IFERROR(IF(0=LEN(ReferenceData!$V$235),"",ReferenceData!$V$235),"")</f>
        <v>4152</v>
      </c>
      <c r="W235">
        <f ca="1">IFERROR(IF(0=LEN(ReferenceData!$W$235),"",ReferenceData!$W$235),"")</f>
        <v>3824</v>
      </c>
      <c r="X235">
        <f ca="1">IFERROR(IF(0=LEN(ReferenceData!$X$235),"",ReferenceData!$X$235),"")</f>
        <v>3685</v>
      </c>
      <c r="Y235">
        <f ca="1">IFERROR(IF(0=LEN(ReferenceData!$Y$235),"",ReferenceData!$Y$235),"")</f>
        <v>4243</v>
      </c>
      <c r="Z235">
        <f ca="1">IFERROR(IF(0=LEN(ReferenceData!$Z$235),"",ReferenceData!$Z$235),"")</f>
        <v>4253</v>
      </c>
      <c r="AA235">
        <f ca="1">IFERROR(IF(0=LEN(ReferenceData!$AA$235),"",ReferenceData!$AA$235),"")</f>
        <v>3876</v>
      </c>
      <c r="AB235">
        <f ca="1">IFERROR(IF(0=LEN(ReferenceData!$AB$235),"",ReferenceData!$AB$235),"")</f>
        <v>3340</v>
      </c>
      <c r="AC235">
        <f ca="1">IFERROR(IF(0=LEN(ReferenceData!$AC$235),"",ReferenceData!$AC$235),"")</f>
        <v>4394</v>
      </c>
      <c r="AD235">
        <f ca="1">IFERROR(IF(0=LEN(ReferenceData!$AD$235),"",ReferenceData!$AD$235),"")</f>
        <v>4691</v>
      </c>
      <c r="AE235">
        <f ca="1">IFERROR(IF(0=LEN(ReferenceData!$AE$235),"",ReferenceData!$AE$235),"")</f>
        <v>4092</v>
      </c>
      <c r="AF235">
        <f ca="1">IFERROR(IF(0=LEN(ReferenceData!$AF$235),"",ReferenceData!$AF$235),"")</f>
        <v>3954</v>
      </c>
      <c r="AG235">
        <f ca="1">IFERROR(IF(0=LEN(ReferenceData!$AG$235),"",ReferenceData!$AG$235),"")</f>
        <v>3673</v>
      </c>
      <c r="AH235">
        <f ca="1">IFERROR(IF(0=LEN(ReferenceData!$AH$235),"",ReferenceData!$AH$235),"")</f>
        <v>4000</v>
      </c>
      <c r="AI235">
        <f ca="1">IFERROR(IF(0=LEN(ReferenceData!$AI$235),"",ReferenceData!$AI$235),"")</f>
        <v>3821</v>
      </c>
      <c r="AJ235">
        <f ca="1">IFERROR(IF(0=LEN(ReferenceData!$AJ$235),"",ReferenceData!$AJ$235),"")</f>
        <v>3626</v>
      </c>
      <c r="AK235">
        <f ca="1">IFERROR(IF(0=LEN(ReferenceData!$AK$235),"",ReferenceData!$AK$235),"")</f>
        <v>3877</v>
      </c>
      <c r="AL235">
        <f ca="1">IFERROR(IF(0=LEN(ReferenceData!$AL$235),"",ReferenceData!$AL$235),"")</f>
        <v>3192</v>
      </c>
      <c r="AM235">
        <f ca="1">IFERROR(IF(0=LEN(ReferenceData!$AM$235),"",ReferenceData!$AM$235),"")</f>
        <v>3433</v>
      </c>
      <c r="AN235">
        <f ca="1">IFERROR(IF(0=LEN(ReferenceData!$AN$235),"",ReferenceData!$AN$235),"")</f>
        <v>3465</v>
      </c>
      <c r="AO235">
        <f ca="1">IFERROR(IF(0=LEN(ReferenceData!$AO$235),"",ReferenceData!$AO$235),"")</f>
        <v>2737</v>
      </c>
      <c r="AP235">
        <f ca="1">IFERROR(IF(0=LEN(ReferenceData!$AP$235),"",ReferenceData!$AP$235),"")</f>
        <v>4002</v>
      </c>
      <c r="AQ235">
        <f ca="1">IFERROR(IF(0=LEN(ReferenceData!$AQ$235),"",ReferenceData!$AQ$235),"")</f>
        <v>3752</v>
      </c>
      <c r="AR235">
        <f ca="1">IFERROR(IF(0=LEN(ReferenceData!$AR$235),"",ReferenceData!$AR$235),"")</f>
        <v>3697</v>
      </c>
      <c r="AS235">
        <f ca="1">IFERROR(IF(0=LEN(ReferenceData!$AS$235),"",ReferenceData!$AS$235),"")</f>
        <v>4046</v>
      </c>
    </row>
    <row r="236" spans="1:45" x14ac:dyDescent="0.25">
      <c r="A236" t="str">
        <f>IFERROR(IF(0=LEN(ReferenceData!$A$236),"",ReferenceData!$A$236),"")</f>
        <v xml:space="preserve">    Daimler - Mitsubishi Fuso</v>
      </c>
      <c r="B236" t="str">
        <f>IFERROR(IF(0=LEN(ReferenceData!$B$236),"",ReferenceData!$B$236),"")</f>
        <v>DAI GR Equity</v>
      </c>
      <c r="C236" t="str">
        <f>IFERROR(IF(0=LEN(ReferenceData!$C$236),"",ReferenceData!$C$236),"")</f>
        <v>X1701</v>
      </c>
      <c r="D236" t="str">
        <f>IFERROR(IF(0=LEN(ReferenceData!$D$236),"",ReferenceData!$D$236),"")</f>
        <v>WARDS_RETAIL_SALES_UNITS</v>
      </c>
      <c r="E236" t="str">
        <f>IFERROR(IF(0=LEN(ReferenceData!$E$236),"",ReferenceData!$E$236),"")</f>
        <v>Dynamic</v>
      </c>
      <c r="F236">
        <f ca="1">IFERROR(IF(0=LEN(ReferenceData!$F$236),"",ReferenceData!$F$236),"")</f>
        <v>0</v>
      </c>
      <c r="G236">
        <f ca="1">IFERROR(IF(0=LEN(ReferenceData!$G$236),"",ReferenceData!$G$236),"")</f>
        <v>0</v>
      </c>
      <c r="H236">
        <f ca="1">IFERROR(IF(0=LEN(ReferenceData!$H$236),"",ReferenceData!$H$236),"")</f>
        <v>0</v>
      </c>
      <c r="I236">
        <f ca="1">IFERROR(IF(0=LEN(ReferenceData!$I$236),"",ReferenceData!$I$236),"")</f>
        <v>0</v>
      </c>
      <c r="J236">
        <f ca="1">IFERROR(IF(0=LEN(ReferenceData!$J$236),"",ReferenceData!$J$236),"")</f>
        <v>0</v>
      </c>
      <c r="K236">
        <f ca="1">IFERROR(IF(0=LEN(ReferenceData!$K$236),"",ReferenceData!$K$236),"")</f>
        <v>0</v>
      </c>
      <c r="L236">
        <f ca="1">IFERROR(IF(0=LEN(ReferenceData!$L$236),"",ReferenceData!$L$236),"")</f>
        <v>0</v>
      </c>
      <c r="M236">
        <f ca="1">IFERROR(IF(0=LEN(ReferenceData!$M$236),"",ReferenceData!$M$236),"")</f>
        <v>0</v>
      </c>
      <c r="N236">
        <f ca="1">IFERROR(IF(0=LEN(ReferenceData!$N$236),"",ReferenceData!$N$236),"")</f>
        <v>0</v>
      </c>
      <c r="O236">
        <f ca="1">IFERROR(IF(0=LEN(ReferenceData!$O$236),"",ReferenceData!$O$236),"")</f>
        <v>0</v>
      </c>
      <c r="P236">
        <f ca="1">IFERROR(IF(0=LEN(ReferenceData!$P$236),"",ReferenceData!$P$236),"")</f>
        <v>0</v>
      </c>
      <c r="Q236">
        <f ca="1">IFERROR(IF(0=LEN(ReferenceData!$Q$236),"",ReferenceData!$Q$236),"")</f>
        <v>0</v>
      </c>
      <c r="R236">
        <f ca="1">IFERROR(IF(0=LEN(ReferenceData!$R$236),"",ReferenceData!$R$236),"")</f>
        <v>0</v>
      </c>
      <c r="S236">
        <f ca="1">IFERROR(IF(0=LEN(ReferenceData!$S$236),"",ReferenceData!$S$236),"")</f>
        <v>0</v>
      </c>
      <c r="T236">
        <f ca="1">IFERROR(IF(0=LEN(ReferenceData!$T$236),"",ReferenceData!$T$236),"")</f>
        <v>0</v>
      </c>
      <c r="U236">
        <f ca="1">IFERROR(IF(0=LEN(ReferenceData!$U$236),"",ReferenceData!$U$236),"")</f>
        <v>0</v>
      </c>
      <c r="V236">
        <f ca="1">IFERROR(IF(0=LEN(ReferenceData!$V$236),"",ReferenceData!$V$236),"")</f>
        <v>0</v>
      </c>
      <c r="W236">
        <f ca="1">IFERROR(IF(0=LEN(ReferenceData!$W$236),"",ReferenceData!$W$236),"")</f>
        <v>0</v>
      </c>
      <c r="X236">
        <f ca="1">IFERROR(IF(0=LEN(ReferenceData!$X$236),"",ReferenceData!$X$236),"")</f>
        <v>0</v>
      </c>
      <c r="Y236">
        <f ca="1">IFERROR(IF(0=LEN(ReferenceData!$Y$236),"",ReferenceData!$Y$236),"")</f>
        <v>0</v>
      </c>
      <c r="Z236">
        <f ca="1">IFERROR(IF(0=LEN(ReferenceData!$Z$236),"",ReferenceData!$Z$236),"")</f>
        <v>0</v>
      </c>
      <c r="AA236">
        <f ca="1">IFERROR(IF(0=LEN(ReferenceData!$AA$236),"",ReferenceData!$AA$236),"")</f>
        <v>0</v>
      </c>
      <c r="AB236">
        <f ca="1">IFERROR(IF(0=LEN(ReferenceData!$AB$236),"",ReferenceData!$AB$236),"")</f>
        <v>0</v>
      </c>
      <c r="AC236">
        <f ca="1">IFERROR(IF(0=LEN(ReferenceData!$AC$236),"",ReferenceData!$AC$236),"")</f>
        <v>0</v>
      </c>
      <c r="AD236">
        <f ca="1">IFERROR(IF(0=LEN(ReferenceData!$AD$236),"",ReferenceData!$AD$236),"")</f>
        <v>0</v>
      </c>
      <c r="AE236">
        <f ca="1">IFERROR(IF(0=LEN(ReferenceData!$AE$236),"",ReferenceData!$AE$236),"")</f>
        <v>0</v>
      </c>
      <c r="AF236">
        <f ca="1">IFERROR(IF(0=LEN(ReferenceData!$AF$236),"",ReferenceData!$AF$236),"")</f>
        <v>0</v>
      </c>
      <c r="AG236">
        <f ca="1">IFERROR(IF(0=LEN(ReferenceData!$AG$236),"",ReferenceData!$AG$236),"")</f>
        <v>0</v>
      </c>
      <c r="AH236">
        <f ca="1">IFERROR(IF(0=LEN(ReferenceData!$AH$236),"",ReferenceData!$AH$236),"")</f>
        <v>0</v>
      </c>
      <c r="AI236">
        <f ca="1">IFERROR(IF(0=LEN(ReferenceData!$AI$236),"",ReferenceData!$AI$236),"")</f>
        <v>0</v>
      </c>
      <c r="AJ236">
        <f ca="1">IFERROR(IF(0=LEN(ReferenceData!$AJ$236),"",ReferenceData!$AJ$236),"")</f>
        <v>0</v>
      </c>
      <c r="AK236">
        <f ca="1">IFERROR(IF(0=LEN(ReferenceData!$AK$236),"",ReferenceData!$AK$236),"")</f>
        <v>0</v>
      </c>
      <c r="AL236">
        <f ca="1">IFERROR(IF(0=LEN(ReferenceData!$AL$236),"",ReferenceData!$AL$236),"")</f>
        <v>0</v>
      </c>
      <c r="AM236">
        <f ca="1">IFERROR(IF(0=LEN(ReferenceData!$AM$236),"",ReferenceData!$AM$236),"")</f>
        <v>0</v>
      </c>
      <c r="AN236">
        <f ca="1">IFERROR(IF(0=LEN(ReferenceData!$AN$236),"",ReferenceData!$AN$236),"")</f>
        <v>0</v>
      </c>
      <c r="AO236">
        <f ca="1">IFERROR(IF(0=LEN(ReferenceData!$AO$236),"",ReferenceData!$AO$236),"")</f>
        <v>0</v>
      </c>
      <c r="AP236">
        <f ca="1">IFERROR(IF(0=LEN(ReferenceData!$AP$236),"",ReferenceData!$AP$236),"")</f>
        <v>0</v>
      </c>
      <c r="AQ236">
        <f ca="1">IFERROR(IF(0=LEN(ReferenceData!$AQ$236),"",ReferenceData!$AQ$236),"")</f>
        <v>0</v>
      </c>
      <c r="AR236">
        <f ca="1">IFERROR(IF(0=LEN(ReferenceData!$AR$236),"",ReferenceData!$AR$236),"")</f>
        <v>0</v>
      </c>
      <c r="AS236">
        <f ca="1">IFERROR(IF(0=LEN(ReferenceData!$AS$236),"",ReferenceData!$AS$236),"")</f>
        <v>0</v>
      </c>
    </row>
    <row r="237" spans="1:45" x14ac:dyDescent="0.25">
      <c r="A237" t="str">
        <f>IFERROR(IF(0=LEN(ReferenceData!$A$237),"",ReferenceData!$A$237),"")</f>
        <v xml:space="preserve">    Daimler - Western Star</v>
      </c>
      <c r="B237" t="str">
        <f>IFERROR(IF(0=LEN(ReferenceData!$B$237),"",ReferenceData!$B$237),"")</f>
        <v>DAI GR Equity</v>
      </c>
      <c r="C237" t="str">
        <f>IFERROR(IF(0=LEN(ReferenceData!$C$237),"",ReferenceData!$C$237),"")</f>
        <v>X1701</v>
      </c>
      <c r="D237" t="str">
        <f>IFERROR(IF(0=LEN(ReferenceData!$D$237),"",ReferenceData!$D$237),"")</f>
        <v>WARDS_RETAIL_SALES_UNITS</v>
      </c>
      <c r="E237" t="str">
        <f>IFERROR(IF(0=LEN(ReferenceData!$E$237),"",ReferenceData!$E$237),"")</f>
        <v>Dynamic</v>
      </c>
      <c r="F237" t="str">
        <f ca="1">IFERROR(IF(0=LEN(ReferenceData!$F$237),"",ReferenceData!$F$237),"")</f>
        <v/>
      </c>
      <c r="G237" t="str">
        <f ca="1">IFERROR(IF(0=LEN(ReferenceData!$G$237),"",ReferenceData!$G$237),"")</f>
        <v/>
      </c>
      <c r="H237" t="str">
        <f ca="1">IFERROR(IF(0=LEN(ReferenceData!$H$237),"",ReferenceData!$H$237),"")</f>
        <v/>
      </c>
      <c r="I237" t="str">
        <f ca="1">IFERROR(IF(0=LEN(ReferenceData!$I$237),"",ReferenceData!$I$237),"")</f>
        <v/>
      </c>
      <c r="J237" t="str">
        <f ca="1">IFERROR(IF(0=LEN(ReferenceData!$J$237),"",ReferenceData!$J$237),"")</f>
        <v/>
      </c>
      <c r="K237" t="str">
        <f ca="1">IFERROR(IF(0=LEN(ReferenceData!$K$237),"",ReferenceData!$K$237),"")</f>
        <v/>
      </c>
      <c r="L237" t="str">
        <f ca="1">IFERROR(IF(0=LEN(ReferenceData!$L$237),"",ReferenceData!$L$237),"")</f>
        <v/>
      </c>
      <c r="M237" t="str">
        <f ca="1">IFERROR(IF(0=LEN(ReferenceData!$M$237),"",ReferenceData!$M$237),"")</f>
        <v/>
      </c>
      <c r="N237" t="str">
        <f ca="1">IFERROR(IF(0=LEN(ReferenceData!$N$237),"",ReferenceData!$N$237),"")</f>
        <v/>
      </c>
      <c r="O237" t="str">
        <f ca="1">IFERROR(IF(0=LEN(ReferenceData!$O$237),"",ReferenceData!$O$237),"")</f>
        <v/>
      </c>
      <c r="P237" t="str">
        <f ca="1">IFERROR(IF(0=LEN(ReferenceData!$P$237),"",ReferenceData!$P$237),"")</f>
        <v/>
      </c>
      <c r="Q237" t="str">
        <f ca="1">IFERROR(IF(0=LEN(ReferenceData!$Q$237),"",ReferenceData!$Q$237),"")</f>
        <v/>
      </c>
      <c r="R237" t="str">
        <f ca="1">IFERROR(IF(0=LEN(ReferenceData!$R$237),"",ReferenceData!$R$237),"")</f>
        <v/>
      </c>
      <c r="S237" t="str">
        <f ca="1">IFERROR(IF(0=LEN(ReferenceData!$S$237),"",ReferenceData!$S$237),"")</f>
        <v/>
      </c>
      <c r="T237" t="str">
        <f ca="1">IFERROR(IF(0=LEN(ReferenceData!$T$237),"",ReferenceData!$T$237),"")</f>
        <v/>
      </c>
      <c r="U237" t="str">
        <f ca="1">IFERROR(IF(0=LEN(ReferenceData!$U$237),"",ReferenceData!$U$237),"")</f>
        <v/>
      </c>
      <c r="V237" t="str">
        <f ca="1">IFERROR(IF(0=LEN(ReferenceData!$V$237),"",ReferenceData!$V$237),"")</f>
        <v/>
      </c>
      <c r="W237" t="str">
        <f ca="1">IFERROR(IF(0=LEN(ReferenceData!$W$237),"",ReferenceData!$W$237),"")</f>
        <v/>
      </c>
      <c r="X237" t="str">
        <f ca="1">IFERROR(IF(0=LEN(ReferenceData!$X$237),"",ReferenceData!$X$237),"")</f>
        <v/>
      </c>
      <c r="Y237" t="str">
        <f ca="1">IFERROR(IF(0=LEN(ReferenceData!$Y$237),"",ReferenceData!$Y$237),"")</f>
        <v/>
      </c>
      <c r="Z237" t="str">
        <f ca="1">IFERROR(IF(0=LEN(ReferenceData!$Z$237),"",ReferenceData!$Z$237),"")</f>
        <v/>
      </c>
      <c r="AA237" t="str">
        <f ca="1">IFERROR(IF(0=LEN(ReferenceData!$AA$237),"",ReferenceData!$AA$237),"")</f>
        <v/>
      </c>
      <c r="AB237" t="str">
        <f ca="1">IFERROR(IF(0=LEN(ReferenceData!$AB$237),"",ReferenceData!$AB$237),"")</f>
        <v/>
      </c>
      <c r="AC237" t="str">
        <f ca="1">IFERROR(IF(0=LEN(ReferenceData!$AC$237),"",ReferenceData!$AC$237),"")</f>
        <v/>
      </c>
      <c r="AD237" t="str">
        <f ca="1">IFERROR(IF(0=LEN(ReferenceData!$AD$237),"",ReferenceData!$AD$237),"")</f>
        <v/>
      </c>
      <c r="AE237" t="str">
        <f ca="1">IFERROR(IF(0=LEN(ReferenceData!$AE$237),"",ReferenceData!$AE$237),"")</f>
        <v/>
      </c>
      <c r="AF237" t="str">
        <f ca="1">IFERROR(IF(0=LEN(ReferenceData!$AF$237),"",ReferenceData!$AF$237),"")</f>
        <v/>
      </c>
      <c r="AG237" t="str">
        <f ca="1">IFERROR(IF(0=LEN(ReferenceData!$AG$237),"",ReferenceData!$AG$237),"")</f>
        <v/>
      </c>
      <c r="AH237" t="str">
        <f ca="1">IFERROR(IF(0=LEN(ReferenceData!$AH$237),"",ReferenceData!$AH$237),"")</f>
        <v/>
      </c>
      <c r="AI237" t="str">
        <f ca="1">IFERROR(IF(0=LEN(ReferenceData!$AI$237),"",ReferenceData!$AI$237),"")</f>
        <v/>
      </c>
      <c r="AJ237" t="str">
        <f ca="1">IFERROR(IF(0=LEN(ReferenceData!$AJ$237),"",ReferenceData!$AJ$237),"")</f>
        <v/>
      </c>
      <c r="AK237" t="str">
        <f ca="1">IFERROR(IF(0=LEN(ReferenceData!$AK$237),"",ReferenceData!$AK$237),"")</f>
        <v/>
      </c>
      <c r="AL237" t="str">
        <f ca="1">IFERROR(IF(0=LEN(ReferenceData!$AL$237),"",ReferenceData!$AL$237),"")</f>
        <v/>
      </c>
      <c r="AM237" t="str">
        <f ca="1">IFERROR(IF(0=LEN(ReferenceData!$AM$237),"",ReferenceData!$AM$237),"")</f>
        <v/>
      </c>
      <c r="AN237" t="str">
        <f ca="1">IFERROR(IF(0=LEN(ReferenceData!$AN$237),"",ReferenceData!$AN$237),"")</f>
        <v/>
      </c>
      <c r="AO237" t="str">
        <f ca="1">IFERROR(IF(0=LEN(ReferenceData!$AO$237),"",ReferenceData!$AO$237),"")</f>
        <v/>
      </c>
      <c r="AP237" t="str">
        <f ca="1">IFERROR(IF(0=LEN(ReferenceData!$AP$237),"",ReferenceData!$AP$237),"")</f>
        <v/>
      </c>
      <c r="AQ237" t="str">
        <f ca="1">IFERROR(IF(0=LEN(ReferenceData!$AQ$237),"",ReferenceData!$AQ$237),"")</f>
        <v/>
      </c>
      <c r="AR237" t="str">
        <f ca="1">IFERROR(IF(0=LEN(ReferenceData!$AR$237),"",ReferenceData!$AR$237),"")</f>
        <v/>
      </c>
      <c r="AS237" t="str">
        <f ca="1">IFERROR(IF(0=LEN(ReferenceData!$AS$237),"",ReferenceData!$AS$237),"")</f>
        <v/>
      </c>
    </row>
    <row r="238" spans="1:45" x14ac:dyDescent="0.25">
      <c r="A238" t="str">
        <f>IFERROR(IF(0=LEN(ReferenceData!$A$238),"",ReferenceData!$A$238),"")</f>
        <v xml:space="preserve">    Daimler - Sterling</v>
      </c>
      <c r="B238" t="str">
        <f>IFERROR(IF(0=LEN(ReferenceData!$B$238),"",ReferenceData!$B$238),"")</f>
        <v>DAI GR Equity</v>
      </c>
      <c r="C238" t="str">
        <f>IFERROR(IF(0=LEN(ReferenceData!$C$238),"",ReferenceData!$C$238),"")</f>
        <v>X1701</v>
      </c>
      <c r="D238" t="str">
        <f>IFERROR(IF(0=LEN(ReferenceData!$D$238),"",ReferenceData!$D$238),"")</f>
        <v>WARDS_RETAIL_SALES_UNITS</v>
      </c>
      <c r="E238" t="str">
        <f>IFERROR(IF(0=LEN(ReferenceData!$E$238),"",ReferenceData!$E$238),"")</f>
        <v>Dynamic</v>
      </c>
      <c r="F238" t="str">
        <f ca="1">IFERROR(IF(0=LEN(ReferenceData!$F$238),"",ReferenceData!$F$238),"")</f>
        <v/>
      </c>
      <c r="G238" t="str">
        <f ca="1">IFERROR(IF(0=LEN(ReferenceData!$G$238),"",ReferenceData!$G$238),"")</f>
        <v/>
      </c>
      <c r="H238" t="str">
        <f ca="1">IFERROR(IF(0=LEN(ReferenceData!$H$238),"",ReferenceData!$H$238),"")</f>
        <v/>
      </c>
      <c r="I238" t="str">
        <f ca="1">IFERROR(IF(0=LEN(ReferenceData!$I$238),"",ReferenceData!$I$238),"")</f>
        <v/>
      </c>
      <c r="J238" t="str">
        <f ca="1">IFERROR(IF(0=LEN(ReferenceData!$J$238),"",ReferenceData!$J$238),"")</f>
        <v/>
      </c>
      <c r="K238" t="str">
        <f ca="1">IFERROR(IF(0=LEN(ReferenceData!$K$238),"",ReferenceData!$K$238),"")</f>
        <v/>
      </c>
      <c r="L238" t="str">
        <f ca="1">IFERROR(IF(0=LEN(ReferenceData!$L$238),"",ReferenceData!$L$238),"")</f>
        <v/>
      </c>
      <c r="M238" t="str">
        <f ca="1">IFERROR(IF(0=LEN(ReferenceData!$M$238),"",ReferenceData!$M$238),"")</f>
        <v/>
      </c>
      <c r="N238" t="str">
        <f ca="1">IFERROR(IF(0=LEN(ReferenceData!$N$238),"",ReferenceData!$N$238),"")</f>
        <v/>
      </c>
      <c r="O238" t="str">
        <f ca="1">IFERROR(IF(0=LEN(ReferenceData!$O$238),"",ReferenceData!$O$238),"")</f>
        <v/>
      </c>
      <c r="P238" t="str">
        <f ca="1">IFERROR(IF(0=LEN(ReferenceData!$P$238),"",ReferenceData!$P$238),"")</f>
        <v/>
      </c>
      <c r="Q238" t="str">
        <f ca="1">IFERROR(IF(0=LEN(ReferenceData!$Q$238),"",ReferenceData!$Q$238),"")</f>
        <v/>
      </c>
      <c r="R238" t="str">
        <f ca="1">IFERROR(IF(0=LEN(ReferenceData!$R$238),"",ReferenceData!$R$238),"")</f>
        <v/>
      </c>
      <c r="S238" t="str">
        <f ca="1">IFERROR(IF(0=LEN(ReferenceData!$S$238),"",ReferenceData!$S$238),"")</f>
        <v/>
      </c>
      <c r="T238" t="str">
        <f ca="1">IFERROR(IF(0=LEN(ReferenceData!$T$238),"",ReferenceData!$T$238),"")</f>
        <v/>
      </c>
      <c r="U238" t="str">
        <f ca="1">IFERROR(IF(0=LEN(ReferenceData!$U$238),"",ReferenceData!$U$238),"")</f>
        <v/>
      </c>
      <c r="V238" t="str">
        <f ca="1">IFERROR(IF(0=LEN(ReferenceData!$V$238),"",ReferenceData!$V$238),"")</f>
        <v/>
      </c>
      <c r="W238" t="str">
        <f ca="1">IFERROR(IF(0=LEN(ReferenceData!$W$238),"",ReferenceData!$W$238),"")</f>
        <v/>
      </c>
      <c r="X238" t="str">
        <f ca="1">IFERROR(IF(0=LEN(ReferenceData!$X$238),"",ReferenceData!$X$238),"")</f>
        <v/>
      </c>
      <c r="Y238" t="str">
        <f ca="1">IFERROR(IF(0=LEN(ReferenceData!$Y$238),"",ReferenceData!$Y$238),"")</f>
        <v/>
      </c>
      <c r="Z238" t="str">
        <f ca="1">IFERROR(IF(0=LEN(ReferenceData!$Z$238),"",ReferenceData!$Z$238),"")</f>
        <v/>
      </c>
      <c r="AA238" t="str">
        <f ca="1">IFERROR(IF(0=LEN(ReferenceData!$AA$238),"",ReferenceData!$AA$238),"")</f>
        <v/>
      </c>
      <c r="AB238" t="str">
        <f ca="1">IFERROR(IF(0=LEN(ReferenceData!$AB$238),"",ReferenceData!$AB$238),"")</f>
        <v/>
      </c>
      <c r="AC238" t="str">
        <f ca="1">IFERROR(IF(0=LEN(ReferenceData!$AC$238),"",ReferenceData!$AC$238),"")</f>
        <v/>
      </c>
      <c r="AD238" t="str">
        <f ca="1">IFERROR(IF(0=LEN(ReferenceData!$AD$238),"",ReferenceData!$AD$238),"")</f>
        <v/>
      </c>
      <c r="AE238" t="str">
        <f ca="1">IFERROR(IF(0=LEN(ReferenceData!$AE$238),"",ReferenceData!$AE$238),"")</f>
        <v/>
      </c>
      <c r="AF238" t="str">
        <f ca="1">IFERROR(IF(0=LEN(ReferenceData!$AF$238),"",ReferenceData!$AF$238),"")</f>
        <v/>
      </c>
      <c r="AG238" t="str">
        <f ca="1">IFERROR(IF(0=LEN(ReferenceData!$AG$238),"",ReferenceData!$AG$238),"")</f>
        <v/>
      </c>
      <c r="AH238" t="str">
        <f ca="1">IFERROR(IF(0=LEN(ReferenceData!$AH$238),"",ReferenceData!$AH$238),"")</f>
        <v/>
      </c>
      <c r="AI238" t="str">
        <f ca="1">IFERROR(IF(0=LEN(ReferenceData!$AI$238),"",ReferenceData!$AI$238),"")</f>
        <v/>
      </c>
      <c r="AJ238" t="str">
        <f ca="1">IFERROR(IF(0=LEN(ReferenceData!$AJ$238),"",ReferenceData!$AJ$238),"")</f>
        <v/>
      </c>
      <c r="AK238" t="str">
        <f ca="1">IFERROR(IF(0=LEN(ReferenceData!$AK$238),"",ReferenceData!$AK$238),"")</f>
        <v/>
      </c>
      <c r="AL238" t="str">
        <f ca="1">IFERROR(IF(0=LEN(ReferenceData!$AL$238),"",ReferenceData!$AL$238),"")</f>
        <v/>
      </c>
      <c r="AM238" t="str">
        <f ca="1">IFERROR(IF(0=LEN(ReferenceData!$AM$238),"",ReferenceData!$AM$238),"")</f>
        <v/>
      </c>
      <c r="AN238" t="str">
        <f ca="1">IFERROR(IF(0=LEN(ReferenceData!$AN$238),"",ReferenceData!$AN$238),"")</f>
        <v/>
      </c>
      <c r="AO238" t="str">
        <f ca="1">IFERROR(IF(0=LEN(ReferenceData!$AO$238),"",ReferenceData!$AO$238),"")</f>
        <v/>
      </c>
      <c r="AP238" t="str">
        <f ca="1">IFERROR(IF(0=LEN(ReferenceData!$AP$238),"",ReferenceData!$AP$238),"")</f>
        <v/>
      </c>
      <c r="AQ238" t="str">
        <f ca="1">IFERROR(IF(0=LEN(ReferenceData!$AQ$238),"",ReferenceData!$AQ$238),"")</f>
        <v/>
      </c>
      <c r="AR238" t="str">
        <f ca="1">IFERROR(IF(0=LEN(ReferenceData!$AR$238),"",ReferenceData!$AR$238),"")</f>
        <v/>
      </c>
      <c r="AS238" t="str">
        <f ca="1">IFERROR(IF(0=LEN(ReferenceData!$AS$238),"",ReferenceData!$AS$238),"")</f>
        <v/>
      </c>
    </row>
    <row r="239" spans="1:45" x14ac:dyDescent="0.25">
      <c r="A239" t="str">
        <f>IFERROR(IF(0=LEN(ReferenceData!$A$239),"",ReferenceData!$A$239),"")</f>
        <v xml:space="preserve">    Navistar - International</v>
      </c>
      <c r="B239" t="str">
        <f>IFERROR(IF(0=LEN(ReferenceData!$B$239),"",ReferenceData!$B$239),"")</f>
        <v>NAV US Equity</v>
      </c>
      <c r="C239" t="str">
        <f>IFERROR(IF(0=LEN(ReferenceData!$C$239),"",ReferenceData!$C$239),"")</f>
        <v>X1701</v>
      </c>
      <c r="D239" t="str">
        <f>IFERROR(IF(0=LEN(ReferenceData!$D$239),"",ReferenceData!$D$239),"")</f>
        <v>WARDS_RETAIL_SALES_UNITS</v>
      </c>
      <c r="E239" t="str">
        <f>IFERROR(IF(0=LEN(ReferenceData!$E$239),"",ReferenceData!$E$239),"")</f>
        <v>Dynamic</v>
      </c>
      <c r="F239">
        <f ca="1">IFERROR(IF(0=LEN(ReferenceData!$F$239),"",ReferenceData!$F$239),"")</f>
        <v>2841</v>
      </c>
      <c r="G239">
        <f ca="1">IFERROR(IF(0=LEN(ReferenceData!$G$239),"",ReferenceData!$G$239),"")</f>
        <v>2512</v>
      </c>
      <c r="H239">
        <f ca="1">IFERROR(IF(0=LEN(ReferenceData!$H$239),"",ReferenceData!$H$239),"")</f>
        <v>4064</v>
      </c>
      <c r="I239">
        <f ca="1">IFERROR(IF(0=LEN(ReferenceData!$I$239),"",ReferenceData!$I$239),"")</f>
        <v>3062</v>
      </c>
      <c r="J239">
        <f ca="1">IFERROR(IF(0=LEN(ReferenceData!$J$239),"",ReferenceData!$J$239),"")</f>
        <v>2707</v>
      </c>
      <c r="K239">
        <f ca="1">IFERROR(IF(0=LEN(ReferenceData!$K$239),"",ReferenceData!$K$239),"")</f>
        <v>2371</v>
      </c>
      <c r="L239">
        <f ca="1">IFERROR(IF(0=LEN(ReferenceData!$L$239),"",ReferenceData!$L$239),"")</f>
        <v>2312</v>
      </c>
      <c r="M239">
        <f ca="1">IFERROR(IF(0=LEN(ReferenceData!$M$239),"",ReferenceData!$M$239),"")</f>
        <v>3320</v>
      </c>
      <c r="N239">
        <f ca="1">IFERROR(IF(0=LEN(ReferenceData!$N$239),"",ReferenceData!$N$239),"")</f>
        <v>2394</v>
      </c>
      <c r="O239">
        <f ca="1">IFERROR(IF(0=LEN(ReferenceData!$O$239),"",ReferenceData!$O$239),"")</f>
        <v>1813</v>
      </c>
      <c r="P239">
        <f ca="1">IFERROR(IF(0=LEN(ReferenceData!$P$239),"",ReferenceData!$P$239),"")</f>
        <v>1897</v>
      </c>
      <c r="Q239">
        <f ca="1">IFERROR(IF(0=LEN(ReferenceData!$Q$239),"",ReferenceData!$Q$239),"")</f>
        <v>1401</v>
      </c>
      <c r="R239">
        <f ca="1">IFERROR(IF(0=LEN(ReferenceData!$R$239),"",ReferenceData!$R$239),"")</f>
        <v>2030</v>
      </c>
      <c r="S239">
        <f ca="1">IFERROR(IF(0=LEN(ReferenceData!$S$239),"",ReferenceData!$S$239),"")</f>
        <v>3082</v>
      </c>
      <c r="T239">
        <f ca="1">IFERROR(IF(0=LEN(ReferenceData!$T$239),"",ReferenceData!$T$239),"")</f>
        <v>3171</v>
      </c>
      <c r="U239">
        <f ca="1">IFERROR(IF(0=LEN(ReferenceData!$U$239),"",ReferenceData!$U$239),"")</f>
        <v>2553</v>
      </c>
      <c r="V239">
        <f ca="1">IFERROR(IF(0=LEN(ReferenceData!$V$239),"",ReferenceData!$V$239),"")</f>
        <v>2468</v>
      </c>
      <c r="W239">
        <f ca="1">IFERROR(IF(0=LEN(ReferenceData!$W$239),"",ReferenceData!$W$239),"")</f>
        <v>2300</v>
      </c>
      <c r="X239">
        <f ca="1">IFERROR(IF(0=LEN(ReferenceData!$X$239),"",ReferenceData!$X$239),"")</f>
        <v>2280</v>
      </c>
      <c r="Y239">
        <f ca="1">IFERROR(IF(0=LEN(ReferenceData!$Y$239),"",ReferenceData!$Y$239),"")</f>
        <v>2418</v>
      </c>
      <c r="Z239">
        <f ca="1">IFERROR(IF(0=LEN(ReferenceData!$Z$239),"",ReferenceData!$Z$239),"")</f>
        <v>2471</v>
      </c>
      <c r="AA239">
        <f ca="1">IFERROR(IF(0=LEN(ReferenceData!$AA$239),"",ReferenceData!$AA$239),"")</f>
        <v>1939</v>
      </c>
      <c r="AB239">
        <f ca="1">IFERROR(IF(0=LEN(ReferenceData!$AB$239),"",ReferenceData!$AB$239),"")</f>
        <v>1931</v>
      </c>
      <c r="AC239">
        <f ca="1">IFERROR(IF(0=LEN(ReferenceData!$AC$239),"",ReferenceData!$AC$239),"")</f>
        <v>1621</v>
      </c>
      <c r="AD239">
        <f ca="1">IFERROR(IF(0=LEN(ReferenceData!$AD$239),"",ReferenceData!$AD$239),"")</f>
        <v>2429</v>
      </c>
      <c r="AE239">
        <f ca="1">IFERROR(IF(0=LEN(ReferenceData!$AE$239),"",ReferenceData!$AE$239),"")</f>
        <v>2087</v>
      </c>
      <c r="AF239">
        <f ca="1">IFERROR(IF(0=LEN(ReferenceData!$AF$239),"",ReferenceData!$AF$239),"")</f>
        <v>3060</v>
      </c>
      <c r="AG239">
        <f ca="1">IFERROR(IF(0=LEN(ReferenceData!$AG$239),"",ReferenceData!$AG$239),"")</f>
        <v>3190</v>
      </c>
      <c r="AH239">
        <f ca="1">IFERROR(IF(0=LEN(ReferenceData!$AH$239),"",ReferenceData!$AH$239),"")</f>
        <v>2917</v>
      </c>
      <c r="AI239">
        <f ca="1">IFERROR(IF(0=LEN(ReferenceData!$AI$239),"",ReferenceData!$AI$239),"")</f>
        <v>1675</v>
      </c>
      <c r="AJ239">
        <f ca="1">IFERROR(IF(0=LEN(ReferenceData!$AJ$239),"",ReferenceData!$AJ$239),"")</f>
        <v>2015</v>
      </c>
      <c r="AK239">
        <f ca="1">IFERROR(IF(0=LEN(ReferenceData!$AK$239),"",ReferenceData!$AK$239),"")</f>
        <v>2584</v>
      </c>
      <c r="AL239">
        <f ca="1">IFERROR(IF(0=LEN(ReferenceData!$AL$239),"",ReferenceData!$AL$239),"")</f>
        <v>2029</v>
      </c>
      <c r="AM239">
        <f ca="1">IFERROR(IF(0=LEN(ReferenceData!$AM$239),"",ReferenceData!$AM$239),"")</f>
        <v>2090</v>
      </c>
      <c r="AN239">
        <f ca="1">IFERROR(IF(0=LEN(ReferenceData!$AN$239),"",ReferenceData!$AN$239),"")</f>
        <v>1978</v>
      </c>
      <c r="AO239">
        <f ca="1">IFERROR(IF(0=LEN(ReferenceData!$AO$239),"",ReferenceData!$AO$239),"")</f>
        <v>1223</v>
      </c>
      <c r="AP239">
        <f ca="1">IFERROR(IF(0=LEN(ReferenceData!$AP$239),"",ReferenceData!$AP$239),"")</f>
        <v>2207</v>
      </c>
      <c r="AQ239">
        <f ca="1">IFERROR(IF(0=LEN(ReferenceData!$AQ$239),"",ReferenceData!$AQ$239),"")</f>
        <v>2389</v>
      </c>
      <c r="AR239">
        <f ca="1">IFERROR(IF(0=LEN(ReferenceData!$AR$239),"",ReferenceData!$AR$239),"")</f>
        <v>2433</v>
      </c>
      <c r="AS239">
        <f ca="1">IFERROR(IF(0=LEN(ReferenceData!$AS$239),"",ReferenceData!$AS$239),"")</f>
        <v>3201</v>
      </c>
    </row>
    <row r="240" spans="1:45" x14ac:dyDescent="0.25">
      <c r="A240" t="str">
        <f>IFERROR(IF(0=LEN(ReferenceData!$A$240),"",ReferenceData!$A$240),"")</f>
        <v xml:space="preserve">    PACCAR - Kenworth</v>
      </c>
      <c r="B240" t="str">
        <f>IFERROR(IF(0=LEN(ReferenceData!$B$240),"",ReferenceData!$B$240),"")</f>
        <v>PCAR US Equity</v>
      </c>
      <c r="C240" t="str">
        <f>IFERROR(IF(0=LEN(ReferenceData!$C$240),"",ReferenceData!$C$240),"")</f>
        <v>X1701</v>
      </c>
      <c r="D240" t="str">
        <f>IFERROR(IF(0=LEN(ReferenceData!$D$240),"",ReferenceData!$D$240),"")</f>
        <v>WARDS_RETAIL_SALES_UNITS</v>
      </c>
      <c r="E240" t="str">
        <f>IFERROR(IF(0=LEN(ReferenceData!$E$240),"",ReferenceData!$E$240),"")</f>
        <v>Dynamic</v>
      </c>
      <c r="F240">
        <f ca="1">IFERROR(IF(0=LEN(ReferenceData!$F$240),"",ReferenceData!$F$240),"")</f>
        <v>613</v>
      </c>
      <c r="G240">
        <f ca="1">IFERROR(IF(0=LEN(ReferenceData!$G$240),"",ReferenceData!$G$240),"")</f>
        <v>614</v>
      </c>
      <c r="H240">
        <f ca="1">IFERROR(IF(0=LEN(ReferenceData!$H$240),"",ReferenceData!$H$240),"")</f>
        <v>634</v>
      </c>
      <c r="I240">
        <f ca="1">IFERROR(IF(0=LEN(ReferenceData!$I$240),"",ReferenceData!$I$240),"")</f>
        <v>649</v>
      </c>
      <c r="J240">
        <f ca="1">IFERROR(IF(0=LEN(ReferenceData!$J$240),"",ReferenceData!$J$240),"")</f>
        <v>625</v>
      </c>
      <c r="K240">
        <f ca="1">IFERROR(IF(0=LEN(ReferenceData!$K$240),"",ReferenceData!$K$240),"")</f>
        <v>610</v>
      </c>
      <c r="L240">
        <f ca="1">IFERROR(IF(0=LEN(ReferenceData!$L$240),"",ReferenceData!$L$240),"")</f>
        <v>609</v>
      </c>
      <c r="M240">
        <f ca="1">IFERROR(IF(0=LEN(ReferenceData!$M$240),"",ReferenceData!$M$240),"")</f>
        <v>570</v>
      </c>
      <c r="N240">
        <f ca="1">IFERROR(IF(0=LEN(ReferenceData!$N$240),"",ReferenceData!$N$240),"")</f>
        <v>353</v>
      </c>
      <c r="O240">
        <f ca="1">IFERROR(IF(0=LEN(ReferenceData!$O$240),"",ReferenceData!$O$240),"")</f>
        <v>417</v>
      </c>
      <c r="P240">
        <f ca="1">IFERROR(IF(0=LEN(ReferenceData!$P$240),"",ReferenceData!$P$240),"")</f>
        <v>815</v>
      </c>
      <c r="Q240">
        <f ca="1">IFERROR(IF(0=LEN(ReferenceData!$Q$240),"",ReferenceData!$Q$240),"")</f>
        <v>551</v>
      </c>
      <c r="R240">
        <f ca="1">IFERROR(IF(0=LEN(ReferenceData!$R$240),"",ReferenceData!$R$240),"")</f>
        <v>679</v>
      </c>
      <c r="S240">
        <f ca="1">IFERROR(IF(0=LEN(ReferenceData!$S$240),"",ReferenceData!$S$240),"")</f>
        <v>565</v>
      </c>
      <c r="T240">
        <f ca="1">IFERROR(IF(0=LEN(ReferenceData!$T$240),"",ReferenceData!$T$240),"")</f>
        <v>638</v>
      </c>
      <c r="U240">
        <f ca="1">IFERROR(IF(0=LEN(ReferenceData!$U$240),"",ReferenceData!$U$240),"")</f>
        <v>501</v>
      </c>
      <c r="V240">
        <f ca="1">IFERROR(IF(0=LEN(ReferenceData!$V$240),"",ReferenceData!$V$240),"")</f>
        <v>647</v>
      </c>
      <c r="W240">
        <f ca="1">IFERROR(IF(0=LEN(ReferenceData!$W$240),"",ReferenceData!$W$240),"")</f>
        <v>623</v>
      </c>
      <c r="X240">
        <f ca="1">IFERROR(IF(0=LEN(ReferenceData!$X$240),"",ReferenceData!$X$240),"")</f>
        <v>579</v>
      </c>
      <c r="Y240">
        <f ca="1">IFERROR(IF(0=LEN(ReferenceData!$Y$240),"",ReferenceData!$Y$240),"")</f>
        <v>605</v>
      </c>
      <c r="Z240">
        <f ca="1">IFERROR(IF(0=LEN(ReferenceData!$Z$240),"",ReferenceData!$Z$240),"")</f>
        <v>410</v>
      </c>
      <c r="AA240">
        <f ca="1">IFERROR(IF(0=LEN(ReferenceData!$AA$240),"",ReferenceData!$AA$240),"")</f>
        <v>389</v>
      </c>
      <c r="AB240">
        <f ca="1">IFERROR(IF(0=LEN(ReferenceData!$AB$240),"",ReferenceData!$AB$240),"")</f>
        <v>800</v>
      </c>
      <c r="AC240">
        <f ca="1">IFERROR(IF(0=LEN(ReferenceData!$AC$240),"",ReferenceData!$AC$240),"")</f>
        <v>653</v>
      </c>
      <c r="AD240">
        <f ca="1">IFERROR(IF(0=LEN(ReferenceData!$AD$240),"",ReferenceData!$AD$240),"")</f>
        <v>630</v>
      </c>
      <c r="AE240">
        <f ca="1">IFERROR(IF(0=LEN(ReferenceData!$AE$240),"",ReferenceData!$AE$240),"")</f>
        <v>682</v>
      </c>
      <c r="AF240">
        <f ca="1">IFERROR(IF(0=LEN(ReferenceData!$AF$240),"",ReferenceData!$AF$240),"")</f>
        <v>812</v>
      </c>
      <c r="AG240">
        <f ca="1">IFERROR(IF(0=LEN(ReferenceData!$AG$240),"",ReferenceData!$AG$240),"")</f>
        <v>784</v>
      </c>
      <c r="AH240">
        <f ca="1">IFERROR(IF(0=LEN(ReferenceData!$AH$240),"",ReferenceData!$AH$240),"")</f>
        <v>461</v>
      </c>
      <c r="AI240">
        <f ca="1">IFERROR(IF(0=LEN(ReferenceData!$AI$240),"",ReferenceData!$AI$240),"")</f>
        <v>519</v>
      </c>
      <c r="AJ240">
        <f ca="1">IFERROR(IF(0=LEN(ReferenceData!$AJ$240),"",ReferenceData!$AJ$240),"")</f>
        <v>480</v>
      </c>
      <c r="AK240">
        <f ca="1">IFERROR(IF(0=LEN(ReferenceData!$AK$240),"",ReferenceData!$AK$240),"")</f>
        <v>425</v>
      </c>
      <c r="AL240">
        <f ca="1">IFERROR(IF(0=LEN(ReferenceData!$AL$240),"",ReferenceData!$AL$240),"")</f>
        <v>351</v>
      </c>
      <c r="AM240">
        <f ca="1">IFERROR(IF(0=LEN(ReferenceData!$AM$240),"",ReferenceData!$AM$240),"")</f>
        <v>476</v>
      </c>
      <c r="AN240">
        <f ca="1">IFERROR(IF(0=LEN(ReferenceData!$AN$240),"",ReferenceData!$AN$240),"")</f>
        <v>738</v>
      </c>
      <c r="AO240">
        <f ca="1">IFERROR(IF(0=LEN(ReferenceData!$AO$240),"",ReferenceData!$AO$240),"")</f>
        <v>495</v>
      </c>
      <c r="AP240">
        <f ca="1">IFERROR(IF(0=LEN(ReferenceData!$AP$240),"",ReferenceData!$AP$240),"")</f>
        <v>482</v>
      </c>
      <c r="AQ240">
        <f ca="1">IFERROR(IF(0=LEN(ReferenceData!$AQ$240),"",ReferenceData!$AQ$240),"")</f>
        <v>542</v>
      </c>
      <c r="AR240">
        <f ca="1">IFERROR(IF(0=LEN(ReferenceData!$AR$240),"",ReferenceData!$AR$240),"")</f>
        <v>438</v>
      </c>
      <c r="AS240">
        <f ca="1">IFERROR(IF(0=LEN(ReferenceData!$AS$240),"",ReferenceData!$AS$240),"")</f>
        <v>652</v>
      </c>
    </row>
    <row r="241" spans="1:45" x14ac:dyDescent="0.25">
      <c r="A241" t="str">
        <f>IFERROR(IF(0=LEN(ReferenceData!$A$241),"",ReferenceData!$A$241),"")</f>
        <v xml:space="preserve">    PACCAR - Peterbilt</v>
      </c>
      <c r="B241" t="str">
        <f>IFERROR(IF(0=LEN(ReferenceData!$B$241),"",ReferenceData!$B$241),"")</f>
        <v>PCAR US Equity</v>
      </c>
      <c r="C241" t="str">
        <f>IFERROR(IF(0=LEN(ReferenceData!$C$241),"",ReferenceData!$C$241),"")</f>
        <v>X1701</v>
      </c>
      <c r="D241" t="str">
        <f>IFERROR(IF(0=LEN(ReferenceData!$D$241),"",ReferenceData!$D$241),"")</f>
        <v>WARDS_RETAIL_SALES_UNITS</v>
      </c>
      <c r="E241" t="str">
        <f>IFERROR(IF(0=LEN(ReferenceData!$E$241),"",ReferenceData!$E$241),"")</f>
        <v>Dynamic</v>
      </c>
      <c r="F241">
        <f ca="1">IFERROR(IF(0=LEN(ReferenceData!$F$241),"",ReferenceData!$F$241),"")</f>
        <v>665</v>
      </c>
      <c r="G241">
        <f ca="1">IFERROR(IF(0=LEN(ReferenceData!$G$241),"",ReferenceData!$G$241),"")</f>
        <v>521</v>
      </c>
      <c r="H241">
        <f ca="1">IFERROR(IF(0=LEN(ReferenceData!$H$241),"",ReferenceData!$H$241),"")</f>
        <v>511</v>
      </c>
      <c r="I241">
        <f ca="1">IFERROR(IF(0=LEN(ReferenceData!$I$241),"",ReferenceData!$I$241),"")</f>
        <v>516</v>
      </c>
      <c r="J241">
        <f ca="1">IFERROR(IF(0=LEN(ReferenceData!$J$241),"",ReferenceData!$J$241),"")</f>
        <v>479</v>
      </c>
      <c r="K241">
        <f ca="1">IFERROR(IF(0=LEN(ReferenceData!$K$241),"",ReferenceData!$K$241),"")</f>
        <v>527</v>
      </c>
      <c r="L241">
        <f ca="1">IFERROR(IF(0=LEN(ReferenceData!$L$241),"",ReferenceData!$L$241),"")</f>
        <v>422</v>
      </c>
      <c r="M241">
        <f ca="1">IFERROR(IF(0=LEN(ReferenceData!$M$241),"",ReferenceData!$M$241),"")</f>
        <v>574</v>
      </c>
      <c r="N241">
        <f ca="1">IFERROR(IF(0=LEN(ReferenceData!$N$241),"",ReferenceData!$N$241),"")</f>
        <v>408</v>
      </c>
      <c r="O241">
        <f ca="1">IFERROR(IF(0=LEN(ReferenceData!$O$241),"",ReferenceData!$O$241),"")</f>
        <v>358</v>
      </c>
      <c r="P241">
        <f ca="1">IFERROR(IF(0=LEN(ReferenceData!$P$241),"",ReferenceData!$P$241),"")</f>
        <v>735</v>
      </c>
      <c r="Q241">
        <f ca="1">IFERROR(IF(0=LEN(ReferenceData!$Q$241),"",ReferenceData!$Q$241),"")</f>
        <v>444</v>
      </c>
      <c r="R241">
        <f ca="1">IFERROR(IF(0=LEN(ReferenceData!$R$241),"",ReferenceData!$R$241),"")</f>
        <v>553</v>
      </c>
      <c r="S241">
        <f ca="1">IFERROR(IF(0=LEN(ReferenceData!$S$241),"",ReferenceData!$S$241),"")</f>
        <v>540</v>
      </c>
      <c r="T241">
        <f ca="1">IFERROR(IF(0=LEN(ReferenceData!$T$241),"",ReferenceData!$T$241),"")</f>
        <v>474</v>
      </c>
      <c r="U241">
        <f ca="1">IFERROR(IF(0=LEN(ReferenceData!$U$241),"",ReferenceData!$U$241),"")</f>
        <v>513</v>
      </c>
      <c r="V241">
        <f ca="1">IFERROR(IF(0=LEN(ReferenceData!$V$241),"",ReferenceData!$V$241),"")</f>
        <v>549</v>
      </c>
      <c r="W241">
        <f ca="1">IFERROR(IF(0=LEN(ReferenceData!$W$241),"",ReferenceData!$W$241),"")</f>
        <v>444</v>
      </c>
      <c r="X241">
        <f ca="1">IFERROR(IF(0=LEN(ReferenceData!$X$241),"",ReferenceData!$X$241),"")</f>
        <v>504</v>
      </c>
      <c r="Y241">
        <f ca="1">IFERROR(IF(0=LEN(ReferenceData!$Y$241),"",ReferenceData!$Y$241),"")</f>
        <v>534</v>
      </c>
      <c r="Z241">
        <f ca="1">IFERROR(IF(0=LEN(ReferenceData!$Z$241),"",ReferenceData!$Z$241),"")</f>
        <v>462</v>
      </c>
      <c r="AA241">
        <f ca="1">IFERROR(IF(0=LEN(ReferenceData!$AA$241),"",ReferenceData!$AA$241),"")</f>
        <v>455</v>
      </c>
      <c r="AB241">
        <f ca="1">IFERROR(IF(0=LEN(ReferenceData!$AB$241),"",ReferenceData!$AB$241),"")</f>
        <v>669</v>
      </c>
      <c r="AC241">
        <f ca="1">IFERROR(IF(0=LEN(ReferenceData!$AC$241),"",ReferenceData!$AC$241),"")</f>
        <v>483</v>
      </c>
      <c r="AD241">
        <f ca="1">IFERROR(IF(0=LEN(ReferenceData!$AD$241),"",ReferenceData!$AD$241),"")</f>
        <v>516</v>
      </c>
      <c r="AE241">
        <f ca="1">IFERROR(IF(0=LEN(ReferenceData!$AE$241),"",ReferenceData!$AE$241),"")</f>
        <v>691</v>
      </c>
      <c r="AF241">
        <f ca="1">IFERROR(IF(0=LEN(ReferenceData!$AF$241),"",ReferenceData!$AF$241),"")</f>
        <v>551</v>
      </c>
      <c r="AG241">
        <f ca="1">IFERROR(IF(0=LEN(ReferenceData!$AG$241),"",ReferenceData!$AG$241),"")</f>
        <v>583</v>
      </c>
      <c r="AH241">
        <f ca="1">IFERROR(IF(0=LEN(ReferenceData!$AH$241),"",ReferenceData!$AH$241),"")</f>
        <v>561</v>
      </c>
      <c r="AI241">
        <f ca="1">IFERROR(IF(0=LEN(ReferenceData!$AI$241),"",ReferenceData!$AI$241),"")</f>
        <v>440</v>
      </c>
      <c r="AJ241">
        <f ca="1">IFERROR(IF(0=LEN(ReferenceData!$AJ$241),"",ReferenceData!$AJ$241),"")</f>
        <v>497</v>
      </c>
      <c r="AK241">
        <f ca="1">IFERROR(IF(0=LEN(ReferenceData!$AK$241),"",ReferenceData!$AK$241),"")</f>
        <v>474</v>
      </c>
      <c r="AL241">
        <f ca="1">IFERROR(IF(0=LEN(ReferenceData!$AL$241),"",ReferenceData!$AL$241),"")</f>
        <v>333</v>
      </c>
      <c r="AM241">
        <f ca="1">IFERROR(IF(0=LEN(ReferenceData!$AM$241),"",ReferenceData!$AM$241),"")</f>
        <v>382</v>
      </c>
      <c r="AN241">
        <f ca="1">IFERROR(IF(0=LEN(ReferenceData!$AN$241),"",ReferenceData!$AN$241),"")</f>
        <v>537</v>
      </c>
      <c r="AO241">
        <f ca="1">IFERROR(IF(0=LEN(ReferenceData!$AO$241),"",ReferenceData!$AO$241),"")</f>
        <v>470</v>
      </c>
      <c r="AP241">
        <f ca="1">IFERROR(IF(0=LEN(ReferenceData!$AP$241),"",ReferenceData!$AP$241),"")</f>
        <v>458</v>
      </c>
      <c r="AQ241">
        <f ca="1">IFERROR(IF(0=LEN(ReferenceData!$AQ$241),"",ReferenceData!$AQ$241),"")</f>
        <v>415</v>
      </c>
      <c r="AR241">
        <f ca="1">IFERROR(IF(0=LEN(ReferenceData!$AR$241),"",ReferenceData!$AR$241),"")</f>
        <v>410</v>
      </c>
      <c r="AS241">
        <f ca="1">IFERROR(IF(0=LEN(ReferenceData!$AS$241),"",ReferenceData!$AS$241),"")</f>
        <v>429</v>
      </c>
    </row>
    <row r="242" spans="1:45" x14ac:dyDescent="0.25">
      <c r="A242" t="str">
        <f>IFERROR(IF(0=LEN(ReferenceData!$A$242),"",ReferenceData!$A$242),"")</f>
        <v xml:space="preserve">    Ford</v>
      </c>
      <c r="B242" t="str">
        <f>IFERROR(IF(0=LEN(ReferenceData!$B$242),"",ReferenceData!$B$242),"")</f>
        <v>F US Equity</v>
      </c>
      <c r="C242" t="str">
        <f>IFERROR(IF(0=LEN(ReferenceData!$C$242),"",ReferenceData!$C$242),"")</f>
        <v>X1701</v>
      </c>
      <c r="D242" t="str">
        <f>IFERROR(IF(0=LEN(ReferenceData!$D$242),"",ReferenceData!$D$242),"")</f>
        <v>WARDS_RETAIL_SALES_UNITS</v>
      </c>
      <c r="E242" t="str">
        <f>IFERROR(IF(0=LEN(ReferenceData!$E$242),"",ReferenceData!$E$242),"")</f>
        <v>Dynamic</v>
      </c>
      <c r="F242">
        <f ca="1">IFERROR(IF(0=LEN(ReferenceData!$F$242),"",ReferenceData!$F$242),"")</f>
        <v>1572</v>
      </c>
      <c r="G242">
        <f ca="1">IFERROR(IF(0=LEN(ReferenceData!$G$242),"",ReferenceData!$G$242),"")</f>
        <v>1384</v>
      </c>
      <c r="H242">
        <f ca="1">IFERROR(IF(0=LEN(ReferenceData!$H$242),"",ReferenceData!$H$242),"")</f>
        <v>1808</v>
      </c>
      <c r="I242">
        <f ca="1">IFERROR(IF(0=LEN(ReferenceData!$I$242),"",ReferenceData!$I$242),"")</f>
        <v>1470</v>
      </c>
      <c r="J242">
        <f ca="1">IFERROR(IF(0=LEN(ReferenceData!$J$242),"",ReferenceData!$J$242),"")</f>
        <v>1888</v>
      </c>
      <c r="K242">
        <f ca="1">IFERROR(IF(0=LEN(ReferenceData!$K$242),"",ReferenceData!$K$242),"")</f>
        <v>1268</v>
      </c>
      <c r="L242">
        <f ca="1">IFERROR(IF(0=LEN(ReferenceData!$L$242),"",ReferenceData!$L$242),"")</f>
        <v>2075</v>
      </c>
      <c r="M242">
        <f ca="1">IFERROR(IF(0=LEN(ReferenceData!$M$242),"",ReferenceData!$M$242),"")</f>
        <v>2396</v>
      </c>
      <c r="N242">
        <f ca="1">IFERROR(IF(0=LEN(ReferenceData!$N$242),"",ReferenceData!$N$242),"")</f>
        <v>1810</v>
      </c>
      <c r="O242">
        <f ca="1">IFERROR(IF(0=LEN(ReferenceData!$O$242),"",ReferenceData!$O$242),"")</f>
        <v>2215</v>
      </c>
      <c r="P242">
        <f ca="1">IFERROR(IF(0=LEN(ReferenceData!$P$242),"",ReferenceData!$P$242),"")</f>
        <v>3049</v>
      </c>
      <c r="Q242">
        <f ca="1">IFERROR(IF(0=LEN(ReferenceData!$Q$242),"",ReferenceData!$Q$242),"")</f>
        <v>2174</v>
      </c>
      <c r="R242">
        <f ca="1">IFERROR(IF(0=LEN(ReferenceData!$R$242),"",ReferenceData!$R$242),"")</f>
        <v>1831</v>
      </c>
      <c r="S242">
        <f ca="1">IFERROR(IF(0=LEN(ReferenceData!$S$242),"",ReferenceData!$S$242),"")</f>
        <v>1681</v>
      </c>
      <c r="T242">
        <f ca="1">IFERROR(IF(0=LEN(ReferenceData!$T$242),"",ReferenceData!$T$242),"")</f>
        <v>1649</v>
      </c>
      <c r="U242">
        <f ca="1">IFERROR(IF(0=LEN(ReferenceData!$U$242),"",ReferenceData!$U$242),"")</f>
        <v>1756</v>
      </c>
      <c r="V242">
        <f ca="1">IFERROR(IF(0=LEN(ReferenceData!$V$242),"",ReferenceData!$V$242),"")</f>
        <v>1781</v>
      </c>
      <c r="W242">
        <f ca="1">IFERROR(IF(0=LEN(ReferenceData!$W$242),"",ReferenceData!$W$242),"")</f>
        <v>1915</v>
      </c>
      <c r="X242">
        <f ca="1">IFERROR(IF(0=LEN(ReferenceData!$X$242),"",ReferenceData!$X$242),"")</f>
        <v>2582</v>
      </c>
      <c r="Y242">
        <f ca="1">IFERROR(IF(0=LEN(ReferenceData!$Y$242),"",ReferenceData!$Y$242),"")</f>
        <v>2791</v>
      </c>
      <c r="Z242">
        <f ca="1">IFERROR(IF(0=LEN(ReferenceData!$Z$242),"",ReferenceData!$Z$242),"")</f>
        <v>1781</v>
      </c>
      <c r="AA242">
        <f ca="1">IFERROR(IF(0=LEN(ReferenceData!$AA$242),"",ReferenceData!$AA$242),"")</f>
        <v>1801</v>
      </c>
      <c r="AB242">
        <f ca="1">IFERROR(IF(0=LEN(ReferenceData!$AB$242),"",ReferenceData!$AB$242),"")</f>
        <v>2482</v>
      </c>
      <c r="AC242">
        <f ca="1">IFERROR(IF(0=LEN(ReferenceData!$AC$242),"",ReferenceData!$AC$242),"")</f>
        <v>1638</v>
      </c>
      <c r="AD242">
        <f ca="1">IFERROR(IF(0=LEN(ReferenceData!$AD$242),"",ReferenceData!$AD$242),"")</f>
        <v>1749</v>
      </c>
      <c r="AE242">
        <f ca="1">IFERROR(IF(0=LEN(ReferenceData!$AE$242),"",ReferenceData!$AE$242),"")</f>
        <v>958</v>
      </c>
      <c r="AF242">
        <f ca="1">IFERROR(IF(0=LEN(ReferenceData!$AF$242),"",ReferenceData!$AF$242),"")</f>
        <v>971</v>
      </c>
      <c r="AG242">
        <f ca="1">IFERROR(IF(0=LEN(ReferenceData!$AG$242),"",ReferenceData!$AG$242),"")</f>
        <v>1299</v>
      </c>
      <c r="AH242">
        <f ca="1">IFERROR(IF(0=LEN(ReferenceData!$AH$242),"",ReferenceData!$AH$242),"")</f>
        <v>1463</v>
      </c>
      <c r="AI242">
        <f ca="1">IFERROR(IF(0=LEN(ReferenceData!$AI$242),"",ReferenceData!$AI$242),"")</f>
        <v>1253</v>
      </c>
      <c r="AJ242">
        <f ca="1">IFERROR(IF(0=LEN(ReferenceData!$AJ$242),"",ReferenceData!$AJ$242),"")</f>
        <v>1384</v>
      </c>
      <c r="AK242">
        <f ca="1">IFERROR(IF(0=LEN(ReferenceData!$AK$242),"",ReferenceData!$AK$242),"")</f>
        <v>1643</v>
      </c>
      <c r="AL242">
        <f ca="1">IFERROR(IF(0=LEN(ReferenceData!$AL$242),"",ReferenceData!$AL$242),"")</f>
        <v>1353</v>
      </c>
      <c r="AM242">
        <f ca="1">IFERROR(IF(0=LEN(ReferenceData!$AM$242),"",ReferenceData!$AM$242),"")</f>
        <v>1468</v>
      </c>
      <c r="AN242">
        <f ca="1">IFERROR(IF(0=LEN(ReferenceData!$AN$242),"",ReferenceData!$AN$242),"")</f>
        <v>2104</v>
      </c>
      <c r="AO242">
        <f ca="1">IFERROR(IF(0=LEN(ReferenceData!$AO$242),"",ReferenceData!$AO$242),"")</f>
        <v>1306</v>
      </c>
      <c r="AP242">
        <f ca="1">IFERROR(IF(0=LEN(ReferenceData!$AP$242),"",ReferenceData!$AP$242),"")</f>
        <v>1625</v>
      </c>
      <c r="AQ242">
        <f ca="1">IFERROR(IF(0=LEN(ReferenceData!$AQ$242),"",ReferenceData!$AQ$242),"")</f>
        <v>1454</v>
      </c>
      <c r="AR242">
        <f ca="1">IFERROR(IF(0=LEN(ReferenceData!$AR$242),"",ReferenceData!$AR$242),"")</f>
        <v>1293</v>
      </c>
      <c r="AS242">
        <f ca="1">IFERROR(IF(0=LEN(ReferenceData!$AS$242),"",ReferenceData!$AS$242),"")</f>
        <v>1203</v>
      </c>
    </row>
    <row r="243" spans="1:45" x14ac:dyDescent="0.25">
      <c r="A243" t="str">
        <f>IFERROR(IF(0=LEN(ReferenceData!$A$243),"",ReferenceData!$A$243),"")</f>
        <v xml:space="preserve">    Hino</v>
      </c>
      <c r="B243" t="str">
        <f>IFERROR(IF(0=LEN(ReferenceData!$B$243),"",ReferenceData!$B$243),"")</f>
        <v>7205 JP Equity</v>
      </c>
      <c r="C243" t="str">
        <f>IFERROR(IF(0=LEN(ReferenceData!$C$243),"",ReferenceData!$C$243),"")</f>
        <v>X1701</v>
      </c>
      <c r="D243" t="str">
        <f>IFERROR(IF(0=LEN(ReferenceData!$D$243),"",ReferenceData!$D$243),"")</f>
        <v>WARDS_RETAIL_SALES_UNITS</v>
      </c>
      <c r="E243" t="str">
        <f>IFERROR(IF(0=LEN(ReferenceData!$E$243),"",ReferenceData!$E$243),"")</f>
        <v>Dynamic</v>
      </c>
      <c r="F243">
        <f ca="1">IFERROR(IF(0=LEN(ReferenceData!$F$243),"",ReferenceData!$F$243),"")</f>
        <v>716</v>
      </c>
      <c r="G243">
        <f ca="1">IFERROR(IF(0=LEN(ReferenceData!$G$243),"",ReferenceData!$G$243),"")</f>
        <v>711</v>
      </c>
      <c r="H243">
        <f ca="1">IFERROR(IF(0=LEN(ReferenceData!$H$243),"",ReferenceData!$H$243),"")</f>
        <v>756</v>
      </c>
      <c r="I243">
        <f ca="1">IFERROR(IF(0=LEN(ReferenceData!$I$243),"",ReferenceData!$I$243),"")</f>
        <v>641</v>
      </c>
      <c r="J243">
        <f ca="1">IFERROR(IF(0=LEN(ReferenceData!$J$243),"",ReferenceData!$J$243),"")</f>
        <v>840</v>
      </c>
      <c r="K243">
        <f ca="1">IFERROR(IF(0=LEN(ReferenceData!$K$243),"",ReferenceData!$K$243),"")</f>
        <v>684</v>
      </c>
      <c r="L243">
        <f ca="1">IFERROR(IF(0=LEN(ReferenceData!$L$243),"",ReferenceData!$L$243),"")</f>
        <v>582</v>
      </c>
      <c r="M243">
        <f ca="1">IFERROR(IF(0=LEN(ReferenceData!$M$243),"",ReferenceData!$M$243),"")</f>
        <v>929</v>
      </c>
      <c r="N243">
        <f ca="1">IFERROR(IF(0=LEN(ReferenceData!$N$243),"",ReferenceData!$N$243),"")</f>
        <v>639</v>
      </c>
      <c r="O243">
        <f ca="1">IFERROR(IF(0=LEN(ReferenceData!$O$243),"",ReferenceData!$O$243),"")</f>
        <v>586</v>
      </c>
      <c r="P243">
        <f ca="1">IFERROR(IF(0=LEN(ReferenceData!$P$243),"",ReferenceData!$P$243),"")</f>
        <v>738</v>
      </c>
      <c r="Q243">
        <f ca="1">IFERROR(IF(0=LEN(ReferenceData!$Q$243),"",ReferenceData!$Q$243),"")</f>
        <v>738</v>
      </c>
      <c r="R243">
        <f ca="1">IFERROR(IF(0=LEN(ReferenceData!$R$243),"",ReferenceData!$R$243),"")</f>
        <v>621</v>
      </c>
      <c r="S243">
        <f ca="1">IFERROR(IF(0=LEN(ReferenceData!$S$243),"",ReferenceData!$S$243),"")</f>
        <v>651</v>
      </c>
      <c r="T243">
        <f ca="1">IFERROR(IF(0=LEN(ReferenceData!$T$243),"",ReferenceData!$T$243),"")</f>
        <v>630</v>
      </c>
      <c r="U243">
        <f ca="1">IFERROR(IF(0=LEN(ReferenceData!$U$243),"",ReferenceData!$U$243),"")</f>
        <v>577</v>
      </c>
      <c r="V243">
        <f ca="1">IFERROR(IF(0=LEN(ReferenceData!$V$243),"",ReferenceData!$V$243),"")</f>
        <v>758</v>
      </c>
      <c r="W243">
        <f ca="1">IFERROR(IF(0=LEN(ReferenceData!$W$243),"",ReferenceData!$W$243),"")</f>
        <v>699</v>
      </c>
      <c r="X243">
        <f ca="1">IFERROR(IF(0=LEN(ReferenceData!$X$243),"",ReferenceData!$X$243),"")</f>
        <v>506</v>
      </c>
      <c r="Y243">
        <f ca="1">IFERROR(IF(0=LEN(ReferenceData!$Y$243),"",ReferenceData!$Y$243),"")</f>
        <v>1330</v>
      </c>
      <c r="Z243">
        <f ca="1">IFERROR(IF(0=LEN(ReferenceData!$Z$243),"",ReferenceData!$Z$243),"")</f>
        <v>709</v>
      </c>
      <c r="AA243">
        <f ca="1">IFERROR(IF(0=LEN(ReferenceData!$AA$243),"",ReferenceData!$AA$243),"")</f>
        <v>552</v>
      </c>
      <c r="AB243">
        <f ca="1">IFERROR(IF(0=LEN(ReferenceData!$AB$243),"",ReferenceData!$AB$243),"")</f>
        <v>1075</v>
      </c>
      <c r="AC243">
        <f ca="1">IFERROR(IF(0=LEN(ReferenceData!$AC$243),"",ReferenceData!$AC$243),"")</f>
        <v>736</v>
      </c>
      <c r="AD243">
        <f ca="1">IFERROR(IF(0=LEN(ReferenceData!$AD$243),"",ReferenceData!$AD$243),"")</f>
        <v>833</v>
      </c>
      <c r="AE243">
        <f ca="1">IFERROR(IF(0=LEN(ReferenceData!$AE$243),"",ReferenceData!$AE$243),"")</f>
        <v>795</v>
      </c>
      <c r="AF243">
        <f ca="1">IFERROR(IF(0=LEN(ReferenceData!$AF$243),"",ReferenceData!$AF$243),"")</f>
        <v>779</v>
      </c>
      <c r="AG243">
        <f ca="1">IFERROR(IF(0=LEN(ReferenceData!$AG$243),"",ReferenceData!$AG$243),"")</f>
        <v>746</v>
      </c>
      <c r="AH243">
        <f ca="1">IFERROR(IF(0=LEN(ReferenceData!$AH$243),"",ReferenceData!$AH$243),"")</f>
        <v>747</v>
      </c>
      <c r="AI243">
        <f ca="1">IFERROR(IF(0=LEN(ReferenceData!$AI$243),"",ReferenceData!$AI$243),"")</f>
        <v>579</v>
      </c>
      <c r="AJ243">
        <f ca="1">IFERROR(IF(0=LEN(ReferenceData!$AJ$243),"",ReferenceData!$AJ$243),"")</f>
        <v>665</v>
      </c>
      <c r="AK243">
        <f ca="1">IFERROR(IF(0=LEN(ReferenceData!$AK$243),"",ReferenceData!$AK$243),"")</f>
        <v>1258</v>
      </c>
      <c r="AL243">
        <f ca="1">IFERROR(IF(0=LEN(ReferenceData!$AL$243),"",ReferenceData!$AL$243),"")</f>
        <v>664</v>
      </c>
      <c r="AM243">
        <f ca="1">IFERROR(IF(0=LEN(ReferenceData!$AM$243),"",ReferenceData!$AM$243),"")</f>
        <v>494</v>
      </c>
      <c r="AN243">
        <f ca="1">IFERROR(IF(0=LEN(ReferenceData!$AN$243),"",ReferenceData!$AN$243),"")</f>
        <v>1208</v>
      </c>
      <c r="AO243">
        <f ca="1">IFERROR(IF(0=LEN(ReferenceData!$AO$243),"",ReferenceData!$AO$243),"")</f>
        <v>701</v>
      </c>
      <c r="AP243">
        <f ca="1">IFERROR(IF(0=LEN(ReferenceData!$AP$243),"",ReferenceData!$AP$243),"")</f>
        <v>618</v>
      </c>
      <c r="AQ243">
        <f ca="1">IFERROR(IF(0=LEN(ReferenceData!$AQ$243),"",ReferenceData!$AQ$243),"")</f>
        <v>637</v>
      </c>
      <c r="AR243">
        <f ca="1">IFERROR(IF(0=LEN(ReferenceData!$AR$243),"",ReferenceData!$AR$243),"")</f>
        <v>645</v>
      </c>
      <c r="AS243">
        <f ca="1">IFERROR(IF(0=LEN(ReferenceData!$AS$243),"",ReferenceData!$AS$243),"")</f>
        <v>598</v>
      </c>
    </row>
    <row r="244" spans="1:45" x14ac:dyDescent="0.25">
      <c r="A244" t="str">
        <f>IFERROR(IF(0=LEN(ReferenceData!$A$244),"",ReferenceData!$A$244),"")</f>
        <v xml:space="preserve">    Volvo - Mack</v>
      </c>
      <c r="B244" t="str">
        <f>IFERROR(IF(0=LEN(ReferenceData!$B$244),"",ReferenceData!$B$244),"")</f>
        <v>VOLVB SS Equity</v>
      </c>
      <c r="C244" t="str">
        <f>IFERROR(IF(0=LEN(ReferenceData!$C$244),"",ReferenceData!$C$244),"")</f>
        <v>X1701</v>
      </c>
      <c r="D244" t="str">
        <f>IFERROR(IF(0=LEN(ReferenceData!$D$244),"",ReferenceData!$D$244),"")</f>
        <v>WARDS_RETAIL_SALES_UNITS</v>
      </c>
      <c r="E244" t="str">
        <f>IFERROR(IF(0=LEN(ReferenceData!$E$244),"",ReferenceData!$E$244),"")</f>
        <v>Dynamic</v>
      </c>
      <c r="F244" t="str">
        <f ca="1">IFERROR(IF(0=LEN(ReferenceData!$F$244),"",ReferenceData!$F$244),"")</f>
        <v/>
      </c>
      <c r="G244" t="str">
        <f ca="1">IFERROR(IF(0=LEN(ReferenceData!$G$244),"",ReferenceData!$G$244),"")</f>
        <v/>
      </c>
      <c r="H244" t="str">
        <f ca="1">IFERROR(IF(0=LEN(ReferenceData!$H$244),"",ReferenceData!$H$244),"")</f>
        <v/>
      </c>
      <c r="I244" t="str">
        <f ca="1">IFERROR(IF(0=LEN(ReferenceData!$I$244),"",ReferenceData!$I$244),"")</f>
        <v/>
      </c>
      <c r="J244" t="str">
        <f ca="1">IFERROR(IF(0=LEN(ReferenceData!$J$244),"",ReferenceData!$J$244),"")</f>
        <v/>
      </c>
      <c r="K244" t="str">
        <f ca="1">IFERROR(IF(0=LEN(ReferenceData!$K$244),"",ReferenceData!$K$244),"")</f>
        <v/>
      </c>
      <c r="L244" t="str">
        <f ca="1">IFERROR(IF(0=LEN(ReferenceData!$L$244),"",ReferenceData!$L$244),"")</f>
        <v/>
      </c>
      <c r="M244" t="str">
        <f ca="1">IFERROR(IF(0=LEN(ReferenceData!$M$244),"",ReferenceData!$M$244),"")</f>
        <v/>
      </c>
      <c r="N244" t="str">
        <f ca="1">IFERROR(IF(0=LEN(ReferenceData!$N$244),"",ReferenceData!$N$244),"")</f>
        <v/>
      </c>
      <c r="O244" t="str">
        <f ca="1">IFERROR(IF(0=LEN(ReferenceData!$O$244),"",ReferenceData!$O$244),"")</f>
        <v/>
      </c>
      <c r="P244" t="str">
        <f ca="1">IFERROR(IF(0=LEN(ReferenceData!$P$244),"",ReferenceData!$P$244),"")</f>
        <v/>
      </c>
      <c r="Q244" t="str">
        <f ca="1">IFERROR(IF(0=LEN(ReferenceData!$Q$244),"",ReferenceData!$Q$244),"")</f>
        <v/>
      </c>
      <c r="R244" t="str">
        <f ca="1">IFERROR(IF(0=LEN(ReferenceData!$R$244),"",ReferenceData!$R$244),"")</f>
        <v/>
      </c>
      <c r="S244" t="str">
        <f ca="1">IFERROR(IF(0=LEN(ReferenceData!$S$244),"",ReferenceData!$S$244),"")</f>
        <v/>
      </c>
      <c r="T244" t="str">
        <f ca="1">IFERROR(IF(0=LEN(ReferenceData!$T$244),"",ReferenceData!$T$244),"")</f>
        <v/>
      </c>
      <c r="U244" t="str">
        <f ca="1">IFERROR(IF(0=LEN(ReferenceData!$U$244),"",ReferenceData!$U$244),"")</f>
        <v/>
      </c>
      <c r="V244" t="str">
        <f ca="1">IFERROR(IF(0=LEN(ReferenceData!$V$244),"",ReferenceData!$V$244),"")</f>
        <v/>
      </c>
      <c r="W244" t="str">
        <f ca="1">IFERROR(IF(0=LEN(ReferenceData!$W$244),"",ReferenceData!$W$244),"")</f>
        <v/>
      </c>
      <c r="X244" t="str">
        <f ca="1">IFERROR(IF(0=LEN(ReferenceData!$X$244),"",ReferenceData!$X$244),"")</f>
        <v/>
      </c>
      <c r="Y244" t="str">
        <f ca="1">IFERROR(IF(0=LEN(ReferenceData!$Y$244),"",ReferenceData!$Y$244),"")</f>
        <v/>
      </c>
      <c r="Z244" t="str">
        <f ca="1">IFERROR(IF(0=LEN(ReferenceData!$Z$244),"",ReferenceData!$Z$244),"")</f>
        <v/>
      </c>
      <c r="AA244" t="str">
        <f ca="1">IFERROR(IF(0=LEN(ReferenceData!$AA$244),"",ReferenceData!$AA$244),"")</f>
        <v/>
      </c>
      <c r="AB244" t="str">
        <f ca="1">IFERROR(IF(0=LEN(ReferenceData!$AB$244),"",ReferenceData!$AB$244),"")</f>
        <v/>
      </c>
      <c r="AC244" t="str">
        <f ca="1">IFERROR(IF(0=LEN(ReferenceData!$AC$244),"",ReferenceData!$AC$244),"")</f>
        <v/>
      </c>
      <c r="AD244" t="str">
        <f ca="1">IFERROR(IF(0=LEN(ReferenceData!$AD$244),"",ReferenceData!$AD$244),"")</f>
        <v/>
      </c>
      <c r="AE244" t="str">
        <f ca="1">IFERROR(IF(0=LEN(ReferenceData!$AE$244),"",ReferenceData!$AE$244),"")</f>
        <v/>
      </c>
      <c r="AF244" t="str">
        <f ca="1">IFERROR(IF(0=LEN(ReferenceData!$AF$244),"",ReferenceData!$AF$244),"")</f>
        <v/>
      </c>
      <c r="AG244" t="str">
        <f ca="1">IFERROR(IF(0=LEN(ReferenceData!$AG$244),"",ReferenceData!$AG$244),"")</f>
        <v/>
      </c>
      <c r="AH244" t="str">
        <f ca="1">IFERROR(IF(0=LEN(ReferenceData!$AH$244),"",ReferenceData!$AH$244),"")</f>
        <v/>
      </c>
      <c r="AI244" t="str">
        <f ca="1">IFERROR(IF(0=LEN(ReferenceData!$AI$244),"",ReferenceData!$AI$244),"")</f>
        <v/>
      </c>
      <c r="AJ244" t="str">
        <f ca="1">IFERROR(IF(0=LEN(ReferenceData!$AJ$244),"",ReferenceData!$AJ$244),"")</f>
        <v/>
      </c>
      <c r="AK244" t="str">
        <f ca="1">IFERROR(IF(0=LEN(ReferenceData!$AK$244),"",ReferenceData!$AK$244),"")</f>
        <v/>
      </c>
      <c r="AL244" t="str">
        <f ca="1">IFERROR(IF(0=LEN(ReferenceData!$AL$244),"",ReferenceData!$AL$244),"")</f>
        <v/>
      </c>
      <c r="AM244" t="str">
        <f ca="1">IFERROR(IF(0=LEN(ReferenceData!$AM$244),"",ReferenceData!$AM$244),"")</f>
        <v/>
      </c>
      <c r="AN244" t="str">
        <f ca="1">IFERROR(IF(0=LEN(ReferenceData!$AN$244),"",ReferenceData!$AN$244),"")</f>
        <v/>
      </c>
      <c r="AO244" t="str">
        <f ca="1">IFERROR(IF(0=LEN(ReferenceData!$AO$244),"",ReferenceData!$AO$244),"")</f>
        <v/>
      </c>
      <c r="AP244" t="str">
        <f ca="1">IFERROR(IF(0=LEN(ReferenceData!$AP$244),"",ReferenceData!$AP$244),"")</f>
        <v/>
      </c>
      <c r="AQ244" t="str">
        <f ca="1">IFERROR(IF(0=LEN(ReferenceData!$AQ$244),"",ReferenceData!$AQ$244),"")</f>
        <v/>
      </c>
      <c r="AR244" t="str">
        <f ca="1">IFERROR(IF(0=LEN(ReferenceData!$AR$244),"",ReferenceData!$AR$244),"")</f>
        <v/>
      </c>
      <c r="AS244" t="str">
        <f ca="1">IFERROR(IF(0=LEN(ReferenceData!$AS$244),"",ReferenceData!$AS$244),"")</f>
        <v/>
      </c>
    </row>
    <row r="245" spans="1:45" x14ac:dyDescent="0.25">
      <c r="A245" t="str">
        <f>IFERROR(IF(0=LEN(ReferenceData!$A$245),"",ReferenceData!$A$245),"")</f>
        <v xml:space="preserve">    Volvo - UD Truck</v>
      </c>
      <c r="B245" t="str">
        <f>IFERROR(IF(0=LEN(ReferenceData!$B$245),"",ReferenceData!$B$245),"")</f>
        <v>VOLVB SS Equity</v>
      </c>
      <c r="C245" t="str">
        <f>IFERROR(IF(0=LEN(ReferenceData!$C$245),"",ReferenceData!$C$245),"")</f>
        <v>X1701</v>
      </c>
      <c r="D245" t="str">
        <f>IFERROR(IF(0=LEN(ReferenceData!$D$245),"",ReferenceData!$D$245),"")</f>
        <v>WARDS_RETAIL_SALES_UNITS</v>
      </c>
      <c r="E245" t="str">
        <f>IFERROR(IF(0=LEN(ReferenceData!$E$245),"",ReferenceData!$E$245),"")</f>
        <v>Dynamic</v>
      </c>
      <c r="F245" t="str">
        <f ca="1">IFERROR(IF(0=LEN(ReferenceData!$F$245),"",ReferenceData!$F$245),"")</f>
        <v/>
      </c>
      <c r="G245" t="str">
        <f ca="1">IFERROR(IF(0=LEN(ReferenceData!$G$245),"",ReferenceData!$G$245),"")</f>
        <v/>
      </c>
      <c r="H245" t="str">
        <f ca="1">IFERROR(IF(0=LEN(ReferenceData!$H$245),"",ReferenceData!$H$245),"")</f>
        <v/>
      </c>
      <c r="I245" t="str">
        <f ca="1">IFERROR(IF(0=LEN(ReferenceData!$I$245),"",ReferenceData!$I$245),"")</f>
        <v/>
      </c>
      <c r="J245" t="str">
        <f ca="1">IFERROR(IF(0=LEN(ReferenceData!$J$245),"",ReferenceData!$J$245),"")</f>
        <v/>
      </c>
      <c r="K245" t="str">
        <f ca="1">IFERROR(IF(0=LEN(ReferenceData!$K$245),"",ReferenceData!$K$245),"")</f>
        <v/>
      </c>
      <c r="L245" t="str">
        <f ca="1">IFERROR(IF(0=LEN(ReferenceData!$L$245),"",ReferenceData!$L$245),"")</f>
        <v/>
      </c>
      <c r="M245" t="str">
        <f ca="1">IFERROR(IF(0=LEN(ReferenceData!$M$245),"",ReferenceData!$M$245),"")</f>
        <v/>
      </c>
      <c r="N245" t="str">
        <f ca="1">IFERROR(IF(0=LEN(ReferenceData!$N$245),"",ReferenceData!$N$245),"")</f>
        <v/>
      </c>
      <c r="O245" t="str">
        <f ca="1">IFERROR(IF(0=LEN(ReferenceData!$O$245),"",ReferenceData!$O$245),"")</f>
        <v/>
      </c>
      <c r="P245" t="str">
        <f ca="1">IFERROR(IF(0=LEN(ReferenceData!$P$245),"",ReferenceData!$P$245),"")</f>
        <v/>
      </c>
      <c r="Q245" t="str">
        <f ca="1">IFERROR(IF(0=LEN(ReferenceData!$Q$245),"",ReferenceData!$Q$245),"")</f>
        <v/>
      </c>
      <c r="R245" t="str">
        <f ca="1">IFERROR(IF(0=LEN(ReferenceData!$R$245),"",ReferenceData!$R$245),"")</f>
        <v/>
      </c>
      <c r="S245" t="str">
        <f ca="1">IFERROR(IF(0=LEN(ReferenceData!$S$245),"",ReferenceData!$S$245),"")</f>
        <v/>
      </c>
      <c r="T245" t="str">
        <f ca="1">IFERROR(IF(0=LEN(ReferenceData!$T$245),"",ReferenceData!$T$245),"")</f>
        <v/>
      </c>
      <c r="U245" t="str">
        <f ca="1">IFERROR(IF(0=LEN(ReferenceData!$U$245),"",ReferenceData!$U$245),"")</f>
        <v/>
      </c>
      <c r="V245" t="str">
        <f ca="1">IFERROR(IF(0=LEN(ReferenceData!$V$245),"",ReferenceData!$V$245),"")</f>
        <v/>
      </c>
      <c r="W245" t="str">
        <f ca="1">IFERROR(IF(0=LEN(ReferenceData!$W$245),"",ReferenceData!$W$245),"")</f>
        <v/>
      </c>
      <c r="X245" t="str">
        <f ca="1">IFERROR(IF(0=LEN(ReferenceData!$X$245),"",ReferenceData!$X$245),"")</f>
        <v/>
      </c>
      <c r="Y245" t="str">
        <f ca="1">IFERROR(IF(0=LEN(ReferenceData!$Y$245),"",ReferenceData!$Y$245),"")</f>
        <v/>
      </c>
      <c r="Z245" t="str">
        <f ca="1">IFERROR(IF(0=LEN(ReferenceData!$Z$245),"",ReferenceData!$Z$245),"")</f>
        <v/>
      </c>
      <c r="AA245" t="str">
        <f ca="1">IFERROR(IF(0=LEN(ReferenceData!$AA$245),"",ReferenceData!$AA$245),"")</f>
        <v/>
      </c>
      <c r="AB245" t="str">
        <f ca="1">IFERROR(IF(0=LEN(ReferenceData!$AB$245),"",ReferenceData!$AB$245),"")</f>
        <v/>
      </c>
      <c r="AC245" t="str">
        <f ca="1">IFERROR(IF(0=LEN(ReferenceData!$AC$245),"",ReferenceData!$AC$245),"")</f>
        <v/>
      </c>
      <c r="AD245" t="str">
        <f ca="1">IFERROR(IF(0=LEN(ReferenceData!$AD$245),"",ReferenceData!$AD$245),"")</f>
        <v/>
      </c>
      <c r="AE245" t="str">
        <f ca="1">IFERROR(IF(0=LEN(ReferenceData!$AE$245),"",ReferenceData!$AE$245),"")</f>
        <v/>
      </c>
      <c r="AF245" t="str">
        <f ca="1">IFERROR(IF(0=LEN(ReferenceData!$AF$245),"",ReferenceData!$AF$245),"")</f>
        <v/>
      </c>
      <c r="AG245" t="str">
        <f ca="1">IFERROR(IF(0=LEN(ReferenceData!$AG$245),"",ReferenceData!$AG$245),"")</f>
        <v/>
      </c>
      <c r="AH245" t="str">
        <f ca="1">IFERROR(IF(0=LEN(ReferenceData!$AH$245),"",ReferenceData!$AH$245),"")</f>
        <v/>
      </c>
      <c r="AI245" t="str">
        <f ca="1">IFERROR(IF(0=LEN(ReferenceData!$AI$245),"",ReferenceData!$AI$245),"")</f>
        <v/>
      </c>
      <c r="AJ245" t="str">
        <f ca="1">IFERROR(IF(0=LEN(ReferenceData!$AJ$245),"",ReferenceData!$AJ$245),"")</f>
        <v/>
      </c>
      <c r="AK245" t="str">
        <f ca="1">IFERROR(IF(0=LEN(ReferenceData!$AK$245),"",ReferenceData!$AK$245),"")</f>
        <v/>
      </c>
      <c r="AL245" t="str">
        <f ca="1">IFERROR(IF(0=LEN(ReferenceData!$AL$245),"",ReferenceData!$AL$245),"")</f>
        <v/>
      </c>
      <c r="AM245" t="str">
        <f ca="1">IFERROR(IF(0=LEN(ReferenceData!$AM$245),"",ReferenceData!$AM$245),"")</f>
        <v/>
      </c>
      <c r="AN245" t="str">
        <f ca="1">IFERROR(IF(0=LEN(ReferenceData!$AN$245),"",ReferenceData!$AN$245),"")</f>
        <v/>
      </c>
      <c r="AO245" t="str">
        <f ca="1">IFERROR(IF(0=LEN(ReferenceData!$AO$245),"",ReferenceData!$AO$245),"")</f>
        <v/>
      </c>
      <c r="AP245" t="str">
        <f ca="1">IFERROR(IF(0=LEN(ReferenceData!$AP$245),"",ReferenceData!$AP$245),"")</f>
        <v/>
      </c>
      <c r="AQ245" t="str">
        <f ca="1">IFERROR(IF(0=LEN(ReferenceData!$AQ$245),"",ReferenceData!$AQ$245),"")</f>
        <v/>
      </c>
      <c r="AR245" t="str">
        <f ca="1">IFERROR(IF(0=LEN(ReferenceData!$AR$245),"",ReferenceData!$AR$245),"")</f>
        <v/>
      </c>
      <c r="AS245" t="str">
        <f ca="1">IFERROR(IF(0=LEN(ReferenceData!$AS$245),"",ReferenceData!$AS$245),"")</f>
        <v/>
      </c>
    </row>
    <row r="246" spans="1:45" x14ac:dyDescent="0.25">
      <c r="A246" t="str">
        <f>IFERROR(IF(0=LEN(ReferenceData!$A$246),"",ReferenceData!$A$246),"")</f>
        <v xml:space="preserve">    General Motors - GMC</v>
      </c>
      <c r="B246" t="str">
        <f>IFERROR(IF(0=LEN(ReferenceData!$B$246),"",ReferenceData!$B$246),"")</f>
        <v>MTLQQ US Equity</v>
      </c>
      <c r="C246" t="str">
        <f>IFERROR(IF(0=LEN(ReferenceData!$C$246),"",ReferenceData!$C$246),"")</f>
        <v>X1701</v>
      </c>
      <c r="D246" t="str">
        <f>IFERROR(IF(0=LEN(ReferenceData!$D$246),"",ReferenceData!$D$246),"")</f>
        <v>WARDS_RETAIL_SALES_UNITS</v>
      </c>
      <c r="E246" t="str">
        <f>IFERROR(IF(0=LEN(ReferenceData!$E$246),"",ReferenceData!$E$246),"")</f>
        <v>Dynamic</v>
      </c>
      <c r="F246" t="str">
        <f ca="1">IFERROR(IF(0=LEN(ReferenceData!$F$246),"",ReferenceData!$F$246),"")</f>
        <v/>
      </c>
      <c r="G246" t="str">
        <f ca="1">IFERROR(IF(0=LEN(ReferenceData!$G$246),"",ReferenceData!$G$246),"")</f>
        <v/>
      </c>
      <c r="H246" t="str">
        <f ca="1">IFERROR(IF(0=LEN(ReferenceData!$H$246),"",ReferenceData!$H$246),"")</f>
        <v/>
      </c>
      <c r="I246" t="str">
        <f ca="1">IFERROR(IF(0=LEN(ReferenceData!$I$246),"",ReferenceData!$I$246),"")</f>
        <v/>
      </c>
      <c r="J246" t="str">
        <f ca="1">IFERROR(IF(0=LEN(ReferenceData!$J$246),"",ReferenceData!$J$246),"")</f>
        <v/>
      </c>
      <c r="K246" t="str">
        <f ca="1">IFERROR(IF(0=LEN(ReferenceData!$K$246),"",ReferenceData!$K$246),"")</f>
        <v/>
      </c>
      <c r="L246" t="str">
        <f ca="1">IFERROR(IF(0=LEN(ReferenceData!$L$246),"",ReferenceData!$L$246),"")</f>
        <v/>
      </c>
      <c r="M246" t="str">
        <f ca="1">IFERROR(IF(0=LEN(ReferenceData!$M$246),"",ReferenceData!$M$246),"")</f>
        <v/>
      </c>
      <c r="N246" t="str">
        <f ca="1">IFERROR(IF(0=LEN(ReferenceData!$N$246),"",ReferenceData!$N$246),"")</f>
        <v/>
      </c>
      <c r="O246" t="str">
        <f ca="1">IFERROR(IF(0=LEN(ReferenceData!$O$246),"",ReferenceData!$O$246),"")</f>
        <v/>
      </c>
      <c r="P246" t="str">
        <f ca="1">IFERROR(IF(0=LEN(ReferenceData!$P$246),"",ReferenceData!$P$246),"")</f>
        <v/>
      </c>
      <c r="Q246" t="str">
        <f ca="1">IFERROR(IF(0=LEN(ReferenceData!$Q$246),"",ReferenceData!$Q$246),"")</f>
        <v/>
      </c>
      <c r="R246" t="str">
        <f ca="1">IFERROR(IF(0=LEN(ReferenceData!$R$246),"",ReferenceData!$R$246),"")</f>
        <v/>
      </c>
      <c r="S246" t="str">
        <f ca="1">IFERROR(IF(0=LEN(ReferenceData!$S$246),"",ReferenceData!$S$246),"")</f>
        <v/>
      </c>
      <c r="T246" t="str">
        <f ca="1">IFERROR(IF(0=LEN(ReferenceData!$T$246),"",ReferenceData!$T$246),"")</f>
        <v/>
      </c>
      <c r="U246" t="str">
        <f ca="1">IFERROR(IF(0=LEN(ReferenceData!$U$246),"",ReferenceData!$U$246),"")</f>
        <v/>
      </c>
      <c r="V246" t="str">
        <f ca="1">IFERROR(IF(0=LEN(ReferenceData!$V$246),"",ReferenceData!$V$246),"")</f>
        <v/>
      </c>
      <c r="W246" t="str">
        <f ca="1">IFERROR(IF(0=LEN(ReferenceData!$W$246),"",ReferenceData!$W$246),"")</f>
        <v/>
      </c>
      <c r="X246" t="str">
        <f ca="1">IFERROR(IF(0=LEN(ReferenceData!$X$246),"",ReferenceData!$X$246),"")</f>
        <v/>
      </c>
      <c r="Y246" t="str">
        <f ca="1">IFERROR(IF(0=LEN(ReferenceData!$Y$246),"",ReferenceData!$Y$246),"")</f>
        <v/>
      </c>
      <c r="Z246" t="str">
        <f ca="1">IFERROR(IF(0=LEN(ReferenceData!$Z$246),"",ReferenceData!$Z$246),"")</f>
        <v/>
      </c>
      <c r="AA246" t="str">
        <f ca="1">IFERROR(IF(0=LEN(ReferenceData!$AA$246),"",ReferenceData!$AA$246),"")</f>
        <v/>
      </c>
      <c r="AB246" t="str">
        <f ca="1">IFERROR(IF(0=LEN(ReferenceData!$AB$246),"",ReferenceData!$AB$246),"")</f>
        <v/>
      </c>
      <c r="AC246" t="str">
        <f ca="1">IFERROR(IF(0=LEN(ReferenceData!$AC$246),"",ReferenceData!$AC$246),"")</f>
        <v/>
      </c>
      <c r="AD246" t="str">
        <f ca="1">IFERROR(IF(0=LEN(ReferenceData!$AD$246),"",ReferenceData!$AD$246),"")</f>
        <v/>
      </c>
      <c r="AE246" t="str">
        <f ca="1">IFERROR(IF(0=LEN(ReferenceData!$AE$246),"",ReferenceData!$AE$246),"")</f>
        <v/>
      </c>
      <c r="AF246" t="str">
        <f ca="1">IFERROR(IF(0=LEN(ReferenceData!$AF$246),"",ReferenceData!$AF$246),"")</f>
        <v/>
      </c>
      <c r="AG246" t="str">
        <f ca="1">IFERROR(IF(0=LEN(ReferenceData!$AG$246),"",ReferenceData!$AG$246),"")</f>
        <v/>
      </c>
      <c r="AH246" t="str">
        <f ca="1">IFERROR(IF(0=LEN(ReferenceData!$AH$246),"",ReferenceData!$AH$246),"")</f>
        <v/>
      </c>
      <c r="AI246" t="str">
        <f ca="1">IFERROR(IF(0=LEN(ReferenceData!$AI$246),"",ReferenceData!$AI$246),"")</f>
        <v/>
      </c>
      <c r="AJ246" t="str">
        <f ca="1">IFERROR(IF(0=LEN(ReferenceData!$AJ$246),"",ReferenceData!$AJ$246),"")</f>
        <v/>
      </c>
      <c r="AK246" t="str">
        <f ca="1">IFERROR(IF(0=LEN(ReferenceData!$AK$246),"",ReferenceData!$AK$246),"")</f>
        <v/>
      </c>
      <c r="AL246" t="str">
        <f ca="1">IFERROR(IF(0=LEN(ReferenceData!$AL$246),"",ReferenceData!$AL$246),"")</f>
        <v/>
      </c>
      <c r="AM246" t="str">
        <f ca="1">IFERROR(IF(0=LEN(ReferenceData!$AM$246),"",ReferenceData!$AM$246),"")</f>
        <v/>
      </c>
      <c r="AN246" t="str">
        <f ca="1">IFERROR(IF(0=LEN(ReferenceData!$AN$246),"",ReferenceData!$AN$246),"")</f>
        <v/>
      </c>
      <c r="AO246" t="str">
        <f ca="1">IFERROR(IF(0=LEN(ReferenceData!$AO$246),"",ReferenceData!$AO$246),"")</f>
        <v/>
      </c>
      <c r="AP246" t="str">
        <f ca="1">IFERROR(IF(0=LEN(ReferenceData!$AP$246),"",ReferenceData!$AP$246),"")</f>
        <v/>
      </c>
      <c r="AQ246" t="str">
        <f ca="1">IFERROR(IF(0=LEN(ReferenceData!$AQ$246),"",ReferenceData!$AQ$246),"")</f>
        <v/>
      </c>
      <c r="AR246" t="str">
        <f ca="1">IFERROR(IF(0=LEN(ReferenceData!$AR$246),"",ReferenceData!$AR$246),"")</f>
        <v/>
      </c>
      <c r="AS246" t="str">
        <f ca="1">IFERROR(IF(0=LEN(ReferenceData!$AS$246),"",ReferenceData!$AS$246),"")</f>
        <v/>
      </c>
    </row>
    <row r="247" spans="1:45" x14ac:dyDescent="0.25">
      <c r="A247" t="str">
        <f>IFERROR(IF(0=LEN(ReferenceData!$A$247),"",ReferenceData!$A$247),"")</f>
        <v xml:space="preserve">    General Motors - Chevrolet</v>
      </c>
      <c r="B247" t="str">
        <f>IFERROR(IF(0=LEN(ReferenceData!$B$247),"",ReferenceData!$B$247),"")</f>
        <v>MTLQQ US Equity</v>
      </c>
      <c r="C247" t="str">
        <f>IFERROR(IF(0=LEN(ReferenceData!$C$247),"",ReferenceData!$C$247),"")</f>
        <v>X1701</v>
      </c>
      <c r="D247" t="str">
        <f>IFERROR(IF(0=LEN(ReferenceData!$D$247),"",ReferenceData!$D$247),"")</f>
        <v>WARDS_RETAIL_SALES_UNITS</v>
      </c>
      <c r="E247" t="str">
        <f>IFERROR(IF(0=LEN(ReferenceData!$E$247),"",ReferenceData!$E$247),"")</f>
        <v>Dynamic</v>
      </c>
      <c r="F247" t="str">
        <f ca="1">IFERROR(IF(0=LEN(ReferenceData!$F$247),"",ReferenceData!$F$247),"")</f>
        <v/>
      </c>
      <c r="G247" t="str">
        <f ca="1">IFERROR(IF(0=LEN(ReferenceData!$G$247),"",ReferenceData!$G$247),"")</f>
        <v/>
      </c>
      <c r="H247" t="str">
        <f ca="1">IFERROR(IF(0=LEN(ReferenceData!$H$247),"",ReferenceData!$H$247),"")</f>
        <v/>
      </c>
      <c r="I247" t="str">
        <f ca="1">IFERROR(IF(0=LEN(ReferenceData!$I$247),"",ReferenceData!$I$247),"")</f>
        <v/>
      </c>
      <c r="J247" t="str">
        <f ca="1">IFERROR(IF(0=LEN(ReferenceData!$J$247),"",ReferenceData!$J$247),"")</f>
        <v/>
      </c>
      <c r="K247" t="str">
        <f ca="1">IFERROR(IF(0=LEN(ReferenceData!$K$247),"",ReferenceData!$K$247),"")</f>
        <v/>
      </c>
      <c r="L247" t="str">
        <f ca="1">IFERROR(IF(0=LEN(ReferenceData!$L$247),"",ReferenceData!$L$247),"")</f>
        <v/>
      </c>
      <c r="M247" t="str">
        <f ca="1">IFERROR(IF(0=LEN(ReferenceData!$M$247),"",ReferenceData!$M$247),"")</f>
        <v/>
      </c>
      <c r="N247" t="str">
        <f ca="1">IFERROR(IF(0=LEN(ReferenceData!$N$247),"",ReferenceData!$N$247),"")</f>
        <v/>
      </c>
      <c r="O247" t="str">
        <f ca="1">IFERROR(IF(0=LEN(ReferenceData!$O$247),"",ReferenceData!$O$247),"")</f>
        <v/>
      </c>
      <c r="P247" t="str">
        <f ca="1">IFERROR(IF(0=LEN(ReferenceData!$P$247),"",ReferenceData!$P$247),"")</f>
        <v/>
      </c>
      <c r="Q247" t="str">
        <f ca="1">IFERROR(IF(0=LEN(ReferenceData!$Q$247),"",ReferenceData!$Q$247),"")</f>
        <v/>
      </c>
      <c r="R247" t="str">
        <f ca="1">IFERROR(IF(0=LEN(ReferenceData!$R$247),"",ReferenceData!$R$247),"")</f>
        <v/>
      </c>
      <c r="S247" t="str">
        <f ca="1">IFERROR(IF(0=LEN(ReferenceData!$S$247),"",ReferenceData!$S$247),"")</f>
        <v/>
      </c>
      <c r="T247" t="str">
        <f ca="1">IFERROR(IF(0=LEN(ReferenceData!$T$247),"",ReferenceData!$T$247),"")</f>
        <v/>
      </c>
      <c r="U247" t="str">
        <f ca="1">IFERROR(IF(0=LEN(ReferenceData!$U$247),"",ReferenceData!$U$247),"")</f>
        <v/>
      </c>
      <c r="V247" t="str">
        <f ca="1">IFERROR(IF(0=LEN(ReferenceData!$V$247),"",ReferenceData!$V$247),"")</f>
        <v/>
      </c>
      <c r="W247" t="str">
        <f ca="1">IFERROR(IF(0=LEN(ReferenceData!$W$247),"",ReferenceData!$W$247),"")</f>
        <v/>
      </c>
      <c r="X247" t="str">
        <f ca="1">IFERROR(IF(0=LEN(ReferenceData!$X$247),"",ReferenceData!$X$247),"")</f>
        <v/>
      </c>
      <c r="Y247" t="str">
        <f ca="1">IFERROR(IF(0=LEN(ReferenceData!$Y$247),"",ReferenceData!$Y$247),"")</f>
        <v/>
      </c>
      <c r="Z247" t="str">
        <f ca="1">IFERROR(IF(0=LEN(ReferenceData!$Z$247),"",ReferenceData!$Z$247),"")</f>
        <v/>
      </c>
      <c r="AA247" t="str">
        <f ca="1">IFERROR(IF(0=LEN(ReferenceData!$AA$247),"",ReferenceData!$AA$247),"")</f>
        <v/>
      </c>
      <c r="AB247" t="str">
        <f ca="1">IFERROR(IF(0=LEN(ReferenceData!$AB$247),"",ReferenceData!$AB$247),"")</f>
        <v/>
      </c>
      <c r="AC247" t="str">
        <f ca="1">IFERROR(IF(0=LEN(ReferenceData!$AC$247),"",ReferenceData!$AC$247),"")</f>
        <v/>
      </c>
      <c r="AD247" t="str">
        <f ca="1">IFERROR(IF(0=LEN(ReferenceData!$AD$247),"",ReferenceData!$AD$247),"")</f>
        <v/>
      </c>
      <c r="AE247" t="str">
        <f ca="1">IFERROR(IF(0=LEN(ReferenceData!$AE$247),"",ReferenceData!$AE$247),"")</f>
        <v/>
      </c>
      <c r="AF247" t="str">
        <f ca="1">IFERROR(IF(0=LEN(ReferenceData!$AF$247),"",ReferenceData!$AF$247),"")</f>
        <v/>
      </c>
      <c r="AG247" t="str">
        <f ca="1">IFERROR(IF(0=LEN(ReferenceData!$AG$247),"",ReferenceData!$AG$247),"")</f>
        <v/>
      </c>
      <c r="AH247" t="str">
        <f ca="1">IFERROR(IF(0=LEN(ReferenceData!$AH$247),"",ReferenceData!$AH$247),"")</f>
        <v/>
      </c>
      <c r="AI247" t="str">
        <f ca="1">IFERROR(IF(0=LEN(ReferenceData!$AI$247),"",ReferenceData!$AI$247),"")</f>
        <v/>
      </c>
      <c r="AJ247" t="str">
        <f ca="1">IFERROR(IF(0=LEN(ReferenceData!$AJ$247),"",ReferenceData!$AJ$247),"")</f>
        <v/>
      </c>
      <c r="AK247" t="str">
        <f ca="1">IFERROR(IF(0=LEN(ReferenceData!$AK$247),"",ReferenceData!$AK$247),"")</f>
        <v/>
      </c>
      <c r="AL247" t="str">
        <f ca="1">IFERROR(IF(0=LEN(ReferenceData!$AL$247),"",ReferenceData!$AL$247),"")</f>
        <v/>
      </c>
      <c r="AM247" t="str">
        <f ca="1">IFERROR(IF(0=LEN(ReferenceData!$AM$247),"",ReferenceData!$AM$247),"")</f>
        <v/>
      </c>
      <c r="AN247" t="str">
        <f ca="1">IFERROR(IF(0=LEN(ReferenceData!$AN$247),"",ReferenceData!$AN$247),"")</f>
        <v/>
      </c>
      <c r="AO247" t="str">
        <f ca="1">IFERROR(IF(0=LEN(ReferenceData!$AO$247),"",ReferenceData!$AO$247),"")</f>
        <v/>
      </c>
      <c r="AP247" t="str">
        <f ca="1">IFERROR(IF(0=LEN(ReferenceData!$AP$247),"",ReferenceData!$AP$247),"")</f>
        <v/>
      </c>
      <c r="AQ247" t="str">
        <f ca="1">IFERROR(IF(0=LEN(ReferenceData!$AQ$247),"",ReferenceData!$AQ$247),"")</f>
        <v/>
      </c>
      <c r="AR247" t="str">
        <f ca="1">IFERROR(IF(0=LEN(ReferenceData!$AR$247),"",ReferenceData!$AR$247),"")</f>
        <v/>
      </c>
      <c r="AS247" t="str">
        <f ca="1">IFERROR(IF(0=LEN(ReferenceData!$AS$247),"",ReferenceData!$AS$247),"")</f>
        <v/>
      </c>
    </row>
    <row r="248" spans="1:45" x14ac:dyDescent="0.25">
      <c r="A248" t="str">
        <f>IFERROR(IF(0=LEN(ReferenceData!$A$248),"",ReferenceData!$A$248),"")</f>
        <v xml:space="preserve">    Isuzu</v>
      </c>
      <c r="B248" t="str">
        <f>IFERROR(IF(0=LEN(ReferenceData!$B$248),"",ReferenceData!$B$248),"")</f>
        <v>7202 JP Equity</v>
      </c>
      <c r="C248" t="str">
        <f>IFERROR(IF(0=LEN(ReferenceData!$C$248),"",ReferenceData!$C$248),"")</f>
        <v>X1701</v>
      </c>
      <c r="D248" t="str">
        <f>IFERROR(IF(0=LEN(ReferenceData!$D$248),"",ReferenceData!$D$248),"")</f>
        <v>WARDS_RETAIL_SALES_UNITS</v>
      </c>
      <c r="E248" t="str">
        <f>IFERROR(IF(0=LEN(ReferenceData!$E$248),"",ReferenceData!$E$248),"")</f>
        <v>Dynamic</v>
      </c>
      <c r="F248">
        <f ca="1">IFERROR(IF(0=LEN(ReferenceData!$F$248),"",ReferenceData!$F$248),"")</f>
        <v>57</v>
      </c>
      <c r="G248">
        <f ca="1">IFERROR(IF(0=LEN(ReferenceData!$G$248),"",ReferenceData!$G$248),"")</f>
        <v>38</v>
      </c>
      <c r="H248">
        <f ca="1">IFERROR(IF(0=LEN(ReferenceData!$H$248),"",ReferenceData!$H$248),"")</f>
        <v>25</v>
      </c>
      <c r="I248">
        <f ca="1">IFERROR(IF(0=LEN(ReferenceData!$I$248),"",ReferenceData!$I$248),"")</f>
        <v>4</v>
      </c>
      <c r="J248">
        <f ca="1">IFERROR(IF(0=LEN(ReferenceData!$J$248),"",ReferenceData!$J$248),"")</f>
        <v>0</v>
      </c>
      <c r="K248">
        <f ca="1">IFERROR(IF(0=LEN(ReferenceData!$K$248),"",ReferenceData!$K$248),"")</f>
        <v>0</v>
      </c>
      <c r="L248">
        <f ca="1">IFERROR(IF(0=LEN(ReferenceData!$L$248),"",ReferenceData!$L$248),"")</f>
        <v>0</v>
      </c>
      <c r="M248">
        <f ca="1">IFERROR(IF(0=LEN(ReferenceData!$M$248),"",ReferenceData!$M$248),"")</f>
        <v>0</v>
      </c>
      <c r="N248">
        <f ca="1">IFERROR(IF(0=LEN(ReferenceData!$N$248),"",ReferenceData!$N$248),"")</f>
        <v>0</v>
      </c>
      <c r="O248">
        <f ca="1">IFERROR(IF(0=LEN(ReferenceData!$O$248),"",ReferenceData!$O$248),"")</f>
        <v>0</v>
      </c>
      <c r="P248">
        <f ca="1">IFERROR(IF(0=LEN(ReferenceData!$P$248),"",ReferenceData!$P$248),"")</f>
        <v>0</v>
      </c>
      <c r="Q248">
        <f ca="1">IFERROR(IF(0=LEN(ReferenceData!$Q$248),"",ReferenceData!$Q$248),"")</f>
        <v>0</v>
      </c>
      <c r="R248">
        <f ca="1">IFERROR(IF(0=LEN(ReferenceData!$R$248),"",ReferenceData!$R$248),"")</f>
        <v>0</v>
      </c>
      <c r="S248">
        <f ca="1">IFERROR(IF(0=LEN(ReferenceData!$S$248),"",ReferenceData!$S$248),"")</f>
        <v>0</v>
      </c>
      <c r="T248">
        <f ca="1">IFERROR(IF(0=LEN(ReferenceData!$T$248),"",ReferenceData!$T$248),"")</f>
        <v>0</v>
      </c>
      <c r="U248">
        <f ca="1">IFERROR(IF(0=LEN(ReferenceData!$U$248),"",ReferenceData!$U$248),"")</f>
        <v>0</v>
      </c>
      <c r="V248">
        <f ca="1">IFERROR(IF(0=LEN(ReferenceData!$V$248),"",ReferenceData!$V$248),"")</f>
        <v>0</v>
      </c>
      <c r="W248">
        <f ca="1">IFERROR(IF(0=LEN(ReferenceData!$W$248),"",ReferenceData!$W$248),"")</f>
        <v>0</v>
      </c>
      <c r="X248">
        <f ca="1">IFERROR(IF(0=LEN(ReferenceData!$X$248),"",ReferenceData!$X$248),"")</f>
        <v>0</v>
      </c>
      <c r="Y248">
        <f ca="1">IFERROR(IF(0=LEN(ReferenceData!$Y$248),"",ReferenceData!$Y$248),"")</f>
        <v>0</v>
      </c>
      <c r="Z248">
        <f ca="1">IFERROR(IF(0=LEN(ReferenceData!$Z$248),"",ReferenceData!$Z$248),"")</f>
        <v>0</v>
      </c>
      <c r="AA248">
        <f ca="1">IFERROR(IF(0=LEN(ReferenceData!$AA$248),"",ReferenceData!$AA$248),"")</f>
        <v>0</v>
      </c>
      <c r="AB248" t="str">
        <f ca="1">IFERROR(IF(0=LEN(ReferenceData!$AB$248),"",ReferenceData!$AB$248),"")</f>
        <v/>
      </c>
      <c r="AC248" t="str">
        <f ca="1">IFERROR(IF(0=LEN(ReferenceData!$AC$248),"",ReferenceData!$AC$248),"")</f>
        <v/>
      </c>
      <c r="AD248" t="str">
        <f ca="1">IFERROR(IF(0=LEN(ReferenceData!$AD$248),"",ReferenceData!$AD$248),"")</f>
        <v/>
      </c>
      <c r="AE248" t="str">
        <f ca="1">IFERROR(IF(0=LEN(ReferenceData!$AE$248),"",ReferenceData!$AE$248),"")</f>
        <v/>
      </c>
      <c r="AF248" t="str">
        <f ca="1">IFERROR(IF(0=LEN(ReferenceData!$AF$248),"",ReferenceData!$AF$248),"")</f>
        <v/>
      </c>
      <c r="AG248" t="str">
        <f ca="1">IFERROR(IF(0=LEN(ReferenceData!$AG$248),"",ReferenceData!$AG$248),"")</f>
        <v/>
      </c>
      <c r="AH248" t="str">
        <f ca="1">IFERROR(IF(0=LEN(ReferenceData!$AH$248),"",ReferenceData!$AH$248),"")</f>
        <v/>
      </c>
      <c r="AI248" t="str">
        <f ca="1">IFERROR(IF(0=LEN(ReferenceData!$AI$248),"",ReferenceData!$AI$248),"")</f>
        <v/>
      </c>
      <c r="AJ248" t="str">
        <f ca="1">IFERROR(IF(0=LEN(ReferenceData!$AJ$248),"",ReferenceData!$AJ$248),"")</f>
        <v/>
      </c>
      <c r="AK248" t="str">
        <f ca="1">IFERROR(IF(0=LEN(ReferenceData!$AK$248),"",ReferenceData!$AK$248),"")</f>
        <v/>
      </c>
      <c r="AL248" t="str">
        <f ca="1">IFERROR(IF(0=LEN(ReferenceData!$AL$248),"",ReferenceData!$AL$248),"")</f>
        <v/>
      </c>
      <c r="AM248" t="str">
        <f ca="1">IFERROR(IF(0=LEN(ReferenceData!$AM$248),"",ReferenceData!$AM$248),"")</f>
        <v/>
      </c>
      <c r="AN248" t="str">
        <f ca="1">IFERROR(IF(0=LEN(ReferenceData!$AN$248),"",ReferenceData!$AN$248),"")</f>
        <v/>
      </c>
      <c r="AO248" t="str">
        <f ca="1">IFERROR(IF(0=LEN(ReferenceData!$AO$248),"",ReferenceData!$AO$248),"")</f>
        <v/>
      </c>
      <c r="AP248" t="str">
        <f ca="1">IFERROR(IF(0=LEN(ReferenceData!$AP$248),"",ReferenceData!$AP$248),"")</f>
        <v/>
      </c>
      <c r="AQ248" t="str">
        <f ca="1">IFERROR(IF(0=LEN(ReferenceData!$AQ$248),"",ReferenceData!$AQ$248),"")</f>
        <v/>
      </c>
      <c r="AR248" t="str">
        <f ca="1">IFERROR(IF(0=LEN(ReferenceData!$AR$248),"",ReferenceData!$AR$248),"")</f>
        <v/>
      </c>
      <c r="AS248" t="str">
        <f ca="1">IFERROR(IF(0=LEN(ReferenceData!$AS$248),"",ReferenceData!$AS$248),"")</f>
        <v/>
      </c>
    </row>
    <row r="249" spans="1:45" x14ac:dyDescent="0.25">
      <c r="A249" t="str">
        <f>IFERROR(IF(0=LEN(ReferenceData!$A$249),"",ReferenceData!$A$249),"")</f>
        <v xml:space="preserve">    Other</v>
      </c>
      <c r="B249" t="str">
        <f>IFERROR(IF(0=LEN(ReferenceData!$B$249),"",ReferenceData!$B$249),"")</f>
        <v/>
      </c>
      <c r="C249" t="str">
        <f>IFERROR(IF(0=LEN(ReferenceData!$C$249),"",ReferenceData!$C$249),"")</f>
        <v/>
      </c>
      <c r="D249" t="str">
        <f>IFERROR(IF(0=LEN(ReferenceData!$D$249),"",ReferenceData!$D$249),"")</f>
        <v/>
      </c>
      <c r="E249" t="str">
        <f>IFERROR(IF(0=LEN(ReferenceData!$E$249),"",ReferenceData!$E$249),"")</f>
        <v>Expression</v>
      </c>
      <c r="F249">
        <f ca="1">IFERROR(IF(0=LEN(ReferenceData!$F$249),"",ReferenceData!$F$249),"")</f>
        <v>0</v>
      </c>
      <c r="G249">
        <f ca="1">IFERROR(IF(0=LEN(ReferenceData!$G$249),"",ReferenceData!$G$249),"")</f>
        <v>0</v>
      </c>
      <c r="H249">
        <f ca="1">IFERROR(IF(0=LEN(ReferenceData!$H$249),"",ReferenceData!$H$249),"")</f>
        <v>0</v>
      </c>
      <c r="I249">
        <f ca="1">IFERROR(IF(0=LEN(ReferenceData!$I$249),"",ReferenceData!$I$249),"")</f>
        <v>0</v>
      </c>
      <c r="J249">
        <f ca="1">IFERROR(IF(0=LEN(ReferenceData!$J$249),"",ReferenceData!$J$249),"")</f>
        <v>0</v>
      </c>
      <c r="K249">
        <f ca="1">IFERROR(IF(0=LEN(ReferenceData!$K$249),"",ReferenceData!$K$249),"")</f>
        <v>0</v>
      </c>
      <c r="L249">
        <f ca="1">IFERROR(IF(0=LEN(ReferenceData!$L$249),"",ReferenceData!$L$249),"")</f>
        <v>0</v>
      </c>
      <c r="M249">
        <f ca="1">IFERROR(IF(0=LEN(ReferenceData!$M$249),"",ReferenceData!$M$249),"")</f>
        <v>0</v>
      </c>
      <c r="N249">
        <f ca="1">IFERROR(IF(0=LEN(ReferenceData!$N$249),"",ReferenceData!$N$249),"")</f>
        <v>0</v>
      </c>
      <c r="O249">
        <f ca="1">IFERROR(IF(0=LEN(ReferenceData!$O$249),"",ReferenceData!$O$249),"")</f>
        <v>0</v>
      </c>
      <c r="P249">
        <f ca="1">IFERROR(IF(0=LEN(ReferenceData!$P$249),"",ReferenceData!$P$249),"")</f>
        <v>0</v>
      </c>
      <c r="Q249">
        <f ca="1">IFERROR(IF(0=LEN(ReferenceData!$Q$249),"",ReferenceData!$Q$249),"")</f>
        <v>0</v>
      </c>
      <c r="R249">
        <f ca="1">IFERROR(IF(0=LEN(ReferenceData!$R$249),"",ReferenceData!$R$249),"")</f>
        <v>0</v>
      </c>
      <c r="S249">
        <f ca="1">IFERROR(IF(0=LEN(ReferenceData!$S$249),"",ReferenceData!$S$249),"")</f>
        <v>0</v>
      </c>
      <c r="T249">
        <f ca="1">IFERROR(IF(0=LEN(ReferenceData!$T$249),"",ReferenceData!$T$249),"")</f>
        <v>0</v>
      </c>
      <c r="U249">
        <f ca="1">IFERROR(IF(0=LEN(ReferenceData!$U$249),"",ReferenceData!$U$249),"")</f>
        <v>0</v>
      </c>
      <c r="V249">
        <f ca="1">IFERROR(IF(0=LEN(ReferenceData!$V$249),"",ReferenceData!$V$249),"")</f>
        <v>0</v>
      </c>
      <c r="W249">
        <f ca="1">IFERROR(IF(0=LEN(ReferenceData!$W$249),"",ReferenceData!$W$249),"")</f>
        <v>0</v>
      </c>
      <c r="X249">
        <f ca="1">IFERROR(IF(0=LEN(ReferenceData!$X$249),"",ReferenceData!$X$249),"")</f>
        <v>0</v>
      </c>
      <c r="Y249">
        <f ca="1">IFERROR(IF(0=LEN(ReferenceData!$Y$249),"",ReferenceData!$Y$249),"")</f>
        <v>0</v>
      </c>
      <c r="Z249">
        <f ca="1">IFERROR(IF(0=LEN(ReferenceData!$Z$249),"",ReferenceData!$Z$249),"")</f>
        <v>0</v>
      </c>
      <c r="AA249">
        <f ca="1">IFERROR(IF(0=LEN(ReferenceData!$AA$249),"",ReferenceData!$AA$249),"")</f>
        <v>0</v>
      </c>
      <c r="AB249">
        <f ca="1">IFERROR(IF(0=LEN(ReferenceData!$AB$249),"",ReferenceData!$AB$249),"")</f>
        <v>0</v>
      </c>
      <c r="AC249">
        <f ca="1">IFERROR(IF(0=LEN(ReferenceData!$AC$249),"",ReferenceData!$AC$249),"")</f>
        <v>0</v>
      </c>
      <c r="AD249">
        <f ca="1">IFERROR(IF(0=LEN(ReferenceData!$AD$249),"",ReferenceData!$AD$249),"")</f>
        <v>0</v>
      </c>
      <c r="AE249">
        <f ca="1">IFERROR(IF(0=LEN(ReferenceData!$AE$249),"",ReferenceData!$AE$249),"")</f>
        <v>0</v>
      </c>
      <c r="AF249">
        <f ca="1">IFERROR(IF(0=LEN(ReferenceData!$AF$249),"",ReferenceData!$AF$249),"")</f>
        <v>0</v>
      </c>
      <c r="AG249">
        <f ca="1">IFERROR(IF(0=LEN(ReferenceData!$AG$249),"",ReferenceData!$AG$249),"")</f>
        <v>0</v>
      </c>
      <c r="AH249">
        <f ca="1">IFERROR(IF(0=LEN(ReferenceData!$AH$249),"",ReferenceData!$AH$249),"")</f>
        <v>0</v>
      </c>
      <c r="AI249">
        <f ca="1">IFERROR(IF(0=LEN(ReferenceData!$AI$249),"",ReferenceData!$AI$249),"")</f>
        <v>0</v>
      </c>
      <c r="AJ249">
        <f ca="1">IFERROR(IF(0=LEN(ReferenceData!$AJ$249),"",ReferenceData!$AJ$249),"")</f>
        <v>0</v>
      </c>
      <c r="AK249">
        <f ca="1">IFERROR(IF(0=LEN(ReferenceData!$AK$249),"",ReferenceData!$AK$249),"")</f>
        <v>0</v>
      </c>
      <c r="AL249">
        <f ca="1">IFERROR(IF(0=LEN(ReferenceData!$AL$249),"",ReferenceData!$AL$249),"")</f>
        <v>0</v>
      </c>
      <c r="AM249">
        <f ca="1">IFERROR(IF(0=LEN(ReferenceData!$AM$249),"",ReferenceData!$AM$249),"")</f>
        <v>0</v>
      </c>
      <c r="AN249">
        <f ca="1">IFERROR(IF(0=LEN(ReferenceData!$AN$249),"",ReferenceData!$AN$249),"")</f>
        <v>0</v>
      </c>
      <c r="AO249">
        <f ca="1">IFERROR(IF(0=LEN(ReferenceData!$AO$249),"",ReferenceData!$AO$249),"")</f>
        <v>0</v>
      </c>
      <c r="AP249">
        <f ca="1">IFERROR(IF(0=LEN(ReferenceData!$AP$249),"",ReferenceData!$AP$249),"")</f>
        <v>0</v>
      </c>
      <c r="AQ249">
        <f ca="1">IFERROR(IF(0=LEN(ReferenceData!$AQ$249),"",ReferenceData!$AQ$249),"")</f>
        <v>0</v>
      </c>
      <c r="AR249">
        <f ca="1">IFERROR(IF(0=LEN(ReferenceData!$AR$249),"",ReferenceData!$AR$249),"")</f>
        <v>0</v>
      </c>
      <c r="AS249">
        <f ca="1">IFERROR(IF(0=LEN(ReferenceData!$AS$249),"",ReferenceData!$AS$249),"")</f>
        <v>0</v>
      </c>
    </row>
    <row r="250" spans="1:45" x14ac:dyDescent="0.25">
      <c r="A250" t="str">
        <f>IFERROR(IF(0=LEN(ReferenceData!$A$250),"",ReferenceData!$A$250),"")</f>
        <v>Canada (Class 6-7)</v>
      </c>
      <c r="B250" t="str">
        <f>IFERROR(IF(0=LEN(ReferenceData!$B$250),"",ReferenceData!$B$250),"")</f>
        <v>TRCKCA6S Index</v>
      </c>
      <c r="C250" t="str">
        <f>IFERROR(IF(0=LEN(ReferenceData!$C$250),"",ReferenceData!$C$250),"")</f>
        <v>PR005</v>
      </c>
      <c r="D250" t="str">
        <f>IFERROR(IF(0=LEN(ReferenceData!$D$250),"",ReferenceData!$D$250),"")</f>
        <v>PX_LAST</v>
      </c>
      <c r="E250" t="str">
        <f>IFERROR(IF(0=LEN(ReferenceData!$E$250),"",ReferenceData!$E$250),"")</f>
        <v>Dynamic</v>
      </c>
      <c r="F250">
        <f ca="1">IFERROR(IF(0=LEN(ReferenceData!$F$250),"",ReferenceData!$F$250),"")</f>
        <v>598</v>
      </c>
      <c r="G250">
        <f ca="1">IFERROR(IF(0=LEN(ReferenceData!$G$250),"",ReferenceData!$G$250),"")</f>
        <v>794</v>
      </c>
      <c r="H250">
        <f ca="1">IFERROR(IF(0=LEN(ReferenceData!$H$250),"",ReferenceData!$H$250),"")</f>
        <v>390</v>
      </c>
      <c r="I250">
        <f ca="1">IFERROR(IF(0=LEN(ReferenceData!$I$250),"",ReferenceData!$I$250),"")</f>
        <v>503</v>
      </c>
      <c r="J250">
        <f ca="1">IFERROR(IF(0=LEN(ReferenceData!$J$250),"",ReferenceData!$J$250),"")</f>
        <v>446</v>
      </c>
      <c r="K250">
        <f ca="1">IFERROR(IF(0=LEN(ReferenceData!$K$250),"",ReferenceData!$K$250),"")</f>
        <v>535</v>
      </c>
      <c r="L250">
        <f ca="1">IFERROR(IF(0=LEN(ReferenceData!$L$250),"",ReferenceData!$L$250),"")</f>
        <v>573</v>
      </c>
      <c r="M250">
        <f ca="1">IFERROR(IF(0=LEN(ReferenceData!$M$250),"",ReferenceData!$M$250),"")</f>
        <v>469</v>
      </c>
      <c r="N250">
        <f ca="1">IFERROR(IF(0=LEN(ReferenceData!$N$250),"",ReferenceData!$N$250),"")</f>
        <v>473</v>
      </c>
      <c r="O250">
        <f ca="1">IFERROR(IF(0=LEN(ReferenceData!$O$250),"",ReferenceData!$O$250),"")</f>
        <v>318</v>
      </c>
      <c r="P250">
        <f ca="1">IFERROR(IF(0=LEN(ReferenceData!$P$250),"",ReferenceData!$P$250),"")</f>
        <v>289</v>
      </c>
      <c r="Q250">
        <f ca="1">IFERROR(IF(0=LEN(ReferenceData!$Q$250),"",ReferenceData!$Q$250),"")</f>
        <v>398</v>
      </c>
      <c r="R250">
        <f ca="1">IFERROR(IF(0=LEN(ReferenceData!$R$250),"",ReferenceData!$R$250),"")</f>
        <v>381</v>
      </c>
      <c r="S250">
        <f ca="1">IFERROR(IF(0=LEN(ReferenceData!$S$250),"",ReferenceData!$S$250),"")</f>
        <v>779</v>
      </c>
      <c r="T250">
        <f ca="1">IFERROR(IF(0=LEN(ReferenceData!$T$250),"",ReferenceData!$T$250),"")</f>
        <v>510</v>
      </c>
      <c r="U250">
        <f ca="1">IFERROR(IF(0=LEN(ReferenceData!$U$250),"",ReferenceData!$U$250),"")</f>
        <v>411</v>
      </c>
      <c r="V250">
        <f ca="1">IFERROR(IF(0=LEN(ReferenceData!$V$250),"",ReferenceData!$V$250),"")</f>
        <v>434</v>
      </c>
      <c r="W250">
        <f ca="1">IFERROR(IF(0=LEN(ReferenceData!$W$250),"",ReferenceData!$W$250),"")</f>
        <v>446</v>
      </c>
      <c r="X250">
        <f ca="1">IFERROR(IF(0=LEN(ReferenceData!$X$250),"",ReferenceData!$X$250),"")</f>
        <v>516</v>
      </c>
      <c r="Y250">
        <f ca="1">IFERROR(IF(0=LEN(ReferenceData!$Y$250),"",ReferenceData!$Y$250),"")</f>
        <v>438</v>
      </c>
      <c r="Z250">
        <f ca="1">IFERROR(IF(0=LEN(ReferenceData!$Z$250),"",ReferenceData!$Z$250),"")</f>
        <v>483</v>
      </c>
      <c r="AA250">
        <f ca="1">IFERROR(IF(0=LEN(ReferenceData!$AA$250),"",ReferenceData!$AA$250),"")</f>
        <v>353</v>
      </c>
      <c r="AB250">
        <f ca="1">IFERROR(IF(0=LEN(ReferenceData!$AB$250),"",ReferenceData!$AB$250),"")</f>
        <v>386</v>
      </c>
      <c r="AC250">
        <f ca="1">IFERROR(IF(0=LEN(ReferenceData!$AC$250),"",ReferenceData!$AC$250),"")</f>
        <v>295</v>
      </c>
      <c r="AD250">
        <f ca="1">IFERROR(IF(0=LEN(ReferenceData!$AD$250),"",ReferenceData!$AD$250),"")</f>
        <v>476</v>
      </c>
      <c r="AE250">
        <f ca="1">IFERROR(IF(0=LEN(ReferenceData!$AE$250),"",ReferenceData!$AE$250),"")</f>
        <v>1047</v>
      </c>
      <c r="AF250">
        <f ca="1">IFERROR(IF(0=LEN(ReferenceData!$AF$250),"",ReferenceData!$AF$250),"")</f>
        <v>412</v>
      </c>
      <c r="AG250">
        <f ca="1">IFERROR(IF(0=LEN(ReferenceData!$AG$250),"",ReferenceData!$AG$250),"")</f>
        <v>480</v>
      </c>
      <c r="AH250">
        <f ca="1">IFERROR(IF(0=LEN(ReferenceData!$AH$250),"",ReferenceData!$AH$250),"")</f>
        <v>537</v>
      </c>
      <c r="AI250">
        <f ca="1">IFERROR(IF(0=LEN(ReferenceData!$AI$250),"",ReferenceData!$AI$250),"")</f>
        <v>613</v>
      </c>
      <c r="AJ250">
        <f ca="1">IFERROR(IF(0=LEN(ReferenceData!$AJ$250),"",ReferenceData!$AJ$250),"")</f>
        <v>520</v>
      </c>
      <c r="AK250">
        <f ca="1">IFERROR(IF(0=LEN(ReferenceData!$AK$250),"",ReferenceData!$AK$250),"")</f>
        <v>561</v>
      </c>
      <c r="AL250">
        <f ca="1">IFERROR(IF(0=LEN(ReferenceData!$AL$250),"",ReferenceData!$AL$250),"")</f>
        <v>512</v>
      </c>
      <c r="AM250">
        <f ca="1">IFERROR(IF(0=LEN(ReferenceData!$AM$250),"",ReferenceData!$AM$250),"")</f>
        <v>245</v>
      </c>
      <c r="AN250">
        <f ca="1">IFERROR(IF(0=LEN(ReferenceData!$AN$250),"",ReferenceData!$AN$250),"")</f>
        <v>439</v>
      </c>
      <c r="AO250">
        <f ca="1">IFERROR(IF(0=LEN(ReferenceData!$AO$250),"",ReferenceData!$AO$250),"")</f>
        <v>323</v>
      </c>
      <c r="AP250">
        <f ca="1">IFERROR(IF(0=LEN(ReferenceData!$AP$250),"",ReferenceData!$AP$250),"")</f>
        <v>523</v>
      </c>
      <c r="AQ250">
        <f ca="1">IFERROR(IF(0=LEN(ReferenceData!$AQ$250),"",ReferenceData!$AQ$250),"")</f>
        <v>899</v>
      </c>
      <c r="AR250">
        <f ca="1">IFERROR(IF(0=LEN(ReferenceData!$AR$250),"",ReferenceData!$AR$250),"")</f>
        <v>388</v>
      </c>
      <c r="AS250">
        <f ca="1">IFERROR(IF(0=LEN(ReferenceData!$AS$250),"",ReferenceData!$AS$250),"")</f>
        <v>435</v>
      </c>
    </row>
    <row r="251" spans="1:45" x14ac:dyDescent="0.25">
      <c r="A251" t="str">
        <f>IFERROR(IF(0=LEN(ReferenceData!$A$251),"",ReferenceData!$A$251),"")</f>
        <v xml:space="preserve">    Navistar - International</v>
      </c>
      <c r="B251" t="str">
        <f>IFERROR(IF(0=LEN(ReferenceData!$B$251),"",ReferenceData!$B$251),"")</f>
        <v>NAV US Equity</v>
      </c>
      <c r="C251" t="str">
        <f>IFERROR(IF(0=LEN(ReferenceData!$C$251),"",ReferenceData!$C$251),"")</f>
        <v>X1701</v>
      </c>
      <c r="D251" t="str">
        <f>IFERROR(IF(0=LEN(ReferenceData!$D$251),"",ReferenceData!$D$251),"")</f>
        <v>WARDS_RETAIL_SALES_UNITS</v>
      </c>
      <c r="E251" t="str">
        <f>IFERROR(IF(0=LEN(ReferenceData!$E$251),"",ReferenceData!$E$251),"")</f>
        <v>Dynamic</v>
      </c>
      <c r="F251">
        <f ca="1">IFERROR(IF(0=LEN(ReferenceData!$F$251),"",ReferenceData!$F$251),"")</f>
        <v>309</v>
      </c>
      <c r="G251">
        <f ca="1">IFERROR(IF(0=LEN(ReferenceData!$G$251),"",ReferenceData!$G$251),"")</f>
        <v>439</v>
      </c>
      <c r="H251">
        <f ca="1">IFERROR(IF(0=LEN(ReferenceData!$H$251),"",ReferenceData!$H$251),"")</f>
        <v>142</v>
      </c>
      <c r="I251">
        <f ca="1">IFERROR(IF(0=LEN(ReferenceData!$I$251),"",ReferenceData!$I$251),"")</f>
        <v>155</v>
      </c>
      <c r="J251">
        <f ca="1">IFERROR(IF(0=LEN(ReferenceData!$J$251),"",ReferenceData!$J$251),"")</f>
        <v>121</v>
      </c>
      <c r="K251">
        <f ca="1">IFERROR(IF(0=LEN(ReferenceData!$K$251),"",ReferenceData!$K$251),"")</f>
        <v>153</v>
      </c>
      <c r="L251">
        <f ca="1">IFERROR(IF(0=LEN(ReferenceData!$L$251),"",ReferenceData!$L$251),"")</f>
        <v>143</v>
      </c>
      <c r="M251">
        <f ca="1">IFERROR(IF(0=LEN(ReferenceData!$M$251),"",ReferenceData!$M$251),"")</f>
        <v>188</v>
      </c>
      <c r="N251">
        <f ca="1">IFERROR(IF(0=LEN(ReferenceData!$N$251),"",ReferenceData!$N$251),"")</f>
        <v>170</v>
      </c>
      <c r="O251">
        <f ca="1">IFERROR(IF(0=LEN(ReferenceData!$O$251),"",ReferenceData!$O$251),"")</f>
        <v>77</v>
      </c>
      <c r="P251">
        <f ca="1">IFERROR(IF(0=LEN(ReferenceData!$P$251),"",ReferenceData!$P$251),"")</f>
        <v>92</v>
      </c>
      <c r="Q251">
        <f ca="1">IFERROR(IF(0=LEN(ReferenceData!$Q$251),"",ReferenceData!$Q$251),"")</f>
        <v>97</v>
      </c>
      <c r="R251">
        <f ca="1">IFERROR(IF(0=LEN(ReferenceData!$R$251),"",ReferenceData!$R$251),"")</f>
        <v>177</v>
      </c>
      <c r="S251">
        <f ca="1">IFERROR(IF(0=LEN(ReferenceData!$S$251),"",ReferenceData!$S$251),"")</f>
        <v>510</v>
      </c>
      <c r="T251">
        <f ca="1">IFERROR(IF(0=LEN(ReferenceData!$T$251),"",ReferenceData!$T$251),"")</f>
        <v>265</v>
      </c>
      <c r="U251">
        <f ca="1">IFERROR(IF(0=LEN(ReferenceData!$U$251),"",ReferenceData!$U$251),"")</f>
        <v>160</v>
      </c>
      <c r="V251">
        <f ca="1">IFERROR(IF(0=LEN(ReferenceData!$V$251),"",ReferenceData!$V$251),"")</f>
        <v>149</v>
      </c>
      <c r="W251">
        <f ca="1">IFERROR(IF(0=LEN(ReferenceData!$W$251),"",ReferenceData!$W$251),"")</f>
        <v>115</v>
      </c>
      <c r="X251">
        <f ca="1">IFERROR(IF(0=LEN(ReferenceData!$X$251),"",ReferenceData!$X$251),"")</f>
        <v>215</v>
      </c>
      <c r="Y251">
        <f ca="1">IFERROR(IF(0=LEN(ReferenceData!$Y$251),"",ReferenceData!$Y$251),"")</f>
        <v>168</v>
      </c>
      <c r="Z251">
        <f ca="1">IFERROR(IF(0=LEN(ReferenceData!$Z$251),"",ReferenceData!$Z$251),"")</f>
        <v>167</v>
      </c>
      <c r="AA251">
        <f ca="1">IFERROR(IF(0=LEN(ReferenceData!$AA$251),"",ReferenceData!$AA$251),"")</f>
        <v>97</v>
      </c>
      <c r="AB251">
        <f ca="1">IFERROR(IF(0=LEN(ReferenceData!$AB$251),"",ReferenceData!$AB$251),"")</f>
        <v>79</v>
      </c>
      <c r="AC251">
        <f ca="1">IFERROR(IF(0=LEN(ReferenceData!$AC$251),"",ReferenceData!$AC$251),"")</f>
        <v>41</v>
      </c>
      <c r="AD251">
        <f ca="1">IFERROR(IF(0=LEN(ReferenceData!$AD$251),"",ReferenceData!$AD$251),"")</f>
        <v>200</v>
      </c>
      <c r="AE251">
        <f ca="1">IFERROR(IF(0=LEN(ReferenceData!$AE$251),"",ReferenceData!$AE$251),"")</f>
        <v>778</v>
      </c>
      <c r="AF251">
        <f ca="1">IFERROR(IF(0=LEN(ReferenceData!$AF$251),"",ReferenceData!$AF$251),"")</f>
        <v>150</v>
      </c>
      <c r="AG251">
        <f ca="1">IFERROR(IF(0=LEN(ReferenceData!$AG$251),"",ReferenceData!$AG$251),"")</f>
        <v>217</v>
      </c>
      <c r="AH251">
        <f ca="1">IFERROR(IF(0=LEN(ReferenceData!$AH$251),"",ReferenceData!$AH$251),"")</f>
        <v>247</v>
      </c>
      <c r="AI251">
        <f ca="1">IFERROR(IF(0=LEN(ReferenceData!$AI$251),"",ReferenceData!$AI$251),"")</f>
        <v>175</v>
      </c>
      <c r="AJ251">
        <f ca="1">IFERROR(IF(0=LEN(ReferenceData!$AJ$251),"",ReferenceData!$AJ$251),"")</f>
        <v>206</v>
      </c>
      <c r="AK251">
        <f ca="1">IFERROR(IF(0=LEN(ReferenceData!$AK$251),"",ReferenceData!$AK$251),"")</f>
        <v>203</v>
      </c>
      <c r="AL251">
        <f ca="1">IFERROR(IF(0=LEN(ReferenceData!$AL$251),"",ReferenceData!$AL$251),"")</f>
        <v>111</v>
      </c>
      <c r="AM251">
        <f ca="1">IFERROR(IF(0=LEN(ReferenceData!$AM$251),"",ReferenceData!$AM$251),"")</f>
        <v>87</v>
      </c>
      <c r="AN251">
        <f ca="1">IFERROR(IF(0=LEN(ReferenceData!$AN$251),"",ReferenceData!$AN$251),"")</f>
        <v>114</v>
      </c>
      <c r="AO251">
        <f ca="1">IFERROR(IF(0=LEN(ReferenceData!$AO$251),"",ReferenceData!$AO$251),"")</f>
        <v>63</v>
      </c>
      <c r="AP251">
        <f ca="1">IFERROR(IF(0=LEN(ReferenceData!$AP$251),"",ReferenceData!$AP$251),"")</f>
        <v>240</v>
      </c>
      <c r="AQ251">
        <f ca="1">IFERROR(IF(0=LEN(ReferenceData!$AQ$251),"",ReferenceData!$AQ$251),"")</f>
        <v>653</v>
      </c>
      <c r="AR251">
        <f ca="1">IFERROR(IF(0=LEN(ReferenceData!$AR$251),"",ReferenceData!$AR$251),"")</f>
        <v>122</v>
      </c>
      <c r="AS251">
        <f ca="1">IFERROR(IF(0=LEN(ReferenceData!$AS$251),"",ReferenceData!$AS$251),"")</f>
        <v>160</v>
      </c>
    </row>
    <row r="252" spans="1:45" x14ac:dyDescent="0.25">
      <c r="A252" t="str">
        <f>IFERROR(IF(0=LEN(ReferenceData!$A$252),"",ReferenceData!$A$252),"")</f>
        <v xml:space="preserve">    PACCAR - Kenworth</v>
      </c>
      <c r="B252" t="str">
        <f>IFERROR(IF(0=LEN(ReferenceData!$B$252),"",ReferenceData!$B$252),"")</f>
        <v>PCAR US Equity</v>
      </c>
      <c r="C252" t="str">
        <f>IFERROR(IF(0=LEN(ReferenceData!$C$252),"",ReferenceData!$C$252),"")</f>
        <v>X1701</v>
      </c>
      <c r="D252" t="str">
        <f>IFERROR(IF(0=LEN(ReferenceData!$D$252),"",ReferenceData!$D$252),"")</f>
        <v>WARDS_RETAIL_SALES_UNITS</v>
      </c>
      <c r="E252" t="str">
        <f>IFERROR(IF(0=LEN(ReferenceData!$E$252),"",ReferenceData!$E$252),"")</f>
        <v>Dynamic</v>
      </c>
      <c r="F252">
        <f ca="1">IFERROR(IF(0=LEN(ReferenceData!$F$252),"",ReferenceData!$F$252),"")</f>
        <v>50</v>
      </c>
      <c r="G252">
        <f ca="1">IFERROR(IF(0=LEN(ReferenceData!$G$252),"",ReferenceData!$G$252),"")</f>
        <v>52</v>
      </c>
      <c r="H252">
        <f ca="1">IFERROR(IF(0=LEN(ReferenceData!$H$252),"",ReferenceData!$H$252),"")</f>
        <v>25</v>
      </c>
      <c r="I252">
        <f ca="1">IFERROR(IF(0=LEN(ReferenceData!$I$252),"",ReferenceData!$I$252),"")</f>
        <v>53</v>
      </c>
      <c r="J252">
        <f ca="1">IFERROR(IF(0=LEN(ReferenceData!$J$252),"",ReferenceData!$J$252),"")</f>
        <v>52</v>
      </c>
      <c r="K252">
        <f ca="1">IFERROR(IF(0=LEN(ReferenceData!$K$252),"",ReferenceData!$K$252),"")</f>
        <v>61</v>
      </c>
      <c r="L252">
        <f ca="1">IFERROR(IF(0=LEN(ReferenceData!$L$252),"",ReferenceData!$L$252),"")</f>
        <v>35</v>
      </c>
      <c r="M252">
        <f ca="1">IFERROR(IF(0=LEN(ReferenceData!$M$252),"",ReferenceData!$M$252),"")</f>
        <v>35</v>
      </c>
      <c r="N252">
        <f ca="1">IFERROR(IF(0=LEN(ReferenceData!$N$252),"",ReferenceData!$N$252),"")</f>
        <v>36</v>
      </c>
      <c r="O252">
        <f ca="1">IFERROR(IF(0=LEN(ReferenceData!$O$252),"",ReferenceData!$O$252),"")</f>
        <v>29</v>
      </c>
      <c r="P252">
        <f ca="1">IFERROR(IF(0=LEN(ReferenceData!$P$252),"",ReferenceData!$P$252),"")</f>
        <v>29</v>
      </c>
      <c r="Q252">
        <f ca="1">IFERROR(IF(0=LEN(ReferenceData!$Q$252),"",ReferenceData!$Q$252),"")</f>
        <v>45</v>
      </c>
      <c r="R252">
        <f ca="1">IFERROR(IF(0=LEN(ReferenceData!$R$252),"",ReferenceData!$R$252),"")</f>
        <v>35</v>
      </c>
      <c r="S252">
        <f ca="1">IFERROR(IF(0=LEN(ReferenceData!$S$252),"",ReferenceData!$S$252),"")</f>
        <v>33</v>
      </c>
      <c r="T252">
        <f ca="1">IFERROR(IF(0=LEN(ReferenceData!$T$252),"",ReferenceData!$T$252),"")</f>
        <v>33</v>
      </c>
      <c r="U252">
        <f ca="1">IFERROR(IF(0=LEN(ReferenceData!$U$252),"",ReferenceData!$U$252),"")</f>
        <v>29</v>
      </c>
      <c r="V252">
        <f ca="1">IFERROR(IF(0=LEN(ReferenceData!$V$252),"",ReferenceData!$V$252),"")</f>
        <v>43</v>
      </c>
      <c r="W252">
        <f ca="1">IFERROR(IF(0=LEN(ReferenceData!$W$252),"",ReferenceData!$W$252),"")</f>
        <v>27</v>
      </c>
      <c r="X252">
        <f ca="1">IFERROR(IF(0=LEN(ReferenceData!$X$252),"",ReferenceData!$X$252),"")</f>
        <v>46</v>
      </c>
      <c r="Y252">
        <f ca="1">IFERROR(IF(0=LEN(ReferenceData!$Y$252),"",ReferenceData!$Y$252),"")</f>
        <v>28</v>
      </c>
      <c r="Z252">
        <f ca="1">IFERROR(IF(0=LEN(ReferenceData!$Z$252),"",ReferenceData!$Z$252),"")</f>
        <v>37</v>
      </c>
      <c r="AA252">
        <f ca="1">IFERROR(IF(0=LEN(ReferenceData!$AA$252),"",ReferenceData!$AA$252),"")</f>
        <v>32</v>
      </c>
      <c r="AB252">
        <f ca="1">IFERROR(IF(0=LEN(ReferenceData!$AB$252),"",ReferenceData!$AB$252),"")</f>
        <v>42</v>
      </c>
      <c r="AC252">
        <f ca="1">IFERROR(IF(0=LEN(ReferenceData!$AC$252),"",ReferenceData!$AC$252),"")</f>
        <v>33</v>
      </c>
      <c r="AD252">
        <f ca="1">IFERROR(IF(0=LEN(ReferenceData!$AD$252),"",ReferenceData!$AD$252),"")</f>
        <v>36</v>
      </c>
      <c r="AE252">
        <f ca="1">IFERROR(IF(0=LEN(ReferenceData!$AE$252),"",ReferenceData!$AE$252),"")</f>
        <v>51</v>
      </c>
      <c r="AF252">
        <f ca="1">IFERROR(IF(0=LEN(ReferenceData!$AF$252),"",ReferenceData!$AF$252),"")</f>
        <v>45</v>
      </c>
      <c r="AG252">
        <f ca="1">IFERROR(IF(0=LEN(ReferenceData!$AG$252),"",ReferenceData!$AG$252),"")</f>
        <v>26</v>
      </c>
      <c r="AH252">
        <f ca="1">IFERROR(IF(0=LEN(ReferenceData!$AH$252),"",ReferenceData!$AH$252),"")</f>
        <v>56</v>
      </c>
      <c r="AI252">
        <f ca="1">IFERROR(IF(0=LEN(ReferenceData!$AI$252),"",ReferenceData!$AI$252),"")</f>
        <v>93</v>
      </c>
      <c r="AJ252">
        <f ca="1">IFERROR(IF(0=LEN(ReferenceData!$AJ$252),"",ReferenceData!$AJ$252),"")</f>
        <v>30</v>
      </c>
      <c r="AK252">
        <f ca="1">IFERROR(IF(0=LEN(ReferenceData!$AK$252),"",ReferenceData!$AK$252),"")</f>
        <v>44</v>
      </c>
      <c r="AL252">
        <f ca="1">IFERROR(IF(0=LEN(ReferenceData!$AL$252),"",ReferenceData!$AL$252),"")</f>
        <v>35</v>
      </c>
      <c r="AM252">
        <f ca="1">IFERROR(IF(0=LEN(ReferenceData!$AM$252),"",ReferenceData!$AM$252),"")</f>
        <v>20</v>
      </c>
      <c r="AN252">
        <f ca="1">IFERROR(IF(0=LEN(ReferenceData!$AN$252),"",ReferenceData!$AN$252),"")</f>
        <v>42</v>
      </c>
      <c r="AO252">
        <f ca="1">IFERROR(IF(0=LEN(ReferenceData!$AO$252),"",ReferenceData!$AO$252),"")</f>
        <v>36</v>
      </c>
      <c r="AP252">
        <f ca="1">IFERROR(IF(0=LEN(ReferenceData!$AP$252),"",ReferenceData!$AP$252),"")</f>
        <v>53</v>
      </c>
      <c r="AQ252">
        <f ca="1">IFERROR(IF(0=LEN(ReferenceData!$AQ$252),"",ReferenceData!$AQ$252),"")</f>
        <v>19</v>
      </c>
      <c r="AR252">
        <f ca="1">IFERROR(IF(0=LEN(ReferenceData!$AR$252),"",ReferenceData!$AR$252),"")</f>
        <v>56</v>
      </c>
      <c r="AS252">
        <f ca="1">IFERROR(IF(0=LEN(ReferenceData!$AS$252),"",ReferenceData!$AS$252),"")</f>
        <v>57</v>
      </c>
    </row>
    <row r="253" spans="1:45" x14ac:dyDescent="0.25">
      <c r="A253" t="str">
        <f>IFERROR(IF(0=LEN(ReferenceData!$A$253),"",ReferenceData!$A$253),"")</f>
        <v xml:space="preserve">    PACCAR - Peterbilt</v>
      </c>
      <c r="B253" t="str">
        <f>IFERROR(IF(0=LEN(ReferenceData!$B$253),"",ReferenceData!$B$253),"")</f>
        <v>PCAR US Equity</v>
      </c>
      <c r="C253" t="str">
        <f>IFERROR(IF(0=LEN(ReferenceData!$C$253),"",ReferenceData!$C$253),"")</f>
        <v>X1701</v>
      </c>
      <c r="D253" t="str">
        <f>IFERROR(IF(0=LEN(ReferenceData!$D$253),"",ReferenceData!$D$253),"")</f>
        <v>WARDS_RETAIL_SALES_UNITS</v>
      </c>
      <c r="E253" t="str">
        <f>IFERROR(IF(0=LEN(ReferenceData!$E$253),"",ReferenceData!$E$253),"")</f>
        <v>Dynamic</v>
      </c>
      <c r="F253">
        <f ca="1">IFERROR(IF(0=LEN(ReferenceData!$F$253),"",ReferenceData!$F$253),"")</f>
        <v>40</v>
      </c>
      <c r="G253">
        <f ca="1">IFERROR(IF(0=LEN(ReferenceData!$G$253),"",ReferenceData!$G$253),"")</f>
        <v>39</v>
      </c>
      <c r="H253">
        <f ca="1">IFERROR(IF(0=LEN(ReferenceData!$H$253),"",ReferenceData!$H$253),"")</f>
        <v>42</v>
      </c>
      <c r="I253">
        <f ca="1">IFERROR(IF(0=LEN(ReferenceData!$I$253),"",ReferenceData!$I$253),"")</f>
        <v>37</v>
      </c>
      <c r="J253">
        <f ca="1">IFERROR(IF(0=LEN(ReferenceData!$J$253),"",ReferenceData!$J$253),"")</f>
        <v>36</v>
      </c>
      <c r="K253">
        <f ca="1">IFERROR(IF(0=LEN(ReferenceData!$K$253),"",ReferenceData!$K$253),"")</f>
        <v>74</v>
      </c>
      <c r="L253">
        <f ca="1">IFERROR(IF(0=LEN(ReferenceData!$L$253),"",ReferenceData!$L$253),"")</f>
        <v>45</v>
      </c>
      <c r="M253">
        <f ca="1">IFERROR(IF(0=LEN(ReferenceData!$M$253),"",ReferenceData!$M$253),"")</f>
        <v>32</v>
      </c>
      <c r="N253">
        <f ca="1">IFERROR(IF(0=LEN(ReferenceData!$N$253),"",ReferenceData!$N$253),"")</f>
        <v>41</v>
      </c>
      <c r="O253">
        <f ca="1">IFERROR(IF(0=LEN(ReferenceData!$O$253),"",ReferenceData!$O$253),"")</f>
        <v>22</v>
      </c>
      <c r="P253">
        <f ca="1">IFERROR(IF(0=LEN(ReferenceData!$P$253),"",ReferenceData!$P$253),"")</f>
        <v>21</v>
      </c>
      <c r="Q253">
        <f ca="1">IFERROR(IF(0=LEN(ReferenceData!$Q$253),"",ReferenceData!$Q$253),"")</f>
        <v>40</v>
      </c>
      <c r="R253">
        <f ca="1">IFERROR(IF(0=LEN(ReferenceData!$R$253),"",ReferenceData!$R$253),"")</f>
        <v>13</v>
      </c>
      <c r="S253">
        <f ca="1">IFERROR(IF(0=LEN(ReferenceData!$S$253),"",ReferenceData!$S$253),"")</f>
        <v>18</v>
      </c>
      <c r="T253">
        <f ca="1">IFERROR(IF(0=LEN(ReferenceData!$T$253),"",ReferenceData!$T$253),"")</f>
        <v>40</v>
      </c>
      <c r="U253">
        <f ca="1">IFERROR(IF(0=LEN(ReferenceData!$U$253),"",ReferenceData!$U$253),"")</f>
        <v>13</v>
      </c>
      <c r="V253">
        <f ca="1">IFERROR(IF(0=LEN(ReferenceData!$V$253),"",ReferenceData!$V$253),"")</f>
        <v>44</v>
      </c>
      <c r="W253">
        <f ca="1">IFERROR(IF(0=LEN(ReferenceData!$W$253),"",ReferenceData!$W$253),"")</f>
        <v>41</v>
      </c>
      <c r="X253">
        <f ca="1">IFERROR(IF(0=LEN(ReferenceData!$X$253),"",ReferenceData!$X$253),"")</f>
        <v>41</v>
      </c>
      <c r="Y253">
        <f ca="1">IFERROR(IF(0=LEN(ReferenceData!$Y$253),"",ReferenceData!$Y$253),"")</f>
        <v>42</v>
      </c>
      <c r="Z253">
        <f ca="1">IFERROR(IF(0=LEN(ReferenceData!$Z$253),"",ReferenceData!$Z$253),"")</f>
        <v>49</v>
      </c>
      <c r="AA253">
        <f ca="1">IFERROR(IF(0=LEN(ReferenceData!$AA$253),"",ReferenceData!$AA$253),"")</f>
        <v>23</v>
      </c>
      <c r="AB253">
        <f ca="1">IFERROR(IF(0=LEN(ReferenceData!$AB$253),"",ReferenceData!$AB$253),"")</f>
        <v>45</v>
      </c>
      <c r="AC253">
        <f ca="1">IFERROR(IF(0=LEN(ReferenceData!$AC$253),"",ReferenceData!$AC$253),"")</f>
        <v>34</v>
      </c>
      <c r="AD253">
        <f ca="1">IFERROR(IF(0=LEN(ReferenceData!$AD$253),"",ReferenceData!$AD$253),"")</f>
        <v>26</v>
      </c>
      <c r="AE253">
        <f ca="1">IFERROR(IF(0=LEN(ReferenceData!$AE$253),"",ReferenceData!$AE$253),"")</f>
        <v>25</v>
      </c>
      <c r="AF253">
        <f ca="1">IFERROR(IF(0=LEN(ReferenceData!$AF$253),"",ReferenceData!$AF$253),"")</f>
        <v>49</v>
      </c>
      <c r="AG253">
        <f ca="1">IFERROR(IF(0=LEN(ReferenceData!$AG$253),"",ReferenceData!$AG$253),"")</f>
        <v>41</v>
      </c>
      <c r="AH253">
        <f ca="1">IFERROR(IF(0=LEN(ReferenceData!$AH$253),"",ReferenceData!$AH$253),"")</f>
        <v>47</v>
      </c>
      <c r="AI253">
        <f ca="1">IFERROR(IF(0=LEN(ReferenceData!$AI$253),"",ReferenceData!$AI$253),"")</f>
        <v>84</v>
      </c>
      <c r="AJ253">
        <f ca="1">IFERROR(IF(0=LEN(ReferenceData!$AJ$253),"",ReferenceData!$AJ$253),"")</f>
        <v>93</v>
      </c>
      <c r="AK253">
        <f ca="1">IFERROR(IF(0=LEN(ReferenceData!$AK$253),"",ReferenceData!$AK$253),"")</f>
        <v>54</v>
      </c>
      <c r="AL253">
        <f ca="1">IFERROR(IF(0=LEN(ReferenceData!$AL$253),"",ReferenceData!$AL$253),"")</f>
        <v>41</v>
      </c>
      <c r="AM253">
        <f ca="1">IFERROR(IF(0=LEN(ReferenceData!$AM$253),"",ReferenceData!$AM$253),"")</f>
        <v>33</v>
      </c>
      <c r="AN253">
        <f ca="1">IFERROR(IF(0=LEN(ReferenceData!$AN$253),"",ReferenceData!$AN$253),"")</f>
        <v>64</v>
      </c>
      <c r="AO253">
        <f ca="1">IFERROR(IF(0=LEN(ReferenceData!$AO$253),"",ReferenceData!$AO$253),"")</f>
        <v>61</v>
      </c>
      <c r="AP253">
        <f ca="1">IFERROR(IF(0=LEN(ReferenceData!$AP$253),"",ReferenceData!$AP$253),"")</f>
        <v>45</v>
      </c>
      <c r="AQ253">
        <f ca="1">IFERROR(IF(0=LEN(ReferenceData!$AQ$253),"",ReferenceData!$AQ$253),"")</f>
        <v>47</v>
      </c>
      <c r="AR253">
        <f ca="1">IFERROR(IF(0=LEN(ReferenceData!$AR$253),"",ReferenceData!$AR$253),"")</f>
        <v>38</v>
      </c>
      <c r="AS253">
        <f ca="1">IFERROR(IF(0=LEN(ReferenceData!$AS$253),"",ReferenceData!$AS$253),"")</f>
        <v>58</v>
      </c>
    </row>
    <row r="254" spans="1:45" x14ac:dyDescent="0.25">
      <c r="A254" t="str">
        <f>IFERROR(IF(0=LEN(ReferenceData!$A$254),"",ReferenceData!$A$254),"")</f>
        <v xml:space="preserve">    Daimler - Freightliner</v>
      </c>
      <c r="B254" t="str">
        <f>IFERROR(IF(0=LEN(ReferenceData!$B$254),"",ReferenceData!$B$254),"")</f>
        <v>DAI GR Equity</v>
      </c>
      <c r="C254" t="str">
        <f>IFERROR(IF(0=LEN(ReferenceData!$C$254),"",ReferenceData!$C$254),"")</f>
        <v>X1701</v>
      </c>
      <c r="D254" t="str">
        <f>IFERROR(IF(0=LEN(ReferenceData!$D$254),"",ReferenceData!$D$254),"")</f>
        <v>WARDS_RETAIL_SALES_UNITS</v>
      </c>
      <c r="E254" t="str">
        <f>IFERROR(IF(0=LEN(ReferenceData!$E$254),"",ReferenceData!$E$254),"")</f>
        <v>Dynamic</v>
      </c>
      <c r="F254">
        <f ca="1">IFERROR(IF(0=LEN(ReferenceData!$F$254),"",ReferenceData!$F$254),"")</f>
        <v>67</v>
      </c>
      <c r="G254">
        <f ca="1">IFERROR(IF(0=LEN(ReferenceData!$G$254),"",ReferenceData!$G$254),"")</f>
        <v>101</v>
      </c>
      <c r="H254">
        <f ca="1">IFERROR(IF(0=LEN(ReferenceData!$H$254),"",ReferenceData!$H$254),"")</f>
        <v>47</v>
      </c>
      <c r="I254">
        <f ca="1">IFERROR(IF(0=LEN(ReferenceData!$I$254),"",ReferenceData!$I$254),"")</f>
        <v>103</v>
      </c>
      <c r="J254">
        <f ca="1">IFERROR(IF(0=LEN(ReferenceData!$J$254),"",ReferenceData!$J$254),"")</f>
        <v>78</v>
      </c>
      <c r="K254">
        <f ca="1">IFERROR(IF(0=LEN(ReferenceData!$K$254),"",ReferenceData!$K$254),"")</f>
        <v>71</v>
      </c>
      <c r="L254">
        <f ca="1">IFERROR(IF(0=LEN(ReferenceData!$L$254),"",ReferenceData!$L$254),"")</f>
        <v>179</v>
      </c>
      <c r="M254">
        <f ca="1">IFERROR(IF(0=LEN(ReferenceData!$M$254),"",ReferenceData!$M$254),"")</f>
        <v>70</v>
      </c>
      <c r="N254">
        <f ca="1">IFERROR(IF(0=LEN(ReferenceData!$N$254),"",ReferenceData!$N$254),"")</f>
        <v>60</v>
      </c>
      <c r="O254">
        <f ca="1">IFERROR(IF(0=LEN(ReferenceData!$O$254),"",ReferenceData!$O$254),"")</f>
        <v>66</v>
      </c>
      <c r="P254">
        <f ca="1">IFERROR(IF(0=LEN(ReferenceData!$P$254),"",ReferenceData!$P$254),"")</f>
        <v>51</v>
      </c>
      <c r="Q254">
        <f ca="1">IFERROR(IF(0=LEN(ReferenceData!$Q$254),"",ReferenceData!$Q$254),"")</f>
        <v>85</v>
      </c>
      <c r="R254">
        <f ca="1">IFERROR(IF(0=LEN(ReferenceData!$R$254),"",ReferenceData!$R$254),"")</f>
        <v>51</v>
      </c>
      <c r="S254">
        <f ca="1">IFERROR(IF(0=LEN(ReferenceData!$S$254),"",ReferenceData!$S$254),"")</f>
        <v>72</v>
      </c>
      <c r="T254">
        <f ca="1">IFERROR(IF(0=LEN(ReferenceData!$T$254),"",ReferenceData!$T$254),"")</f>
        <v>75</v>
      </c>
      <c r="U254">
        <f ca="1">IFERROR(IF(0=LEN(ReferenceData!$U$254),"",ReferenceData!$U$254),"")</f>
        <v>61</v>
      </c>
      <c r="V254">
        <f ca="1">IFERROR(IF(0=LEN(ReferenceData!$V$254),"",ReferenceData!$V$254),"")</f>
        <v>77</v>
      </c>
      <c r="W254">
        <f ca="1">IFERROR(IF(0=LEN(ReferenceData!$W$254),"",ReferenceData!$W$254),"")</f>
        <v>89</v>
      </c>
      <c r="X254">
        <f ca="1">IFERROR(IF(0=LEN(ReferenceData!$X$254),"",ReferenceData!$X$254),"")</f>
        <v>78</v>
      </c>
      <c r="Y254">
        <f ca="1">IFERROR(IF(0=LEN(ReferenceData!$Y$254),"",ReferenceData!$Y$254),"")</f>
        <v>84</v>
      </c>
      <c r="Z254">
        <f ca="1">IFERROR(IF(0=LEN(ReferenceData!$Z$254),"",ReferenceData!$Z$254),"")</f>
        <v>95</v>
      </c>
      <c r="AA254">
        <f ca="1">IFERROR(IF(0=LEN(ReferenceData!$AA$254),"",ReferenceData!$AA$254),"")</f>
        <v>84</v>
      </c>
      <c r="AB254">
        <f ca="1">IFERROR(IF(0=LEN(ReferenceData!$AB$254),"",ReferenceData!$AB$254),"")</f>
        <v>88</v>
      </c>
      <c r="AC254">
        <f ca="1">IFERROR(IF(0=LEN(ReferenceData!$AC$254),"",ReferenceData!$AC$254),"")</f>
        <v>92</v>
      </c>
      <c r="AD254">
        <f ca="1">IFERROR(IF(0=LEN(ReferenceData!$AD$254),"",ReferenceData!$AD$254),"")</f>
        <v>120</v>
      </c>
      <c r="AE254">
        <f ca="1">IFERROR(IF(0=LEN(ReferenceData!$AE$254),"",ReferenceData!$AE$254),"")</f>
        <v>113</v>
      </c>
      <c r="AF254">
        <f ca="1">IFERROR(IF(0=LEN(ReferenceData!$AF$254),"",ReferenceData!$AF$254),"")</f>
        <v>82</v>
      </c>
      <c r="AG254">
        <f ca="1">IFERROR(IF(0=LEN(ReferenceData!$AG$254),"",ReferenceData!$AG$254),"")</f>
        <v>96</v>
      </c>
      <c r="AH254">
        <f ca="1">IFERROR(IF(0=LEN(ReferenceData!$AH$254),"",ReferenceData!$AH$254),"")</f>
        <v>77</v>
      </c>
      <c r="AI254">
        <f ca="1">IFERROR(IF(0=LEN(ReferenceData!$AI$254),"",ReferenceData!$AI$254),"")</f>
        <v>155</v>
      </c>
      <c r="AJ254">
        <f ca="1">IFERROR(IF(0=LEN(ReferenceData!$AJ$254),"",ReferenceData!$AJ$254),"")</f>
        <v>81</v>
      </c>
      <c r="AK254">
        <f ca="1">IFERROR(IF(0=LEN(ReferenceData!$AK$254),"",ReferenceData!$AK$254),"")</f>
        <v>158</v>
      </c>
      <c r="AL254">
        <f ca="1">IFERROR(IF(0=LEN(ReferenceData!$AL$254),"",ReferenceData!$AL$254),"")</f>
        <v>254</v>
      </c>
      <c r="AM254">
        <f ca="1">IFERROR(IF(0=LEN(ReferenceData!$AM$254),"",ReferenceData!$AM$254),"")</f>
        <v>53</v>
      </c>
      <c r="AN254">
        <f ca="1">IFERROR(IF(0=LEN(ReferenceData!$AN$254),"",ReferenceData!$AN$254),"")</f>
        <v>121</v>
      </c>
      <c r="AO254">
        <f ca="1">IFERROR(IF(0=LEN(ReferenceData!$AO$254),"",ReferenceData!$AO$254),"")</f>
        <v>88</v>
      </c>
      <c r="AP254">
        <f ca="1">IFERROR(IF(0=LEN(ReferenceData!$AP$254),"",ReferenceData!$AP$254),"")</f>
        <v>106</v>
      </c>
      <c r="AQ254">
        <f ca="1">IFERROR(IF(0=LEN(ReferenceData!$AQ$254),"",ReferenceData!$AQ$254),"")</f>
        <v>96</v>
      </c>
      <c r="AR254">
        <f ca="1">IFERROR(IF(0=LEN(ReferenceData!$AR$254),"",ReferenceData!$AR$254),"")</f>
        <v>95</v>
      </c>
      <c r="AS254">
        <f ca="1">IFERROR(IF(0=LEN(ReferenceData!$AS$254),"",ReferenceData!$AS$254),"")</f>
        <v>75</v>
      </c>
    </row>
    <row r="255" spans="1:45" x14ac:dyDescent="0.25">
      <c r="A255" t="str">
        <f>IFERROR(IF(0=LEN(ReferenceData!$A$255),"",ReferenceData!$A$255),"")</f>
        <v xml:space="preserve">    Daimler - Mitsubishi Fuso</v>
      </c>
      <c r="B255" t="str">
        <f>IFERROR(IF(0=LEN(ReferenceData!$B$255),"",ReferenceData!$B$255),"")</f>
        <v>DAI GR Equity</v>
      </c>
      <c r="C255" t="str">
        <f>IFERROR(IF(0=LEN(ReferenceData!$C$255),"",ReferenceData!$C$255),"")</f>
        <v>X1701</v>
      </c>
      <c r="D255" t="str">
        <f>IFERROR(IF(0=LEN(ReferenceData!$D$255),"",ReferenceData!$D$255),"")</f>
        <v>WARDS_RETAIL_SALES_UNITS</v>
      </c>
      <c r="E255" t="str">
        <f>IFERROR(IF(0=LEN(ReferenceData!$E$255),"",ReferenceData!$E$255),"")</f>
        <v>Dynamic</v>
      </c>
      <c r="F255" t="str">
        <f ca="1">IFERROR(IF(0=LEN(ReferenceData!$F$255),"",ReferenceData!$F$255),"")</f>
        <v/>
      </c>
      <c r="G255" t="str">
        <f ca="1">IFERROR(IF(0=LEN(ReferenceData!$G$255),"",ReferenceData!$G$255),"")</f>
        <v/>
      </c>
      <c r="H255" t="str">
        <f ca="1">IFERROR(IF(0=LEN(ReferenceData!$H$255),"",ReferenceData!$H$255),"")</f>
        <v/>
      </c>
      <c r="I255" t="str">
        <f ca="1">IFERROR(IF(0=LEN(ReferenceData!$I$255),"",ReferenceData!$I$255),"")</f>
        <v/>
      </c>
      <c r="J255" t="str">
        <f ca="1">IFERROR(IF(0=LEN(ReferenceData!$J$255),"",ReferenceData!$J$255),"")</f>
        <v/>
      </c>
      <c r="K255" t="str">
        <f ca="1">IFERROR(IF(0=LEN(ReferenceData!$K$255),"",ReferenceData!$K$255),"")</f>
        <v/>
      </c>
      <c r="L255" t="str">
        <f ca="1">IFERROR(IF(0=LEN(ReferenceData!$L$255),"",ReferenceData!$L$255),"")</f>
        <v/>
      </c>
      <c r="M255" t="str">
        <f ca="1">IFERROR(IF(0=LEN(ReferenceData!$M$255),"",ReferenceData!$M$255),"")</f>
        <v/>
      </c>
      <c r="N255" t="str">
        <f ca="1">IFERROR(IF(0=LEN(ReferenceData!$N$255),"",ReferenceData!$N$255),"")</f>
        <v/>
      </c>
      <c r="O255" t="str">
        <f ca="1">IFERROR(IF(0=LEN(ReferenceData!$O$255),"",ReferenceData!$O$255),"")</f>
        <v/>
      </c>
      <c r="P255" t="str">
        <f ca="1">IFERROR(IF(0=LEN(ReferenceData!$P$255),"",ReferenceData!$P$255),"")</f>
        <v/>
      </c>
      <c r="Q255" t="str">
        <f ca="1">IFERROR(IF(0=LEN(ReferenceData!$Q$255),"",ReferenceData!$Q$255),"")</f>
        <v/>
      </c>
      <c r="R255" t="str">
        <f ca="1">IFERROR(IF(0=LEN(ReferenceData!$R$255),"",ReferenceData!$R$255),"")</f>
        <v/>
      </c>
      <c r="S255" t="str">
        <f ca="1">IFERROR(IF(0=LEN(ReferenceData!$S$255),"",ReferenceData!$S$255),"")</f>
        <v/>
      </c>
      <c r="T255" t="str">
        <f ca="1">IFERROR(IF(0=LEN(ReferenceData!$T$255),"",ReferenceData!$T$255),"")</f>
        <v/>
      </c>
      <c r="U255" t="str">
        <f ca="1">IFERROR(IF(0=LEN(ReferenceData!$U$255),"",ReferenceData!$U$255),"")</f>
        <v/>
      </c>
      <c r="V255" t="str">
        <f ca="1">IFERROR(IF(0=LEN(ReferenceData!$V$255),"",ReferenceData!$V$255),"")</f>
        <v/>
      </c>
      <c r="W255" t="str">
        <f ca="1">IFERROR(IF(0=LEN(ReferenceData!$W$255),"",ReferenceData!$W$255),"")</f>
        <v/>
      </c>
      <c r="X255" t="str">
        <f ca="1">IFERROR(IF(0=LEN(ReferenceData!$X$255),"",ReferenceData!$X$255),"")</f>
        <v/>
      </c>
      <c r="Y255" t="str">
        <f ca="1">IFERROR(IF(0=LEN(ReferenceData!$Y$255),"",ReferenceData!$Y$255),"")</f>
        <v/>
      </c>
      <c r="Z255" t="str">
        <f ca="1">IFERROR(IF(0=LEN(ReferenceData!$Z$255),"",ReferenceData!$Z$255),"")</f>
        <v/>
      </c>
      <c r="AA255" t="str">
        <f ca="1">IFERROR(IF(0=LEN(ReferenceData!$AA$255),"",ReferenceData!$AA$255),"")</f>
        <v/>
      </c>
      <c r="AB255" t="str">
        <f ca="1">IFERROR(IF(0=LEN(ReferenceData!$AB$255),"",ReferenceData!$AB$255),"")</f>
        <v/>
      </c>
      <c r="AC255" t="str">
        <f ca="1">IFERROR(IF(0=LEN(ReferenceData!$AC$255),"",ReferenceData!$AC$255),"")</f>
        <v/>
      </c>
      <c r="AD255" t="str">
        <f ca="1">IFERROR(IF(0=LEN(ReferenceData!$AD$255),"",ReferenceData!$AD$255),"")</f>
        <v/>
      </c>
      <c r="AE255" t="str">
        <f ca="1">IFERROR(IF(0=LEN(ReferenceData!$AE$255),"",ReferenceData!$AE$255),"")</f>
        <v/>
      </c>
      <c r="AF255" t="str">
        <f ca="1">IFERROR(IF(0=LEN(ReferenceData!$AF$255),"",ReferenceData!$AF$255),"")</f>
        <v/>
      </c>
      <c r="AG255" t="str">
        <f ca="1">IFERROR(IF(0=LEN(ReferenceData!$AG$255),"",ReferenceData!$AG$255),"")</f>
        <v/>
      </c>
      <c r="AH255" t="str">
        <f ca="1">IFERROR(IF(0=LEN(ReferenceData!$AH$255),"",ReferenceData!$AH$255),"")</f>
        <v/>
      </c>
      <c r="AI255" t="str">
        <f ca="1">IFERROR(IF(0=LEN(ReferenceData!$AI$255),"",ReferenceData!$AI$255),"")</f>
        <v/>
      </c>
      <c r="AJ255" t="str">
        <f ca="1">IFERROR(IF(0=LEN(ReferenceData!$AJ$255),"",ReferenceData!$AJ$255),"")</f>
        <v/>
      </c>
      <c r="AK255" t="str">
        <f ca="1">IFERROR(IF(0=LEN(ReferenceData!$AK$255),"",ReferenceData!$AK$255),"")</f>
        <v/>
      </c>
      <c r="AL255" t="str">
        <f ca="1">IFERROR(IF(0=LEN(ReferenceData!$AL$255),"",ReferenceData!$AL$255),"")</f>
        <v/>
      </c>
      <c r="AM255" t="str">
        <f ca="1">IFERROR(IF(0=LEN(ReferenceData!$AM$255),"",ReferenceData!$AM$255),"")</f>
        <v/>
      </c>
      <c r="AN255" t="str">
        <f ca="1">IFERROR(IF(0=LEN(ReferenceData!$AN$255),"",ReferenceData!$AN$255),"")</f>
        <v/>
      </c>
      <c r="AO255" t="str">
        <f ca="1">IFERROR(IF(0=LEN(ReferenceData!$AO$255),"",ReferenceData!$AO$255),"")</f>
        <v/>
      </c>
      <c r="AP255" t="str">
        <f ca="1">IFERROR(IF(0=LEN(ReferenceData!$AP$255),"",ReferenceData!$AP$255),"")</f>
        <v/>
      </c>
      <c r="AQ255" t="str">
        <f ca="1">IFERROR(IF(0=LEN(ReferenceData!$AQ$255),"",ReferenceData!$AQ$255),"")</f>
        <v/>
      </c>
      <c r="AR255" t="str">
        <f ca="1">IFERROR(IF(0=LEN(ReferenceData!$AR$255),"",ReferenceData!$AR$255),"")</f>
        <v/>
      </c>
      <c r="AS255" t="str">
        <f ca="1">IFERROR(IF(0=LEN(ReferenceData!$AS$255),"",ReferenceData!$AS$255),"")</f>
        <v/>
      </c>
    </row>
    <row r="256" spans="1:45" x14ac:dyDescent="0.25">
      <c r="A256" t="str">
        <f>IFERROR(IF(0=LEN(ReferenceData!$A$256),"",ReferenceData!$A$256),"")</f>
        <v xml:space="preserve">    Daimler - Sterling</v>
      </c>
      <c r="B256" t="str">
        <f>IFERROR(IF(0=LEN(ReferenceData!$B$256),"",ReferenceData!$B$256),"")</f>
        <v>DAI GR Equity</v>
      </c>
      <c r="C256" t="str">
        <f>IFERROR(IF(0=LEN(ReferenceData!$C$256),"",ReferenceData!$C$256),"")</f>
        <v>X1701</v>
      </c>
      <c r="D256" t="str">
        <f>IFERROR(IF(0=LEN(ReferenceData!$D$256),"",ReferenceData!$D$256),"")</f>
        <v>WARDS_RETAIL_SALES_UNITS</v>
      </c>
      <c r="E256" t="str">
        <f>IFERROR(IF(0=LEN(ReferenceData!$E$256),"",ReferenceData!$E$256),"")</f>
        <v>Dynamic</v>
      </c>
      <c r="F256" t="str">
        <f ca="1">IFERROR(IF(0=LEN(ReferenceData!$F$256),"",ReferenceData!$F$256),"")</f>
        <v/>
      </c>
      <c r="G256" t="str">
        <f ca="1">IFERROR(IF(0=LEN(ReferenceData!$G$256),"",ReferenceData!$G$256),"")</f>
        <v/>
      </c>
      <c r="H256" t="str">
        <f ca="1">IFERROR(IF(0=LEN(ReferenceData!$H$256),"",ReferenceData!$H$256),"")</f>
        <v/>
      </c>
      <c r="I256" t="str">
        <f ca="1">IFERROR(IF(0=LEN(ReferenceData!$I$256),"",ReferenceData!$I$256),"")</f>
        <v/>
      </c>
      <c r="J256" t="str">
        <f ca="1">IFERROR(IF(0=LEN(ReferenceData!$J$256),"",ReferenceData!$J$256),"")</f>
        <v/>
      </c>
      <c r="K256" t="str">
        <f ca="1">IFERROR(IF(0=LEN(ReferenceData!$K$256),"",ReferenceData!$K$256),"")</f>
        <v/>
      </c>
      <c r="L256" t="str">
        <f ca="1">IFERROR(IF(0=LEN(ReferenceData!$L$256),"",ReferenceData!$L$256),"")</f>
        <v/>
      </c>
      <c r="M256" t="str">
        <f ca="1">IFERROR(IF(0=LEN(ReferenceData!$M$256),"",ReferenceData!$M$256),"")</f>
        <v/>
      </c>
      <c r="N256" t="str">
        <f ca="1">IFERROR(IF(0=LEN(ReferenceData!$N$256),"",ReferenceData!$N$256),"")</f>
        <v/>
      </c>
      <c r="O256" t="str">
        <f ca="1">IFERROR(IF(0=LEN(ReferenceData!$O$256),"",ReferenceData!$O$256),"")</f>
        <v/>
      </c>
      <c r="P256" t="str">
        <f ca="1">IFERROR(IF(0=LEN(ReferenceData!$P$256),"",ReferenceData!$P$256),"")</f>
        <v/>
      </c>
      <c r="Q256" t="str">
        <f ca="1">IFERROR(IF(0=LEN(ReferenceData!$Q$256),"",ReferenceData!$Q$256),"")</f>
        <v/>
      </c>
      <c r="R256" t="str">
        <f ca="1">IFERROR(IF(0=LEN(ReferenceData!$R$256),"",ReferenceData!$R$256),"")</f>
        <v/>
      </c>
      <c r="S256" t="str">
        <f ca="1">IFERROR(IF(0=LEN(ReferenceData!$S$256),"",ReferenceData!$S$256),"")</f>
        <v/>
      </c>
      <c r="T256" t="str">
        <f ca="1">IFERROR(IF(0=LEN(ReferenceData!$T$256),"",ReferenceData!$T$256),"")</f>
        <v/>
      </c>
      <c r="U256" t="str">
        <f ca="1">IFERROR(IF(0=LEN(ReferenceData!$U$256),"",ReferenceData!$U$256),"")</f>
        <v/>
      </c>
      <c r="V256" t="str">
        <f ca="1">IFERROR(IF(0=LEN(ReferenceData!$V$256),"",ReferenceData!$V$256),"")</f>
        <v/>
      </c>
      <c r="W256" t="str">
        <f ca="1">IFERROR(IF(0=LEN(ReferenceData!$W$256),"",ReferenceData!$W$256),"")</f>
        <v/>
      </c>
      <c r="X256" t="str">
        <f ca="1">IFERROR(IF(0=LEN(ReferenceData!$X$256),"",ReferenceData!$X$256),"")</f>
        <v/>
      </c>
      <c r="Y256" t="str">
        <f ca="1">IFERROR(IF(0=LEN(ReferenceData!$Y$256),"",ReferenceData!$Y$256),"")</f>
        <v/>
      </c>
      <c r="Z256" t="str">
        <f ca="1">IFERROR(IF(0=LEN(ReferenceData!$Z$256),"",ReferenceData!$Z$256),"")</f>
        <v/>
      </c>
      <c r="AA256" t="str">
        <f ca="1">IFERROR(IF(0=LEN(ReferenceData!$AA$256),"",ReferenceData!$AA$256),"")</f>
        <v/>
      </c>
      <c r="AB256" t="str">
        <f ca="1">IFERROR(IF(0=LEN(ReferenceData!$AB$256),"",ReferenceData!$AB$256),"")</f>
        <v/>
      </c>
      <c r="AC256" t="str">
        <f ca="1">IFERROR(IF(0=LEN(ReferenceData!$AC$256),"",ReferenceData!$AC$256),"")</f>
        <v/>
      </c>
      <c r="AD256" t="str">
        <f ca="1">IFERROR(IF(0=LEN(ReferenceData!$AD$256),"",ReferenceData!$AD$256),"")</f>
        <v/>
      </c>
      <c r="AE256" t="str">
        <f ca="1">IFERROR(IF(0=LEN(ReferenceData!$AE$256),"",ReferenceData!$AE$256),"")</f>
        <v/>
      </c>
      <c r="AF256" t="str">
        <f ca="1">IFERROR(IF(0=LEN(ReferenceData!$AF$256),"",ReferenceData!$AF$256),"")</f>
        <v/>
      </c>
      <c r="AG256" t="str">
        <f ca="1">IFERROR(IF(0=LEN(ReferenceData!$AG$256),"",ReferenceData!$AG$256),"")</f>
        <v/>
      </c>
      <c r="AH256" t="str">
        <f ca="1">IFERROR(IF(0=LEN(ReferenceData!$AH$256),"",ReferenceData!$AH$256),"")</f>
        <v/>
      </c>
      <c r="AI256" t="str">
        <f ca="1">IFERROR(IF(0=LEN(ReferenceData!$AI$256),"",ReferenceData!$AI$256),"")</f>
        <v/>
      </c>
      <c r="AJ256" t="str">
        <f ca="1">IFERROR(IF(0=LEN(ReferenceData!$AJ$256),"",ReferenceData!$AJ$256),"")</f>
        <v/>
      </c>
      <c r="AK256" t="str">
        <f ca="1">IFERROR(IF(0=LEN(ReferenceData!$AK$256),"",ReferenceData!$AK$256),"")</f>
        <v/>
      </c>
      <c r="AL256" t="str">
        <f ca="1">IFERROR(IF(0=LEN(ReferenceData!$AL$256),"",ReferenceData!$AL$256),"")</f>
        <v/>
      </c>
      <c r="AM256" t="str">
        <f ca="1">IFERROR(IF(0=LEN(ReferenceData!$AM$256),"",ReferenceData!$AM$256),"")</f>
        <v/>
      </c>
      <c r="AN256" t="str">
        <f ca="1">IFERROR(IF(0=LEN(ReferenceData!$AN$256),"",ReferenceData!$AN$256),"")</f>
        <v/>
      </c>
      <c r="AO256" t="str">
        <f ca="1">IFERROR(IF(0=LEN(ReferenceData!$AO$256),"",ReferenceData!$AO$256),"")</f>
        <v/>
      </c>
      <c r="AP256" t="str">
        <f ca="1">IFERROR(IF(0=LEN(ReferenceData!$AP$256),"",ReferenceData!$AP$256),"")</f>
        <v/>
      </c>
      <c r="AQ256" t="str">
        <f ca="1">IFERROR(IF(0=LEN(ReferenceData!$AQ$256),"",ReferenceData!$AQ$256),"")</f>
        <v/>
      </c>
      <c r="AR256" t="str">
        <f ca="1">IFERROR(IF(0=LEN(ReferenceData!$AR$256),"",ReferenceData!$AR$256),"")</f>
        <v/>
      </c>
      <c r="AS256" t="str">
        <f ca="1">IFERROR(IF(0=LEN(ReferenceData!$AS$256),"",ReferenceData!$AS$256),"")</f>
        <v/>
      </c>
    </row>
    <row r="257" spans="1:45" x14ac:dyDescent="0.25">
      <c r="A257" t="str">
        <f>IFERROR(IF(0=LEN(ReferenceData!$A$257),"",ReferenceData!$A$257),"")</f>
        <v xml:space="preserve">    Daimler - Western Star</v>
      </c>
      <c r="B257" t="str">
        <f>IFERROR(IF(0=LEN(ReferenceData!$B$257),"",ReferenceData!$B$257),"")</f>
        <v>DAI GR Equity</v>
      </c>
      <c r="C257" t="str">
        <f>IFERROR(IF(0=LEN(ReferenceData!$C$257),"",ReferenceData!$C$257),"")</f>
        <v>X1701</v>
      </c>
      <c r="D257" t="str">
        <f>IFERROR(IF(0=LEN(ReferenceData!$D$257),"",ReferenceData!$D$257),"")</f>
        <v>WARDS_RETAIL_SALES_UNITS</v>
      </c>
      <c r="E257" t="str">
        <f>IFERROR(IF(0=LEN(ReferenceData!$E$257),"",ReferenceData!$E$257),"")</f>
        <v>Dynamic</v>
      </c>
      <c r="F257" t="str">
        <f ca="1">IFERROR(IF(0=LEN(ReferenceData!$F$257),"",ReferenceData!$F$257),"")</f>
        <v/>
      </c>
      <c r="G257" t="str">
        <f ca="1">IFERROR(IF(0=LEN(ReferenceData!$G$257),"",ReferenceData!$G$257),"")</f>
        <v/>
      </c>
      <c r="H257" t="str">
        <f ca="1">IFERROR(IF(0=LEN(ReferenceData!$H$257),"",ReferenceData!$H$257),"")</f>
        <v/>
      </c>
      <c r="I257" t="str">
        <f ca="1">IFERROR(IF(0=LEN(ReferenceData!$I$257),"",ReferenceData!$I$257),"")</f>
        <v/>
      </c>
      <c r="J257" t="str">
        <f ca="1">IFERROR(IF(0=LEN(ReferenceData!$J$257),"",ReferenceData!$J$257),"")</f>
        <v/>
      </c>
      <c r="K257" t="str">
        <f ca="1">IFERROR(IF(0=LEN(ReferenceData!$K$257),"",ReferenceData!$K$257),"")</f>
        <v/>
      </c>
      <c r="L257" t="str">
        <f ca="1">IFERROR(IF(0=LEN(ReferenceData!$L$257),"",ReferenceData!$L$257),"")</f>
        <v/>
      </c>
      <c r="M257" t="str">
        <f ca="1">IFERROR(IF(0=LEN(ReferenceData!$M$257),"",ReferenceData!$M$257),"")</f>
        <v/>
      </c>
      <c r="N257" t="str">
        <f ca="1">IFERROR(IF(0=LEN(ReferenceData!$N$257),"",ReferenceData!$N$257),"")</f>
        <v/>
      </c>
      <c r="O257" t="str">
        <f ca="1">IFERROR(IF(0=LEN(ReferenceData!$O$257),"",ReferenceData!$O$257),"")</f>
        <v/>
      </c>
      <c r="P257" t="str">
        <f ca="1">IFERROR(IF(0=LEN(ReferenceData!$P$257),"",ReferenceData!$P$257),"")</f>
        <v/>
      </c>
      <c r="Q257" t="str">
        <f ca="1">IFERROR(IF(0=LEN(ReferenceData!$Q$257),"",ReferenceData!$Q$257),"")</f>
        <v/>
      </c>
      <c r="R257" t="str">
        <f ca="1">IFERROR(IF(0=LEN(ReferenceData!$R$257),"",ReferenceData!$R$257),"")</f>
        <v/>
      </c>
      <c r="S257" t="str">
        <f ca="1">IFERROR(IF(0=LEN(ReferenceData!$S$257),"",ReferenceData!$S$257),"")</f>
        <v/>
      </c>
      <c r="T257" t="str">
        <f ca="1">IFERROR(IF(0=LEN(ReferenceData!$T$257),"",ReferenceData!$T$257),"")</f>
        <v/>
      </c>
      <c r="U257" t="str">
        <f ca="1">IFERROR(IF(0=LEN(ReferenceData!$U$257),"",ReferenceData!$U$257),"")</f>
        <v/>
      </c>
      <c r="V257" t="str">
        <f ca="1">IFERROR(IF(0=LEN(ReferenceData!$V$257),"",ReferenceData!$V$257),"")</f>
        <v/>
      </c>
      <c r="W257" t="str">
        <f ca="1">IFERROR(IF(0=LEN(ReferenceData!$W$257),"",ReferenceData!$W$257),"")</f>
        <v/>
      </c>
      <c r="X257" t="str">
        <f ca="1">IFERROR(IF(0=LEN(ReferenceData!$X$257),"",ReferenceData!$X$257),"")</f>
        <v/>
      </c>
      <c r="Y257" t="str">
        <f ca="1">IFERROR(IF(0=LEN(ReferenceData!$Y$257),"",ReferenceData!$Y$257),"")</f>
        <v/>
      </c>
      <c r="Z257" t="str">
        <f ca="1">IFERROR(IF(0=LEN(ReferenceData!$Z$257),"",ReferenceData!$Z$257),"")</f>
        <v/>
      </c>
      <c r="AA257" t="str">
        <f ca="1">IFERROR(IF(0=LEN(ReferenceData!$AA$257),"",ReferenceData!$AA$257),"")</f>
        <v/>
      </c>
      <c r="AB257" t="str">
        <f ca="1">IFERROR(IF(0=LEN(ReferenceData!$AB$257),"",ReferenceData!$AB$257),"")</f>
        <v/>
      </c>
      <c r="AC257" t="str">
        <f ca="1">IFERROR(IF(0=LEN(ReferenceData!$AC$257),"",ReferenceData!$AC$257),"")</f>
        <v/>
      </c>
      <c r="AD257" t="str">
        <f ca="1">IFERROR(IF(0=LEN(ReferenceData!$AD$257),"",ReferenceData!$AD$257),"")</f>
        <v/>
      </c>
      <c r="AE257" t="str">
        <f ca="1">IFERROR(IF(0=LEN(ReferenceData!$AE$257),"",ReferenceData!$AE$257),"")</f>
        <v/>
      </c>
      <c r="AF257" t="str">
        <f ca="1">IFERROR(IF(0=LEN(ReferenceData!$AF$257),"",ReferenceData!$AF$257),"")</f>
        <v/>
      </c>
      <c r="AG257" t="str">
        <f ca="1">IFERROR(IF(0=LEN(ReferenceData!$AG$257),"",ReferenceData!$AG$257),"")</f>
        <v/>
      </c>
      <c r="AH257" t="str">
        <f ca="1">IFERROR(IF(0=LEN(ReferenceData!$AH$257),"",ReferenceData!$AH$257),"")</f>
        <v/>
      </c>
      <c r="AI257" t="str">
        <f ca="1">IFERROR(IF(0=LEN(ReferenceData!$AI$257),"",ReferenceData!$AI$257),"")</f>
        <v/>
      </c>
      <c r="AJ257" t="str">
        <f ca="1">IFERROR(IF(0=LEN(ReferenceData!$AJ$257),"",ReferenceData!$AJ$257),"")</f>
        <v/>
      </c>
      <c r="AK257" t="str">
        <f ca="1">IFERROR(IF(0=LEN(ReferenceData!$AK$257),"",ReferenceData!$AK$257),"")</f>
        <v/>
      </c>
      <c r="AL257" t="str">
        <f ca="1">IFERROR(IF(0=LEN(ReferenceData!$AL$257),"",ReferenceData!$AL$257),"")</f>
        <v/>
      </c>
      <c r="AM257" t="str">
        <f ca="1">IFERROR(IF(0=LEN(ReferenceData!$AM$257),"",ReferenceData!$AM$257),"")</f>
        <v/>
      </c>
      <c r="AN257" t="str">
        <f ca="1">IFERROR(IF(0=LEN(ReferenceData!$AN$257),"",ReferenceData!$AN$257),"")</f>
        <v/>
      </c>
      <c r="AO257" t="str">
        <f ca="1">IFERROR(IF(0=LEN(ReferenceData!$AO$257),"",ReferenceData!$AO$257),"")</f>
        <v/>
      </c>
      <c r="AP257" t="str">
        <f ca="1">IFERROR(IF(0=LEN(ReferenceData!$AP$257),"",ReferenceData!$AP$257),"")</f>
        <v/>
      </c>
      <c r="AQ257" t="str">
        <f ca="1">IFERROR(IF(0=LEN(ReferenceData!$AQ$257),"",ReferenceData!$AQ$257),"")</f>
        <v/>
      </c>
      <c r="AR257" t="str">
        <f ca="1">IFERROR(IF(0=LEN(ReferenceData!$AR$257),"",ReferenceData!$AR$257),"")</f>
        <v/>
      </c>
      <c r="AS257" t="str">
        <f ca="1">IFERROR(IF(0=LEN(ReferenceData!$AS$257),"",ReferenceData!$AS$257),"")</f>
        <v/>
      </c>
    </row>
    <row r="258" spans="1:45" x14ac:dyDescent="0.25">
      <c r="A258" t="str">
        <f>IFERROR(IF(0=LEN(ReferenceData!$A$258),"",ReferenceData!$A$258),"")</f>
        <v xml:space="preserve">    Hino</v>
      </c>
      <c r="B258" t="str">
        <f>IFERROR(IF(0=LEN(ReferenceData!$B$258),"",ReferenceData!$B$258),"")</f>
        <v>7205 JP Equity</v>
      </c>
      <c r="C258" t="str">
        <f>IFERROR(IF(0=LEN(ReferenceData!$C$258),"",ReferenceData!$C$258),"")</f>
        <v>X1701</v>
      </c>
      <c r="D258" t="str">
        <f>IFERROR(IF(0=LEN(ReferenceData!$D$258),"",ReferenceData!$D$258),"")</f>
        <v>WARDS_RETAIL_SALES_UNITS</v>
      </c>
      <c r="E258" t="str">
        <f>IFERROR(IF(0=LEN(ReferenceData!$E$258),"",ReferenceData!$E$258),"")</f>
        <v>Dynamic</v>
      </c>
      <c r="F258">
        <f ca="1">IFERROR(IF(0=LEN(ReferenceData!$F$258),"",ReferenceData!$F$258),"")</f>
        <v>117</v>
      </c>
      <c r="G258">
        <f ca="1">IFERROR(IF(0=LEN(ReferenceData!$G$258),"",ReferenceData!$G$258),"")</f>
        <v>144</v>
      </c>
      <c r="H258">
        <f ca="1">IFERROR(IF(0=LEN(ReferenceData!$H$258),"",ReferenceData!$H$258),"")</f>
        <v>120</v>
      </c>
      <c r="I258">
        <f ca="1">IFERROR(IF(0=LEN(ReferenceData!$I$258),"",ReferenceData!$I$258),"")</f>
        <v>136</v>
      </c>
      <c r="J258">
        <f ca="1">IFERROR(IF(0=LEN(ReferenceData!$J$258),"",ReferenceData!$J$258),"")</f>
        <v>140</v>
      </c>
      <c r="K258">
        <f ca="1">IFERROR(IF(0=LEN(ReferenceData!$K$258),"",ReferenceData!$K$258),"")</f>
        <v>165</v>
      </c>
      <c r="L258">
        <f ca="1">IFERROR(IF(0=LEN(ReferenceData!$L$258),"",ReferenceData!$L$258),"")</f>
        <v>155</v>
      </c>
      <c r="M258">
        <f ca="1">IFERROR(IF(0=LEN(ReferenceData!$M$258),"",ReferenceData!$M$258),"")</f>
        <v>137</v>
      </c>
      <c r="N258">
        <f ca="1">IFERROR(IF(0=LEN(ReferenceData!$N$258),"",ReferenceData!$N$258),"")</f>
        <v>146</v>
      </c>
      <c r="O258">
        <f ca="1">IFERROR(IF(0=LEN(ReferenceData!$O$258),"",ReferenceData!$O$258),"")</f>
        <v>117</v>
      </c>
      <c r="P258">
        <f ca="1">IFERROR(IF(0=LEN(ReferenceData!$P$258),"",ReferenceData!$P$258),"")</f>
        <v>86</v>
      </c>
      <c r="Q258">
        <f ca="1">IFERROR(IF(0=LEN(ReferenceData!$Q$258),"",ReferenceData!$Q$258),"")</f>
        <v>109</v>
      </c>
      <c r="R258">
        <f ca="1">IFERROR(IF(0=LEN(ReferenceData!$R$258),"",ReferenceData!$R$258),"")</f>
        <v>95</v>
      </c>
      <c r="S258">
        <f ca="1">IFERROR(IF(0=LEN(ReferenceData!$S$258),"",ReferenceData!$S$258),"")</f>
        <v>127</v>
      </c>
      <c r="T258">
        <f ca="1">IFERROR(IF(0=LEN(ReferenceData!$T$258),"",ReferenceData!$T$258),"")</f>
        <v>92</v>
      </c>
      <c r="U258">
        <f ca="1">IFERROR(IF(0=LEN(ReferenceData!$U$258),"",ReferenceData!$U$258),"")</f>
        <v>141</v>
      </c>
      <c r="V258">
        <f ca="1">IFERROR(IF(0=LEN(ReferenceData!$V$258),"",ReferenceData!$V$258),"")</f>
        <v>102</v>
      </c>
      <c r="W258">
        <f ca="1">IFERROR(IF(0=LEN(ReferenceData!$W$258),"",ReferenceData!$W$258),"")</f>
        <v>148</v>
      </c>
      <c r="X258">
        <f ca="1">IFERROR(IF(0=LEN(ReferenceData!$X$258),"",ReferenceData!$X$258),"")</f>
        <v>120</v>
      </c>
      <c r="Y258">
        <f ca="1">IFERROR(IF(0=LEN(ReferenceData!$Y$258),"",ReferenceData!$Y$258),"")</f>
        <v>101</v>
      </c>
      <c r="Z258">
        <f ca="1">IFERROR(IF(0=LEN(ReferenceData!$Z$258),"",ReferenceData!$Z$258),"")</f>
        <v>121</v>
      </c>
      <c r="AA258">
        <f ca="1">IFERROR(IF(0=LEN(ReferenceData!$AA$258),"",ReferenceData!$AA$258),"")</f>
        <v>107</v>
      </c>
      <c r="AB258">
        <f ca="1">IFERROR(IF(0=LEN(ReferenceData!$AB$258),"",ReferenceData!$AB$258),"")</f>
        <v>116</v>
      </c>
      <c r="AC258">
        <f ca="1">IFERROR(IF(0=LEN(ReferenceData!$AC$258),"",ReferenceData!$AC$258),"")</f>
        <v>85</v>
      </c>
      <c r="AD258">
        <f ca="1">IFERROR(IF(0=LEN(ReferenceData!$AD$258),"",ReferenceData!$AD$258),"")</f>
        <v>86</v>
      </c>
      <c r="AE258">
        <f ca="1">IFERROR(IF(0=LEN(ReferenceData!$AE$258),"",ReferenceData!$AE$258),"")</f>
        <v>79</v>
      </c>
      <c r="AF258">
        <f ca="1">IFERROR(IF(0=LEN(ReferenceData!$AF$258),"",ReferenceData!$AF$258),"")</f>
        <v>84</v>
      </c>
      <c r="AG258">
        <f ca="1">IFERROR(IF(0=LEN(ReferenceData!$AG$258),"",ReferenceData!$AG$258),"")</f>
        <v>94</v>
      </c>
      <c r="AH258">
        <f ca="1">IFERROR(IF(0=LEN(ReferenceData!$AH$258),"",ReferenceData!$AH$258),"")</f>
        <v>102</v>
      </c>
      <c r="AI258">
        <f ca="1">IFERROR(IF(0=LEN(ReferenceData!$AI$258),"",ReferenceData!$AI$258),"")</f>
        <v>97</v>
      </c>
      <c r="AJ258">
        <f ca="1">IFERROR(IF(0=LEN(ReferenceData!$AJ$258),"",ReferenceData!$AJ$258),"")</f>
        <v>102</v>
      </c>
      <c r="AK258">
        <f ca="1">IFERROR(IF(0=LEN(ReferenceData!$AK$258),"",ReferenceData!$AK$258),"")</f>
        <v>89</v>
      </c>
      <c r="AL258">
        <f ca="1">IFERROR(IF(0=LEN(ReferenceData!$AL$258),"",ReferenceData!$AL$258),"")</f>
        <v>67</v>
      </c>
      <c r="AM258">
        <f ca="1">IFERROR(IF(0=LEN(ReferenceData!$AM$258),"",ReferenceData!$AM$258),"")</f>
        <v>43</v>
      </c>
      <c r="AN258">
        <f ca="1">IFERROR(IF(0=LEN(ReferenceData!$AN$258),"",ReferenceData!$AN$258),"")</f>
        <v>83</v>
      </c>
      <c r="AO258">
        <f ca="1">IFERROR(IF(0=LEN(ReferenceData!$AO$258),"",ReferenceData!$AO$258),"")</f>
        <v>64</v>
      </c>
      <c r="AP258">
        <f ca="1">IFERROR(IF(0=LEN(ReferenceData!$AP$258),"",ReferenceData!$AP$258),"")</f>
        <v>68</v>
      </c>
      <c r="AQ258">
        <f ca="1">IFERROR(IF(0=LEN(ReferenceData!$AQ$258),"",ReferenceData!$AQ$258),"")</f>
        <v>71</v>
      </c>
      <c r="AR258">
        <f ca="1">IFERROR(IF(0=LEN(ReferenceData!$AR$258),"",ReferenceData!$AR$258),"")</f>
        <v>58</v>
      </c>
      <c r="AS258">
        <f ca="1">IFERROR(IF(0=LEN(ReferenceData!$AS$258),"",ReferenceData!$AS$258),"")</f>
        <v>73</v>
      </c>
    </row>
    <row r="259" spans="1:45" x14ac:dyDescent="0.25">
      <c r="A259" t="str">
        <f>IFERROR(IF(0=LEN(ReferenceData!$A$259),"",ReferenceData!$A$259),"")</f>
        <v xml:space="preserve">    Ford</v>
      </c>
      <c r="B259" t="str">
        <f>IFERROR(IF(0=LEN(ReferenceData!$B$259),"",ReferenceData!$B$259),"")</f>
        <v>F US Equity</v>
      </c>
      <c r="C259" t="str">
        <f>IFERROR(IF(0=LEN(ReferenceData!$C$259),"",ReferenceData!$C$259),"")</f>
        <v>X1701</v>
      </c>
      <c r="D259" t="str">
        <f>IFERROR(IF(0=LEN(ReferenceData!$D$259),"",ReferenceData!$D$259),"")</f>
        <v>WARDS_RETAIL_SALES_UNITS</v>
      </c>
      <c r="E259" t="str">
        <f>IFERROR(IF(0=LEN(ReferenceData!$E$259),"",ReferenceData!$E$259),"")</f>
        <v>Dynamic</v>
      </c>
      <c r="F259">
        <f ca="1">IFERROR(IF(0=LEN(ReferenceData!$F$259),"",ReferenceData!$F$259),"")</f>
        <v>13</v>
      </c>
      <c r="G259">
        <f ca="1">IFERROR(IF(0=LEN(ReferenceData!$G$259),"",ReferenceData!$G$259),"")</f>
        <v>18</v>
      </c>
      <c r="H259">
        <f ca="1">IFERROR(IF(0=LEN(ReferenceData!$H$259),"",ReferenceData!$H$259),"")</f>
        <v>13</v>
      </c>
      <c r="I259">
        <f ca="1">IFERROR(IF(0=LEN(ReferenceData!$I$259),"",ReferenceData!$I$259),"")</f>
        <v>19</v>
      </c>
      <c r="J259">
        <f ca="1">IFERROR(IF(0=LEN(ReferenceData!$J$259),"",ReferenceData!$J$259),"")</f>
        <v>19</v>
      </c>
      <c r="K259">
        <f ca="1">IFERROR(IF(0=LEN(ReferenceData!$K$259),"",ReferenceData!$K$259),"")</f>
        <v>11</v>
      </c>
      <c r="L259">
        <f ca="1">IFERROR(IF(0=LEN(ReferenceData!$L$259),"",ReferenceData!$L$259),"")</f>
        <v>16</v>
      </c>
      <c r="M259">
        <f ca="1">IFERROR(IF(0=LEN(ReferenceData!$M$259),"",ReferenceData!$M$259),"")</f>
        <v>7</v>
      </c>
      <c r="N259">
        <f ca="1">IFERROR(IF(0=LEN(ReferenceData!$N$259),"",ReferenceData!$N$259),"")</f>
        <v>20</v>
      </c>
      <c r="O259">
        <f ca="1">IFERROR(IF(0=LEN(ReferenceData!$O$259),"",ReferenceData!$O$259),"")</f>
        <v>7</v>
      </c>
      <c r="P259">
        <f ca="1">IFERROR(IF(0=LEN(ReferenceData!$P$259),"",ReferenceData!$P$259),"")</f>
        <v>10</v>
      </c>
      <c r="Q259">
        <f ca="1">IFERROR(IF(0=LEN(ReferenceData!$Q$259),"",ReferenceData!$Q$259),"")</f>
        <v>22</v>
      </c>
      <c r="R259">
        <f ca="1">IFERROR(IF(0=LEN(ReferenceData!$R$259),"",ReferenceData!$R$259),"")</f>
        <v>10</v>
      </c>
      <c r="S259">
        <f ca="1">IFERROR(IF(0=LEN(ReferenceData!$S$259),"",ReferenceData!$S$259),"")</f>
        <v>19</v>
      </c>
      <c r="T259">
        <f ca="1">IFERROR(IF(0=LEN(ReferenceData!$T$259),"",ReferenceData!$T$259),"")</f>
        <v>5</v>
      </c>
      <c r="U259">
        <f ca="1">IFERROR(IF(0=LEN(ReferenceData!$U$259),"",ReferenceData!$U$259),"")</f>
        <v>7</v>
      </c>
      <c r="V259">
        <f ca="1">IFERROR(IF(0=LEN(ReferenceData!$V$259),"",ReferenceData!$V$259),"")</f>
        <v>19</v>
      </c>
      <c r="W259">
        <f ca="1">IFERROR(IF(0=LEN(ReferenceData!$W$259),"",ReferenceData!$W$259),"")</f>
        <v>26</v>
      </c>
      <c r="X259">
        <f ca="1">IFERROR(IF(0=LEN(ReferenceData!$X$259),"",ReferenceData!$X$259),"")</f>
        <v>16</v>
      </c>
      <c r="Y259">
        <f ca="1">IFERROR(IF(0=LEN(ReferenceData!$Y$259),"",ReferenceData!$Y$259),"")</f>
        <v>15</v>
      </c>
      <c r="Z259">
        <f ca="1">IFERROR(IF(0=LEN(ReferenceData!$Z$259),"",ReferenceData!$Z$259),"")</f>
        <v>14</v>
      </c>
      <c r="AA259">
        <f ca="1">IFERROR(IF(0=LEN(ReferenceData!$AA$259),"",ReferenceData!$AA$259),"")</f>
        <v>10</v>
      </c>
      <c r="AB259">
        <f ca="1">IFERROR(IF(0=LEN(ReferenceData!$AB$259),"",ReferenceData!$AB$259),"")</f>
        <v>16</v>
      </c>
      <c r="AC259">
        <f ca="1">IFERROR(IF(0=LEN(ReferenceData!$AC$259),"",ReferenceData!$AC$259),"")</f>
        <v>10</v>
      </c>
      <c r="AD259">
        <f ca="1">IFERROR(IF(0=LEN(ReferenceData!$AD$259),"",ReferenceData!$AD$259),"")</f>
        <v>8</v>
      </c>
      <c r="AE259">
        <f ca="1">IFERROR(IF(0=LEN(ReferenceData!$AE$259),"",ReferenceData!$AE$259),"")</f>
        <v>1</v>
      </c>
      <c r="AF259">
        <f ca="1">IFERROR(IF(0=LEN(ReferenceData!$AF$259),"",ReferenceData!$AF$259),"")</f>
        <v>2</v>
      </c>
      <c r="AG259">
        <f ca="1">IFERROR(IF(0=LEN(ReferenceData!$AG$259),"",ReferenceData!$AG$259),"")</f>
        <v>6</v>
      </c>
      <c r="AH259">
        <f ca="1">IFERROR(IF(0=LEN(ReferenceData!$AH$259),"",ReferenceData!$AH$259),"")</f>
        <v>8</v>
      </c>
      <c r="AI259">
        <f ca="1">IFERROR(IF(0=LEN(ReferenceData!$AI$259),"",ReferenceData!$AI$259),"")</f>
        <v>9</v>
      </c>
      <c r="AJ259">
        <f ca="1">IFERROR(IF(0=LEN(ReferenceData!$AJ$259),"",ReferenceData!$AJ$259),"")</f>
        <v>8</v>
      </c>
      <c r="AK259">
        <f ca="1">IFERROR(IF(0=LEN(ReferenceData!$AK$259),"",ReferenceData!$AK$259),"")</f>
        <v>13</v>
      </c>
      <c r="AL259">
        <f ca="1">IFERROR(IF(0=LEN(ReferenceData!$AL$259),"",ReferenceData!$AL$259),"")</f>
        <v>4</v>
      </c>
      <c r="AM259">
        <f ca="1">IFERROR(IF(0=LEN(ReferenceData!$AM$259),"",ReferenceData!$AM$259),"")</f>
        <v>9</v>
      </c>
      <c r="AN259">
        <f ca="1">IFERROR(IF(0=LEN(ReferenceData!$AN$259),"",ReferenceData!$AN$259),"")</f>
        <v>15</v>
      </c>
      <c r="AO259">
        <f ca="1">IFERROR(IF(0=LEN(ReferenceData!$AO$259),"",ReferenceData!$AO$259),"")</f>
        <v>11</v>
      </c>
      <c r="AP259">
        <f ca="1">IFERROR(IF(0=LEN(ReferenceData!$AP$259),"",ReferenceData!$AP$259),"")</f>
        <v>11</v>
      </c>
      <c r="AQ259">
        <f ca="1">IFERROR(IF(0=LEN(ReferenceData!$AQ$259),"",ReferenceData!$AQ$259),"")</f>
        <v>13</v>
      </c>
      <c r="AR259">
        <f ca="1">IFERROR(IF(0=LEN(ReferenceData!$AR$259),"",ReferenceData!$AR$259),"")</f>
        <v>19</v>
      </c>
      <c r="AS259">
        <f ca="1">IFERROR(IF(0=LEN(ReferenceData!$AS$259),"",ReferenceData!$AS$259),"")</f>
        <v>12</v>
      </c>
    </row>
    <row r="260" spans="1:45" x14ac:dyDescent="0.25">
      <c r="A260" t="str">
        <f>IFERROR(IF(0=LEN(ReferenceData!$A$260),"",ReferenceData!$A$260),"")</f>
        <v xml:space="preserve">    Isuzu</v>
      </c>
      <c r="B260" t="str">
        <f>IFERROR(IF(0=LEN(ReferenceData!$B$260),"",ReferenceData!$B$260),"")</f>
        <v>7202 JP Equity</v>
      </c>
      <c r="C260" t="str">
        <f>IFERROR(IF(0=LEN(ReferenceData!$C$260),"",ReferenceData!$C$260),"")</f>
        <v>X1701</v>
      </c>
      <c r="D260" t="str">
        <f>IFERROR(IF(0=LEN(ReferenceData!$D$260),"",ReferenceData!$D$260),"")</f>
        <v>WARDS_RETAIL_SALES_UNITS</v>
      </c>
      <c r="E260" t="str">
        <f>IFERROR(IF(0=LEN(ReferenceData!$E$260),"",ReferenceData!$E$260),"")</f>
        <v>Dynamic</v>
      </c>
      <c r="F260">
        <f ca="1">IFERROR(IF(0=LEN(ReferenceData!$F$260),"",ReferenceData!$F$260),"")</f>
        <v>2</v>
      </c>
      <c r="G260">
        <f ca="1">IFERROR(IF(0=LEN(ReferenceData!$G$260),"",ReferenceData!$G$260),"")</f>
        <v>1</v>
      </c>
      <c r="H260">
        <f ca="1">IFERROR(IF(0=LEN(ReferenceData!$H$260),"",ReferenceData!$H$260),"")</f>
        <v>1</v>
      </c>
      <c r="I260">
        <f ca="1">IFERROR(IF(0=LEN(ReferenceData!$I$260),"",ReferenceData!$I$260),"")</f>
        <v>0</v>
      </c>
      <c r="J260">
        <f ca="1">IFERROR(IF(0=LEN(ReferenceData!$J$260),"",ReferenceData!$J$260),"")</f>
        <v>0</v>
      </c>
      <c r="K260">
        <f ca="1">IFERROR(IF(0=LEN(ReferenceData!$K$260),"",ReferenceData!$K$260),"")</f>
        <v>0</v>
      </c>
      <c r="L260">
        <f ca="1">IFERROR(IF(0=LEN(ReferenceData!$L$260),"",ReferenceData!$L$260),"")</f>
        <v>0</v>
      </c>
      <c r="M260">
        <f ca="1">IFERROR(IF(0=LEN(ReferenceData!$M$260),"",ReferenceData!$M$260),"")</f>
        <v>0</v>
      </c>
      <c r="N260">
        <f ca="1">IFERROR(IF(0=LEN(ReferenceData!$N$260),"",ReferenceData!$N$260),"")</f>
        <v>0</v>
      </c>
      <c r="O260">
        <f ca="1">IFERROR(IF(0=LEN(ReferenceData!$O$260),"",ReferenceData!$O$260),"")</f>
        <v>0</v>
      </c>
      <c r="P260">
        <f ca="1">IFERROR(IF(0=LEN(ReferenceData!$P$260),"",ReferenceData!$P$260),"")</f>
        <v>0</v>
      </c>
      <c r="Q260">
        <f ca="1">IFERROR(IF(0=LEN(ReferenceData!$Q$260),"",ReferenceData!$Q$260),"")</f>
        <v>0</v>
      </c>
      <c r="R260">
        <f ca="1">IFERROR(IF(0=LEN(ReferenceData!$R$260),"",ReferenceData!$R$260),"")</f>
        <v>0</v>
      </c>
      <c r="S260">
        <f ca="1">IFERROR(IF(0=LEN(ReferenceData!$S$260),"",ReferenceData!$S$260),"")</f>
        <v>0</v>
      </c>
      <c r="T260">
        <f ca="1">IFERROR(IF(0=LEN(ReferenceData!$T$260),"",ReferenceData!$T$260),"")</f>
        <v>0</v>
      </c>
      <c r="U260">
        <f ca="1">IFERROR(IF(0=LEN(ReferenceData!$U$260),"",ReferenceData!$U$260),"")</f>
        <v>0</v>
      </c>
      <c r="V260">
        <f ca="1">IFERROR(IF(0=LEN(ReferenceData!$V$260),"",ReferenceData!$V$260),"")</f>
        <v>0</v>
      </c>
      <c r="W260">
        <f ca="1">IFERROR(IF(0=LEN(ReferenceData!$W$260),"",ReferenceData!$W$260),"")</f>
        <v>0</v>
      </c>
      <c r="X260">
        <f ca="1">IFERROR(IF(0=LEN(ReferenceData!$X$260),"",ReferenceData!$X$260),"")</f>
        <v>0</v>
      </c>
      <c r="Y260">
        <f ca="1">IFERROR(IF(0=LEN(ReferenceData!$Y$260),"",ReferenceData!$Y$260),"")</f>
        <v>0</v>
      </c>
      <c r="Z260">
        <f ca="1">IFERROR(IF(0=LEN(ReferenceData!$Z$260),"",ReferenceData!$Z$260),"")</f>
        <v>0</v>
      </c>
      <c r="AA260">
        <f ca="1">IFERROR(IF(0=LEN(ReferenceData!$AA$260),"",ReferenceData!$AA$260),"")</f>
        <v>0</v>
      </c>
      <c r="AB260" t="str">
        <f ca="1">IFERROR(IF(0=LEN(ReferenceData!$AB$260),"",ReferenceData!$AB$260),"")</f>
        <v/>
      </c>
      <c r="AC260" t="str">
        <f ca="1">IFERROR(IF(0=LEN(ReferenceData!$AC$260),"",ReferenceData!$AC$260),"")</f>
        <v/>
      </c>
      <c r="AD260" t="str">
        <f ca="1">IFERROR(IF(0=LEN(ReferenceData!$AD$260),"",ReferenceData!$AD$260),"")</f>
        <v/>
      </c>
      <c r="AE260" t="str">
        <f ca="1">IFERROR(IF(0=LEN(ReferenceData!$AE$260),"",ReferenceData!$AE$260),"")</f>
        <v/>
      </c>
      <c r="AF260" t="str">
        <f ca="1">IFERROR(IF(0=LEN(ReferenceData!$AF$260),"",ReferenceData!$AF$260),"")</f>
        <v/>
      </c>
      <c r="AG260" t="str">
        <f ca="1">IFERROR(IF(0=LEN(ReferenceData!$AG$260),"",ReferenceData!$AG$260),"")</f>
        <v/>
      </c>
      <c r="AH260" t="str">
        <f ca="1">IFERROR(IF(0=LEN(ReferenceData!$AH$260),"",ReferenceData!$AH$260),"")</f>
        <v/>
      </c>
      <c r="AI260" t="str">
        <f ca="1">IFERROR(IF(0=LEN(ReferenceData!$AI$260),"",ReferenceData!$AI$260),"")</f>
        <v/>
      </c>
      <c r="AJ260" t="str">
        <f ca="1">IFERROR(IF(0=LEN(ReferenceData!$AJ$260),"",ReferenceData!$AJ$260),"")</f>
        <v/>
      </c>
      <c r="AK260" t="str">
        <f ca="1">IFERROR(IF(0=LEN(ReferenceData!$AK$260),"",ReferenceData!$AK$260),"")</f>
        <v/>
      </c>
      <c r="AL260" t="str">
        <f ca="1">IFERROR(IF(0=LEN(ReferenceData!$AL$260),"",ReferenceData!$AL$260),"")</f>
        <v/>
      </c>
      <c r="AM260" t="str">
        <f ca="1">IFERROR(IF(0=LEN(ReferenceData!$AM$260),"",ReferenceData!$AM$260),"")</f>
        <v/>
      </c>
      <c r="AN260" t="str">
        <f ca="1">IFERROR(IF(0=LEN(ReferenceData!$AN$260),"",ReferenceData!$AN$260),"")</f>
        <v/>
      </c>
      <c r="AO260" t="str">
        <f ca="1">IFERROR(IF(0=LEN(ReferenceData!$AO$260),"",ReferenceData!$AO$260),"")</f>
        <v/>
      </c>
      <c r="AP260" t="str">
        <f ca="1">IFERROR(IF(0=LEN(ReferenceData!$AP$260),"",ReferenceData!$AP$260),"")</f>
        <v/>
      </c>
      <c r="AQ260" t="str">
        <f ca="1">IFERROR(IF(0=LEN(ReferenceData!$AQ$260),"",ReferenceData!$AQ$260),"")</f>
        <v/>
      </c>
      <c r="AR260" t="str">
        <f ca="1">IFERROR(IF(0=LEN(ReferenceData!$AR$260),"",ReferenceData!$AR$260),"")</f>
        <v/>
      </c>
      <c r="AS260" t="str">
        <f ca="1">IFERROR(IF(0=LEN(ReferenceData!$AS$260),"",ReferenceData!$AS$260),"")</f>
        <v/>
      </c>
    </row>
    <row r="261" spans="1:45" x14ac:dyDescent="0.25">
      <c r="A261" t="str">
        <f>IFERROR(IF(0=LEN(ReferenceData!$A$261),"",ReferenceData!$A$261),"")</f>
        <v xml:space="preserve">    General Motors - GMC</v>
      </c>
      <c r="B261" t="str">
        <f>IFERROR(IF(0=LEN(ReferenceData!$B$261),"",ReferenceData!$B$261),"")</f>
        <v>MTLQQ US Equity</v>
      </c>
      <c r="C261" t="str">
        <f>IFERROR(IF(0=LEN(ReferenceData!$C$261),"",ReferenceData!$C$261),"")</f>
        <v>X1701</v>
      </c>
      <c r="D261" t="str">
        <f>IFERROR(IF(0=LEN(ReferenceData!$D$261),"",ReferenceData!$D$261),"")</f>
        <v>WARDS_RETAIL_SALES_UNITS</v>
      </c>
      <c r="E261" t="str">
        <f>IFERROR(IF(0=LEN(ReferenceData!$E$261),"",ReferenceData!$E$261),"")</f>
        <v>Dynamic</v>
      </c>
      <c r="F261" t="str">
        <f ca="1">IFERROR(IF(0=LEN(ReferenceData!$F$261),"",ReferenceData!$F$261),"")</f>
        <v/>
      </c>
      <c r="G261" t="str">
        <f ca="1">IFERROR(IF(0=LEN(ReferenceData!$G$261),"",ReferenceData!$G$261),"")</f>
        <v/>
      </c>
      <c r="H261" t="str">
        <f ca="1">IFERROR(IF(0=LEN(ReferenceData!$H$261),"",ReferenceData!$H$261),"")</f>
        <v/>
      </c>
      <c r="I261" t="str">
        <f ca="1">IFERROR(IF(0=LEN(ReferenceData!$I$261),"",ReferenceData!$I$261),"")</f>
        <v/>
      </c>
      <c r="J261" t="str">
        <f ca="1">IFERROR(IF(0=LEN(ReferenceData!$J$261),"",ReferenceData!$J$261),"")</f>
        <v/>
      </c>
      <c r="K261" t="str">
        <f ca="1">IFERROR(IF(0=LEN(ReferenceData!$K$261),"",ReferenceData!$K$261),"")</f>
        <v/>
      </c>
      <c r="L261" t="str">
        <f ca="1">IFERROR(IF(0=LEN(ReferenceData!$L$261),"",ReferenceData!$L$261),"")</f>
        <v/>
      </c>
      <c r="M261" t="str">
        <f ca="1">IFERROR(IF(0=LEN(ReferenceData!$M$261),"",ReferenceData!$M$261),"")</f>
        <v/>
      </c>
      <c r="N261" t="str">
        <f ca="1">IFERROR(IF(0=LEN(ReferenceData!$N$261),"",ReferenceData!$N$261),"")</f>
        <v/>
      </c>
      <c r="O261" t="str">
        <f ca="1">IFERROR(IF(0=LEN(ReferenceData!$O$261),"",ReferenceData!$O$261),"")</f>
        <v/>
      </c>
      <c r="P261" t="str">
        <f ca="1">IFERROR(IF(0=LEN(ReferenceData!$P$261),"",ReferenceData!$P$261),"")</f>
        <v/>
      </c>
      <c r="Q261" t="str">
        <f ca="1">IFERROR(IF(0=LEN(ReferenceData!$Q$261),"",ReferenceData!$Q$261),"")</f>
        <v/>
      </c>
      <c r="R261" t="str">
        <f ca="1">IFERROR(IF(0=LEN(ReferenceData!$R$261),"",ReferenceData!$R$261),"")</f>
        <v/>
      </c>
      <c r="S261" t="str">
        <f ca="1">IFERROR(IF(0=LEN(ReferenceData!$S$261),"",ReferenceData!$S$261),"")</f>
        <v/>
      </c>
      <c r="T261" t="str">
        <f ca="1">IFERROR(IF(0=LEN(ReferenceData!$T$261),"",ReferenceData!$T$261),"")</f>
        <v/>
      </c>
      <c r="U261" t="str">
        <f ca="1">IFERROR(IF(0=LEN(ReferenceData!$U$261),"",ReferenceData!$U$261),"")</f>
        <v/>
      </c>
      <c r="V261" t="str">
        <f ca="1">IFERROR(IF(0=LEN(ReferenceData!$V$261),"",ReferenceData!$V$261),"")</f>
        <v/>
      </c>
      <c r="W261" t="str">
        <f ca="1">IFERROR(IF(0=LEN(ReferenceData!$W$261),"",ReferenceData!$W$261),"")</f>
        <v/>
      </c>
      <c r="X261" t="str">
        <f ca="1">IFERROR(IF(0=LEN(ReferenceData!$X$261),"",ReferenceData!$X$261),"")</f>
        <v/>
      </c>
      <c r="Y261" t="str">
        <f ca="1">IFERROR(IF(0=LEN(ReferenceData!$Y$261),"",ReferenceData!$Y$261),"")</f>
        <v/>
      </c>
      <c r="Z261" t="str">
        <f ca="1">IFERROR(IF(0=LEN(ReferenceData!$Z$261),"",ReferenceData!$Z$261),"")</f>
        <v/>
      </c>
      <c r="AA261" t="str">
        <f ca="1">IFERROR(IF(0=LEN(ReferenceData!$AA$261),"",ReferenceData!$AA$261),"")</f>
        <v/>
      </c>
      <c r="AB261" t="str">
        <f ca="1">IFERROR(IF(0=LEN(ReferenceData!$AB$261),"",ReferenceData!$AB$261),"")</f>
        <v/>
      </c>
      <c r="AC261" t="str">
        <f ca="1">IFERROR(IF(0=LEN(ReferenceData!$AC$261),"",ReferenceData!$AC$261),"")</f>
        <v/>
      </c>
      <c r="AD261" t="str">
        <f ca="1">IFERROR(IF(0=LEN(ReferenceData!$AD$261),"",ReferenceData!$AD$261),"")</f>
        <v/>
      </c>
      <c r="AE261" t="str">
        <f ca="1">IFERROR(IF(0=LEN(ReferenceData!$AE$261),"",ReferenceData!$AE$261),"")</f>
        <v/>
      </c>
      <c r="AF261" t="str">
        <f ca="1">IFERROR(IF(0=LEN(ReferenceData!$AF$261),"",ReferenceData!$AF$261),"")</f>
        <v/>
      </c>
      <c r="AG261" t="str">
        <f ca="1">IFERROR(IF(0=LEN(ReferenceData!$AG$261),"",ReferenceData!$AG$261),"")</f>
        <v/>
      </c>
      <c r="AH261" t="str">
        <f ca="1">IFERROR(IF(0=LEN(ReferenceData!$AH$261),"",ReferenceData!$AH$261),"")</f>
        <v/>
      </c>
      <c r="AI261" t="str">
        <f ca="1">IFERROR(IF(0=LEN(ReferenceData!$AI$261),"",ReferenceData!$AI$261),"")</f>
        <v/>
      </c>
      <c r="AJ261" t="str">
        <f ca="1">IFERROR(IF(0=LEN(ReferenceData!$AJ$261),"",ReferenceData!$AJ$261),"")</f>
        <v/>
      </c>
      <c r="AK261" t="str">
        <f ca="1">IFERROR(IF(0=LEN(ReferenceData!$AK$261),"",ReferenceData!$AK$261),"")</f>
        <v/>
      </c>
      <c r="AL261" t="str">
        <f ca="1">IFERROR(IF(0=LEN(ReferenceData!$AL$261),"",ReferenceData!$AL$261),"")</f>
        <v/>
      </c>
      <c r="AM261" t="str">
        <f ca="1">IFERROR(IF(0=LEN(ReferenceData!$AM$261),"",ReferenceData!$AM$261),"")</f>
        <v/>
      </c>
      <c r="AN261" t="str">
        <f ca="1">IFERROR(IF(0=LEN(ReferenceData!$AN$261),"",ReferenceData!$AN$261),"")</f>
        <v/>
      </c>
      <c r="AO261" t="str">
        <f ca="1">IFERROR(IF(0=LEN(ReferenceData!$AO$261),"",ReferenceData!$AO$261),"")</f>
        <v/>
      </c>
      <c r="AP261" t="str">
        <f ca="1">IFERROR(IF(0=LEN(ReferenceData!$AP$261),"",ReferenceData!$AP$261),"")</f>
        <v/>
      </c>
      <c r="AQ261" t="str">
        <f ca="1">IFERROR(IF(0=LEN(ReferenceData!$AQ$261),"",ReferenceData!$AQ$261),"")</f>
        <v/>
      </c>
      <c r="AR261" t="str">
        <f ca="1">IFERROR(IF(0=LEN(ReferenceData!$AR$261),"",ReferenceData!$AR$261),"")</f>
        <v/>
      </c>
      <c r="AS261" t="str">
        <f ca="1">IFERROR(IF(0=LEN(ReferenceData!$AS$261),"",ReferenceData!$AS$261),"")</f>
        <v/>
      </c>
    </row>
    <row r="262" spans="1:45" x14ac:dyDescent="0.25">
      <c r="A262" t="str">
        <f>IFERROR(IF(0=LEN(ReferenceData!$A$262),"",ReferenceData!$A$262),"")</f>
        <v xml:space="preserve">    General Motors - Chevrolet</v>
      </c>
      <c r="B262" t="str">
        <f>IFERROR(IF(0=LEN(ReferenceData!$B$262),"",ReferenceData!$B$262),"")</f>
        <v>MTLQQ US Equity</v>
      </c>
      <c r="C262" t="str">
        <f>IFERROR(IF(0=LEN(ReferenceData!$C$262),"",ReferenceData!$C$262),"")</f>
        <v>X1701</v>
      </c>
      <c r="D262" t="str">
        <f>IFERROR(IF(0=LEN(ReferenceData!$D$262),"",ReferenceData!$D$262),"")</f>
        <v>WARDS_RETAIL_SALES_UNITS</v>
      </c>
      <c r="E262" t="str">
        <f>IFERROR(IF(0=LEN(ReferenceData!$E$262),"",ReferenceData!$E$262),"")</f>
        <v>Dynamic</v>
      </c>
      <c r="F262" t="str">
        <f ca="1">IFERROR(IF(0=LEN(ReferenceData!$F$262),"",ReferenceData!$F$262),"")</f>
        <v/>
      </c>
      <c r="G262" t="str">
        <f ca="1">IFERROR(IF(0=LEN(ReferenceData!$G$262),"",ReferenceData!$G$262),"")</f>
        <v/>
      </c>
      <c r="H262" t="str">
        <f ca="1">IFERROR(IF(0=LEN(ReferenceData!$H$262),"",ReferenceData!$H$262),"")</f>
        <v/>
      </c>
      <c r="I262" t="str">
        <f ca="1">IFERROR(IF(0=LEN(ReferenceData!$I$262),"",ReferenceData!$I$262),"")</f>
        <v/>
      </c>
      <c r="J262" t="str">
        <f ca="1">IFERROR(IF(0=LEN(ReferenceData!$J$262),"",ReferenceData!$J$262),"")</f>
        <v/>
      </c>
      <c r="K262" t="str">
        <f ca="1">IFERROR(IF(0=LEN(ReferenceData!$K$262),"",ReferenceData!$K$262),"")</f>
        <v/>
      </c>
      <c r="L262" t="str">
        <f ca="1">IFERROR(IF(0=LEN(ReferenceData!$L$262),"",ReferenceData!$L$262),"")</f>
        <v/>
      </c>
      <c r="M262" t="str">
        <f ca="1">IFERROR(IF(0=LEN(ReferenceData!$M$262),"",ReferenceData!$M$262),"")</f>
        <v/>
      </c>
      <c r="N262" t="str">
        <f ca="1">IFERROR(IF(0=LEN(ReferenceData!$N$262),"",ReferenceData!$N$262),"")</f>
        <v/>
      </c>
      <c r="O262" t="str">
        <f ca="1">IFERROR(IF(0=LEN(ReferenceData!$O$262),"",ReferenceData!$O$262),"")</f>
        <v/>
      </c>
      <c r="P262" t="str">
        <f ca="1">IFERROR(IF(0=LEN(ReferenceData!$P$262),"",ReferenceData!$P$262),"")</f>
        <v/>
      </c>
      <c r="Q262" t="str">
        <f ca="1">IFERROR(IF(0=LEN(ReferenceData!$Q$262),"",ReferenceData!$Q$262),"")</f>
        <v/>
      </c>
      <c r="R262" t="str">
        <f ca="1">IFERROR(IF(0=LEN(ReferenceData!$R$262),"",ReferenceData!$R$262),"")</f>
        <v/>
      </c>
      <c r="S262" t="str">
        <f ca="1">IFERROR(IF(0=LEN(ReferenceData!$S$262),"",ReferenceData!$S$262),"")</f>
        <v/>
      </c>
      <c r="T262" t="str">
        <f ca="1">IFERROR(IF(0=LEN(ReferenceData!$T$262),"",ReferenceData!$T$262),"")</f>
        <v/>
      </c>
      <c r="U262" t="str">
        <f ca="1">IFERROR(IF(0=LEN(ReferenceData!$U$262),"",ReferenceData!$U$262),"")</f>
        <v/>
      </c>
      <c r="V262" t="str">
        <f ca="1">IFERROR(IF(0=LEN(ReferenceData!$V$262),"",ReferenceData!$V$262),"")</f>
        <v/>
      </c>
      <c r="W262" t="str">
        <f ca="1">IFERROR(IF(0=LEN(ReferenceData!$W$262),"",ReferenceData!$W$262),"")</f>
        <v/>
      </c>
      <c r="X262" t="str">
        <f ca="1">IFERROR(IF(0=LEN(ReferenceData!$X$262),"",ReferenceData!$X$262),"")</f>
        <v/>
      </c>
      <c r="Y262" t="str">
        <f ca="1">IFERROR(IF(0=LEN(ReferenceData!$Y$262),"",ReferenceData!$Y$262),"")</f>
        <v/>
      </c>
      <c r="Z262" t="str">
        <f ca="1">IFERROR(IF(0=LEN(ReferenceData!$Z$262),"",ReferenceData!$Z$262),"")</f>
        <v/>
      </c>
      <c r="AA262" t="str">
        <f ca="1">IFERROR(IF(0=LEN(ReferenceData!$AA$262),"",ReferenceData!$AA$262),"")</f>
        <v/>
      </c>
      <c r="AB262" t="str">
        <f ca="1">IFERROR(IF(0=LEN(ReferenceData!$AB$262),"",ReferenceData!$AB$262),"")</f>
        <v/>
      </c>
      <c r="AC262" t="str">
        <f ca="1">IFERROR(IF(0=LEN(ReferenceData!$AC$262),"",ReferenceData!$AC$262),"")</f>
        <v/>
      </c>
      <c r="AD262" t="str">
        <f ca="1">IFERROR(IF(0=LEN(ReferenceData!$AD$262),"",ReferenceData!$AD$262),"")</f>
        <v/>
      </c>
      <c r="AE262" t="str">
        <f ca="1">IFERROR(IF(0=LEN(ReferenceData!$AE$262),"",ReferenceData!$AE$262),"")</f>
        <v/>
      </c>
      <c r="AF262" t="str">
        <f ca="1">IFERROR(IF(0=LEN(ReferenceData!$AF$262),"",ReferenceData!$AF$262),"")</f>
        <v/>
      </c>
      <c r="AG262" t="str">
        <f ca="1">IFERROR(IF(0=LEN(ReferenceData!$AG$262),"",ReferenceData!$AG$262),"")</f>
        <v/>
      </c>
      <c r="AH262" t="str">
        <f ca="1">IFERROR(IF(0=LEN(ReferenceData!$AH$262),"",ReferenceData!$AH$262),"")</f>
        <v/>
      </c>
      <c r="AI262" t="str">
        <f ca="1">IFERROR(IF(0=LEN(ReferenceData!$AI$262),"",ReferenceData!$AI$262),"")</f>
        <v/>
      </c>
      <c r="AJ262" t="str">
        <f ca="1">IFERROR(IF(0=LEN(ReferenceData!$AJ$262),"",ReferenceData!$AJ$262),"")</f>
        <v/>
      </c>
      <c r="AK262" t="str">
        <f ca="1">IFERROR(IF(0=LEN(ReferenceData!$AK$262),"",ReferenceData!$AK$262),"")</f>
        <v/>
      </c>
      <c r="AL262" t="str">
        <f ca="1">IFERROR(IF(0=LEN(ReferenceData!$AL$262),"",ReferenceData!$AL$262),"")</f>
        <v/>
      </c>
      <c r="AM262" t="str">
        <f ca="1">IFERROR(IF(0=LEN(ReferenceData!$AM$262),"",ReferenceData!$AM$262),"")</f>
        <v/>
      </c>
      <c r="AN262" t="str">
        <f ca="1">IFERROR(IF(0=LEN(ReferenceData!$AN$262),"",ReferenceData!$AN$262),"")</f>
        <v/>
      </c>
      <c r="AO262" t="str">
        <f ca="1">IFERROR(IF(0=LEN(ReferenceData!$AO$262),"",ReferenceData!$AO$262),"")</f>
        <v/>
      </c>
      <c r="AP262" t="str">
        <f ca="1">IFERROR(IF(0=LEN(ReferenceData!$AP$262),"",ReferenceData!$AP$262),"")</f>
        <v/>
      </c>
      <c r="AQ262" t="str">
        <f ca="1">IFERROR(IF(0=LEN(ReferenceData!$AQ$262),"",ReferenceData!$AQ$262),"")</f>
        <v/>
      </c>
      <c r="AR262" t="str">
        <f ca="1">IFERROR(IF(0=LEN(ReferenceData!$AR$262),"",ReferenceData!$AR$262),"")</f>
        <v/>
      </c>
      <c r="AS262" t="str">
        <f ca="1">IFERROR(IF(0=LEN(ReferenceData!$AS$262),"",ReferenceData!$AS$262),"")</f>
        <v/>
      </c>
    </row>
    <row r="263" spans="1:45" x14ac:dyDescent="0.25">
      <c r="A263" t="str">
        <f>IFERROR(IF(0=LEN(ReferenceData!$A$263),"",ReferenceData!$A$263),"")</f>
        <v xml:space="preserve">    Volvo - Mack</v>
      </c>
      <c r="B263" t="str">
        <f>IFERROR(IF(0=LEN(ReferenceData!$B$263),"",ReferenceData!$B$263),"")</f>
        <v>VOLVB SS Equity</v>
      </c>
      <c r="C263" t="str">
        <f>IFERROR(IF(0=LEN(ReferenceData!$C$263),"",ReferenceData!$C$263),"")</f>
        <v>X1701</v>
      </c>
      <c r="D263" t="str">
        <f>IFERROR(IF(0=LEN(ReferenceData!$D$263),"",ReferenceData!$D$263),"")</f>
        <v>WARDS_RETAIL_SALES_UNITS</v>
      </c>
      <c r="E263" t="str">
        <f>IFERROR(IF(0=LEN(ReferenceData!$E$263),"",ReferenceData!$E$263),"")</f>
        <v>Dynamic</v>
      </c>
      <c r="F263" t="str">
        <f ca="1">IFERROR(IF(0=LEN(ReferenceData!$F$263),"",ReferenceData!$F$263),"")</f>
        <v/>
      </c>
      <c r="G263" t="str">
        <f ca="1">IFERROR(IF(0=LEN(ReferenceData!$G$263),"",ReferenceData!$G$263),"")</f>
        <v/>
      </c>
      <c r="H263" t="str">
        <f ca="1">IFERROR(IF(0=LEN(ReferenceData!$H$263),"",ReferenceData!$H$263),"")</f>
        <v/>
      </c>
      <c r="I263" t="str">
        <f ca="1">IFERROR(IF(0=LEN(ReferenceData!$I$263),"",ReferenceData!$I$263),"")</f>
        <v/>
      </c>
      <c r="J263" t="str">
        <f ca="1">IFERROR(IF(0=LEN(ReferenceData!$J$263),"",ReferenceData!$J$263),"")</f>
        <v/>
      </c>
      <c r="K263" t="str">
        <f ca="1">IFERROR(IF(0=LEN(ReferenceData!$K$263),"",ReferenceData!$K$263),"")</f>
        <v/>
      </c>
      <c r="L263" t="str">
        <f ca="1">IFERROR(IF(0=LEN(ReferenceData!$L$263),"",ReferenceData!$L$263),"")</f>
        <v/>
      </c>
      <c r="M263" t="str">
        <f ca="1">IFERROR(IF(0=LEN(ReferenceData!$M$263),"",ReferenceData!$M$263),"")</f>
        <v/>
      </c>
      <c r="N263" t="str">
        <f ca="1">IFERROR(IF(0=LEN(ReferenceData!$N$263),"",ReferenceData!$N$263),"")</f>
        <v/>
      </c>
      <c r="O263" t="str">
        <f ca="1">IFERROR(IF(0=LEN(ReferenceData!$O$263),"",ReferenceData!$O$263),"")</f>
        <v/>
      </c>
      <c r="P263" t="str">
        <f ca="1">IFERROR(IF(0=LEN(ReferenceData!$P$263),"",ReferenceData!$P$263),"")</f>
        <v/>
      </c>
      <c r="Q263" t="str">
        <f ca="1">IFERROR(IF(0=LEN(ReferenceData!$Q$263),"",ReferenceData!$Q$263),"")</f>
        <v/>
      </c>
      <c r="R263" t="str">
        <f ca="1">IFERROR(IF(0=LEN(ReferenceData!$R$263),"",ReferenceData!$R$263),"")</f>
        <v/>
      </c>
      <c r="S263" t="str">
        <f ca="1">IFERROR(IF(0=LEN(ReferenceData!$S$263),"",ReferenceData!$S$263),"")</f>
        <v/>
      </c>
      <c r="T263" t="str">
        <f ca="1">IFERROR(IF(0=LEN(ReferenceData!$T$263),"",ReferenceData!$T$263),"")</f>
        <v/>
      </c>
      <c r="U263" t="str">
        <f ca="1">IFERROR(IF(0=LEN(ReferenceData!$U$263),"",ReferenceData!$U$263),"")</f>
        <v/>
      </c>
      <c r="V263" t="str">
        <f ca="1">IFERROR(IF(0=LEN(ReferenceData!$V$263),"",ReferenceData!$V$263),"")</f>
        <v/>
      </c>
      <c r="W263" t="str">
        <f ca="1">IFERROR(IF(0=LEN(ReferenceData!$W$263),"",ReferenceData!$W$263),"")</f>
        <v/>
      </c>
      <c r="X263" t="str">
        <f ca="1">IFERROR(IF(0=LEN(ReferenceData!$X$263),"",ReferenceData!$X$263),"")</f>
        <v/>
      </c>
      <c r="Y263" t="str">
        <f ca="1">IFERROR(IF(0=LEN(ReferenceData!$Y$263),"",ReferenceData!$Y$263),"")</f>
        <v/>
      </c>
      <c r="Z263" t="str">
        <f ca="1">IFERROR(IF(0=LEN(ReferenceData!$Z$263),"",ReferenceData!$Z$263),"")</f>
        <v/>
      </c>
      <c r="AA263" t="str">
        <f ca="1">IFERROR(IF(0=LEN(ReferenceData!$AA$263),"",ReferenceData!$AA$263),"")</f>
        <v/>
      </c>
      <c r="AB263" t="str">
        <f ca="1">IFERROR(IF(0=LEN(ReferenceData!$AB$263),"",ReferenceData!$AB$263),"")</f>
        <v/>
      </c>
      <c r="AC263" t="str">
        <f ca="1">IFERROR(IF(0=LEN(ReferenceData!$AC$263),"",ReferenceData!$AC$263),"")</f>
        <v/>
      </c>
      <c r="AD263" t="str">
        <f ca="1">IFERROR(IF(0=LEN(ReferenceData!$AD$263),"",ReferenceData!$AD$263),"")</f>
        <v/>
      </c>
      <c r="AE263" t="str">
        <f ca="1">IFERROR(IF(0=LEN(ReferenceData!$AE$263),"",ReferenceData!$AE$263),"")</f>
        <v/>
      </c>
      <c r="AF263" t="str">
        <f ca="1">IFERROR(IF(0=LEN(ReferenceData!$AF$263),"",ReferenceData!$AF$263),"")</f>
        <v/>
      </c>
      <c r="AG263" t="str">
        <f ca="1">IFERROR(IF(0=LEN(ReferenceData!$AG$263),"",ReferenceData!$AG$263),"")</f>
        <v/>
      </c>
      <c r="AH263" t="str">
        <f ca="1">IFERROR(IF(0=LEN(ReferenceData!$AH$263),"",ReferenceData!$AH$263),"")</f>
        <v/>
      </c>
      <c r="AI263" t="str">
        <f ca="1">IFERROR(IF(0=LEN(ReferenceData!$AI$263),"",ReferenceData!$AI$263),"")</f>
        <v/>
      </c>
      <c r="AJ263" t="str">
        <f ca="1">IFERROR(IF(0=LEN(ReferenceData!$AJ$263),"",ReferenceData!$AJ$263),"")</f>
        <v/>
      </c>
      <c r="AK263" t="str">
        <f ca="1">IFERROR(IF(0=LEN(ReferenceData!$AK$263),"",ReferenceData!$AK$263),"")</f>
        <v/>
      </c>
      <c r="AL263" t="str">
        <f ca="1">IFERROR(IF(0=LEN(ReferenceData!$AL$263),"",ReferenceData!$AL$263),"")</f>
        <v/>
      </c>
      <c r="AM263" t="str">
        <f ca="1">IFERROR(IF(0=LEN(ReferenceData!$AM$263),"",ReferenceData!$AM$263),"")</f>
        <v/>
      </c>
      <c r="AN263" t="str">
        <f ca="1">IFERROR(IF(0=LEN(ReferenceData!$AN$263),"",ReferenceData!$AN$263),"")</f>
        <v/>
      </c>
      <c r="AO263" t="str">
        <f ca="1">IFERROR(IF(0=LEN(ReferenceData!$AO$263),"",ReferenceData!$AO$263),"")</f>
        <v/>
      </c>
      <c r="AP263" t="str">
        <f ca="1">IFERROR(IF(0=LEN(ReferenceData!$AP$263),"",ReferenceData!$AP$263),"")</f>
        <v/>
      </c>
      <c r="AQ263" t="str">
        <f ca="1">IFERROR(IF(0=LEN(ReferenceData!$AQ$263),"",ReferenceData!$AQ$263),"")</f>
        <v/>
      </c>
      <c r="AR263" t="str">
        <f ca="1">IFERROR(IF(0=LEN(ReferenceData!$AR$263),"",ReferenceData!$AR$263),"")</f>
        <v/>
      </c>
      <c r="AS263" t="str">
        <f ca="1">IFERROR(IF(0=LEN(ReferenceData!$AS$263),"",ReferenceData!$AS$263),"")</f>
        <v/>
      </c>
    </row>
    <row r="264" spans="1:45" x14ac:dyDescent="0.25">
      <c r="A264" t="str">
        <f>IFERROR(IF(0=LEN(ReferenceData!$A$264),"",ReferenceData!$A$264),"")</f>
        <v>Mexico (Class 6-7)</v>
      </c>
      <c r="B264" t="str">
        <f>IFERROR(IF(0=LEN(ReferenceData!$B$264),"",ReferenceData!$B$264),"")</f>
        <v>TRCKMX6S Index</v>
      </c>
      <c r="C264" t="str">
        <f>IFERROR(IF(0=LEN(ReferenceData!$C$264),"",ReferenceData!$C$264),"")</f>
        <v>PR005</v>
      </c>
      <c r="D264" t="str">
        <f>IFERROR(IF(0=LEN(ReferenceData!$D$264),"",ReferenceData!$D$264),"")</f>
        <v>PX_LAST</v>
      </c>
      <c r="E264" t="str">
        <f>IFERROR(IF(0=LEN(ReferenceData!$E$264),"",ReferenceData!$E$264),"")</f>
        <v>Dynamic</v>
      </c>
      <c r="F264">
        <f ca="1">IFERROR(IF(0=LEN(ReferenceData!$F$264),"",ReferenceData!$F$264),"")</f>
        <v>742</v>
      </c>
      <c r="G264">
        <f ca="1">IFERROR(IF(0=LEN(ReferenceData!$G$264),"",ReferenceData!$G$264),"")</f>
        <v>718</v>
      </c>
      <c r="H264">
        <f ca="1">IFERROR(IF(0=LEN(ReferenceData!$H$264),"",ReferenceData!$H$264),"")</f>
        <v>803</v>
      </c>
      <c r="I264">
        <f ca="1">IFERROR(IF(0=LEN(ReferenceData!$I$264),"",ReferenceData!$I$264),"")</f>
        <v>688</v>
      </c>
      <c r="J264">
        <f ca="1">IFERROR(IF(0=LEN(ReferenceData!$J$264),"",ReferenceData!$J$264),"")</f>
        <v>745</v>
      </c>
      <c r="K264">
        <f ca="1">IFERROR(IF(0=LEN(ReferenceData!$K$264),"",ReferenceData!$K$264),"")</f>
        <v>646</v>
      </c>
      <c r="L264">
        <f ca="1">IFERROR(IF(0=LEN(ReferenceData!$L$264),"",ReferenceData!$L$264),"")</f>
        <v>645</v>
      </c>
      <c r="M264">
        <f ca="1">IFERROR(IF(0=LEN(ReferenceData!$M$264),"",ReferenceData!$M$264),"")</f>
        <v>737</v>
      </c>
      <c r="N264">
        <f ca="1">IFERROR(IF(0=LEN(ReferenceData!$N$264),"",ReferenceData!$N$264),"")</f>
        <v>688</v>
      </c>
      <c r="O264">
        <f ca="1">IFERROR(IF(0=LEN(ReferenceData!$O$264),"",ReferenceData!$O$264),"")</f>
        <v>721</v>
      </c>
      <c r="P264">
        <f ca="1">IFERROR(IF(0=LEN(ReferenceData!$P$264),"",ReferenceData!$P$264),"")</f>
        <v>967</v>
      </c>
      <c r="Q264">
        <f ca="1">IFERROR(IF(0=LEN(ReferenceData!$Q$264),"",ReferenceData!$Q$264),"")</f>
        <v>768</v>
      </c>
      <c r="R264">
        <f ca="1">IFERROR(IF(0=LEN(ReferenceData!$R$264),"",ReferenceData!$R$264),"")</f>
        <v>688</v>
      </c>
      <c r="S264">
        <f ca="1">IFERROR(IF(0=LEN(ReferenceData!$S$264),"",ReferenceData!$S$264),"")</f>
        <v>801</v>
      </c>
      <c r="T264">
        <f ca="1">IFERROR(IF(0=LEN(ReferenceData!$T$264),"",ReferenceData!$T$264),"")</f>
        <v>880</v>
      </c>
      <c r="U264">
        <f ca="1">IFERROR(IF(0=LEN(ReferenceData!$U$264),"",ReferenceData!$U$264),"")</f>
        <v>814</v>
      </c>
      <c r="V264">
        <f ca="1">IFERROR(IF(0=LEN(ReferenceData!$V$264),"",ReferenceData!$V$264),"")</f>
        <v>885</v>
      </c>
      <c r="W264">
        <f ca="1">IFERROR(IF(0=LEN(ReferenceData!$W$264),"",ReferenceData!$W$264),"")</f>
        <v>665</v>
      </c>
      <c r="X264">
        <f ca="1">IFERROR(IF(0=LEN(ReferenceData!$X$264),"",ReferenceData!$X$264),"")</f>
        <v>656</v>
      </c>
      <c r="Y264">
        <f ca="1">IFERROR(IF(0=LEN(ReferenceData!$Y$264),"",ReferenceData!$Y$264),"")</f>
        <v>760</v>
      </c>
      <c r="Z264">
        <f ca="1">IFERROR(IF(0=LEN(ReferenceData!$Z$264),"",ReferenceData!$Z$264),"")</f>
        <v>602</v>
      </c>
      <c r="AA264">
        <f ca="1">IFERROR(IF(0=LEN(ReferenceData!$AA$264),"",ReferenceData!$AA$264),"")</f>
        <v>478</v>
      </c>
      <c r="AB264">
        <f ca="1">IFERROR(IF(0=LEN(ReferenceData!$AB$264),"",ReferenceData!$AB$264),"")</f>
        <v>915</v>
      </c>
      <c r="AC264">
        <f ca="1">IFERROR(IF(0=LEN(ReferenceData!$AC$264),"",ReferenceData!$AC$264),"")</f>
        <v>727</v>
      </c>
      <c r="AD264">
        <f ca="1">IFERROR(IF(0=LEN(ReferenceData!$AD$264),"",ReferenceData!$AD$264),"")</f>
        <v>696</v>
      </c>
      <c r="AE264">
        <f ca="1">IFERROR(IF(0=LEN(ReferenceData!$AE$264),"",ReferenceData!$AE$264),"")</f>
        <v>655</v>
      </c>
      <c r="AF264">
        <f ca="1">IFERROR(IF(0=LEN(ReferenceData!$AF$264),"",ReferenceData!$AF$264),"")</f>
        <v>645</v>
      </c>
      <c r="AG264">
        <f ca="1">IFERROR(IF(0=LEN(ReferenceData!$AG$264),"",ReferenceData!$AG$264),"")</f>
        <v>687</v>
      </c>
      <c r="AH264">
        <f ca="1">IFERROR(IF(0=LEN(ReferenceData!$AH$264),"",ReferenceData!$AH$264),"")</f>
        <v>699</v>
      </c>
      <c r="AI264">
        <f ca="1">IFERROR(IF(0=LEN(ReferenceData!$AI$264),"",ReferenceData!$AI$264),"")</f>
        <v>575</v>
      </c>
      <c r="AJ264">
        <f ca="1">IFERROR(IF(0=LEN(ReferenceData!$AJ$264),"",ReferenceData!$AJ$264),"")</f>
        <v>778</v>
      </c>
      <c r="AK264">
        <f ca="1">IFERROR(IF(0=LEN(ReferenceData!$AK$264),"",ReferenceData!$AK$264),"")</f>
        <v>584</v>
      </c>
      <c r="AL264">
        <f ca="1">IFERROR(IF(0=LEN(ReferenceData!$AL$264),"",ReferenceData!$AL$264),"")</f>
        <v>606</v>
      </c>
      <c r="AM264">
        <f ca="1">IFERROR(IF(0=LEN(ReferenceData!$AM$264),"",ReferenceData!$AM$264),"")</f>
        <v>605</v>
      </c>
      <c r="AN264">
        <f ca="1">IFERROR(IF(0=LEN(ReferenceData!$AN$264),"",ReferenceData!$AN$264),"")</f>
        <v>788</v>
      </c>
      <c r="AO264">
        <f ca="1">IFERROR(IF(0=LEN(ReferenceData!$AO$264),"",ReferenceData!$AO$264),"")</f>
        <v>726</v>
      </c>
      <c r="AP264">
        <f ca="1">IFERROR(IF(0=LEN(ReferenceData!$AP$264),"",ReferenceData!$AP$264),"")</f>
        <v>733</v>
      </c>
      <c r="AQ264">
        <f ca="1">IFERROR(IF(0=LEN(ReferenceData!$AQ$264),"",ReferenceData!$AQ$264),"")</f>
        <v>579</v>
      </c>
      <c r="AR264">
        <f ca="1">IFERROR(IF(0=LEN(ReferenceData!$AR$264),"",ReferenceData!$AR$264),"")</f>
        <v>623</v>
      </c>
      <c r="AS264">
        <f ca="1">IFERROR(IF(0=LEN(ReferenceData!$AS$264),"",ReferenceData!$AS$264),"")</f>
        <v>573</v>
      </c>
    </row>
    <row r="265" spans="1:45" x14ac:dyDescent="0.25">
      <c r="A265" t="str">
        <f>IFERROR(IF(0=LEN(ReferenceData!$A$265),"",ReferenceData!$A$265),"")</f>
        <v xml:space="preserve">    Daimler - Freightliner</v>
      </c>
      <c r="B265" t="str">
        <f>IFERROR(IF(0=LEN(ReferenceData!$B$265),"",ReferenceData!$B$265),"")</f>
        <v>DAI GR Equity</v>
      </c>
      <c r="C265" t="str">
        <f>IFERROR(IF(0=LEN(ReferenceData!$C$265),"",ReferenceData!$C$265),"")</f>
        <v>X1701</v>
      </c>
      <c r="D265" t="str">
        <f>IFERROR(IF(0=LEN(ReferenceData!$D$265),"",ReferenceData!$D$265),"")</f>
        <v>WARDS_RETAIL_SALES_UNITS</v>
      </c>
      <c r="E265" t="str">
        <f>IFERROR(IF(0=LEN(ReferenceData!$E$265),"",ReferenceData!$E$265),"")</f>
        <v>Dynamic</v>
      </c>
      <c r="F265">
        <f ca="1">IFERROR(IF(0=LEN(ReferenceData!$F$265),"",ReferenceData!$F$265),"")</f>
        <v>98</v>
      </c>
      <c r="G265">
        <f ca="1">IFERROR(IF(0=LEN(ReferenceData!$G$265),"",ReferenceData!$G$265),"")</f>
        <v>92</v>
      </c>
      <c r="H265">
        <f ca="1">IFERROR(IF(0=LEN(ReferenceData!$H$265),"",ReferenceData!$H$265),"")</f>
        <v>98</v>
      </c>
      <c r="I265">
        <f ca="1">IFERROR(IF(0=LEN(ReferenceData!$I$265),"",ReferenceData!$I$265),"")</f>
        <v>98</v>
      </c>
      <c r="J265">
        <f ca="1">IFERROR(IF(0=LEN(ReferenceData!$J$265),"",ReferenceData!$J$265),"")</f>
        <v>102</v>
      </c>
      <c r="K265">
        <f ca="1">IFERROR(IF(0=LEN(ReferenceData!$K$265),"",ReferenceData!$K$265),"")</f>
        <v>98</v>
      </c>
      <c r="L265">
        <f ca="1">IFERROR(IF(0=LEN(ReferenceData!$L$265),"",ReferenceData!$L$265),"")</f>
        <v>92</v>
      </c>
      <c r="M265">
        <f ca="1">IFERROR(IF(0=LEN(ReferenceData!$M$265),"",ReferenceData!$M$265),"")</f>
        <v>107</v>
      </c>
      <c r="N265">
        <f ca="1">IFERROR(IF(0=LEN(ReferenceData!$N$265),"",ReferenceData!$N$265),"")</f>
        <v>92</v>
      </c>
      <c r="O265">
        <f ca="1">IFERROR(IF(0=LEN(ReferenceData!$O$265),"",ReferenceData!$O$265),"")</f>
        <v>98</v>
      </c>
      <c r="P265">
        <f ca="1">IFERROR(IF(0=LEN(ReferenceData!$P$265),"",ReferenceData!$P$265),"")</f>
        <v>140</v>
      </c>
      <c r="Q265">
        <f ca="1">IFERROR(IF(0=LEN(ReferenceData!$Q$265),"",ReferenceData!$Q$265),"")</f>
        <v>118</v>
      </c>
      <c r="R265">
        <f ca="1">IFERROR(IF(0=LEN(ReferenceData!$R$265),"",ReferenceData!$R$265),"")</f>
        <v>81</v>
      </c>
      <c r="S265">
        <f ca="1">IFERROR(IF(0=LEN(ReferenceData!$S$265),"",ReferenceData!$S$265),"")</f>
        <v>104</v>
      </c>
      <c r="T265">
        <f ca="1">IFERROR(IF(0=LEN(ReferenceData!$T$265),"",ReferenceData!$T$265),"")</f>
        <v>131</v>
      </c>
      <c r="U265">
        <f ca="1">IFERROR(IF(0=LEN(ReferenceData!$U$265),"",ReferenceData!$U$265),"")</f>
        <v>111</v>
      </c>
      <c r="V265">
        <f ca="1">IFERROR(IF(0=LEN(ReferenceData!$V$265),"",ReferenceData!$V$265),"")</f>
        <v>121</v>
      </c>
      <c r="W265">
        <f ca="1">IFERROR(IF(0=LEN(ReferenceData!$W$265),"",ReferenceData!$W$265),"")</f>
        <v>98</v>
      </c>
      <c r="X265">
        <f ca="1">IFERROR(IF(0=LEN(ReferenceData!$X$265),"",ReferenceData!$X$265),"")</f>
        <v>97</v>
      </c>
      <c r="Y265">
        <f ca="1">IFERROR(IF(0=LEN(ReferenceData!$Y$265),"",ReferenceData!$Y$265),"")</f>
        <v>98</v>
      </c>
      <c r="Z265">
        <f ca="1">IFERROR(IF(0=LEN(ReferenceData!$Z$265),"",ReferenceData!$Z$265),"")</f>
        <v>88</v>
      </c>
      <c r="AA265">
        <f ca="1">IFERROR(IF(0=LEN(ReferenceData!$AA$265),"",ReferenceData!$AA$265),"")</f>
        <v>68</v>
      </c>
      <c r="AB265">
        <f ca="1">IFERROR(IF(0=LEN(ReferenceData!$AB$265),"",ReferenceData!$AB$265),"")</f>
        <v>129</v>
      </c>
      <c r="AC265">
        <f ca="1">IFERROR(IF(0=LEN(ReferenceData!$AC$265),"",ReferenceData!$AC$265),"")</f>
        <v>103</v>
      </c>
      <c r="AD265">
        <f ca="1">IFERROR(IF(0=LEN(ReferenceData!$AD$265),"",ReferenceData!$AD$265),"")</f>
        <v>96</v>
      </c>
      <c r="AE265">
        <f ca="1">IFERROR(IF(0=LEN(ReferenceData!$AE$265),"",ReferenceData!$AE$265),"")</f>
        <v>90</v>
      </c>
      <c r="AF265">
        <f ca="1">IFERROR(IF(0=LEN(ReferenceData!$AF$265),"",ReferenceData!$AF$265),"")</f>
        <v>90</v>
      </c>
      <c r="AG265">
        <f ca="1">IFERROR(IF(0=LEN(ReferenceData!$AG$265),"",ReferenceData!$AG$265),"")</f>
        <v>90</v>
      </c>
      <c r="AH265">
        <f ca="1">IFERROR(IF(0=LEN(ReferenceData!$AH$265),"",ReferenceData!$AH$265),"")</f>
        <v>105</v>
      </c>
      <c r="AI265">
        <f ca="1">IFERROR(IF(0=LEN(ReferenceData!$AI$265),"",ReferenceData!$AI$265),"")</f>
        <v>61</v>
      </c>
      <c r="AJ265">
        <f ca="1">IFERROR(IF(0=LEN(ReferenceData!$AJ$265),"",ReferenceData!$AJ$265),"")</f>
        <v>234</v>
      </c>
      <c r="AK265">
        <f ca="1">IFERROR(IF(0=LEN(ReferenceData!$AK$265),"",ReferenceData!$AK$265),"")</f>
        <v>86</v>
      </c>
      <c r="AL265">
        <f ca="1">IFERROR(IF(0=LEN(ReferenceData!$AL$265),"",ReferenceData!$AL$265),"")</f>
        <v>118</v>
      </c>
      <c r="AM265">
        <f ca="1">IFERROR(IF(0=LEN(ReferenceData!$AM$265),"",ReferenceData!$AM$265),"")</f>
        <v>113</v>
      </c>
      <c r="AN265">
        <f ca="1">IFERROR(IF(0=LEN(ReferenceData!$AN$265),"",ReferenceData!$AN$265),"")</f>
        <v>116</v>
      </c>
      <c r="AO265">
        <f ca="1">IFERROR(IF(0=LEN(ReferenceData!$AO$265),"",ReferenceData!$AO$265),"")</f>
        <v>107</v>
      </c>
      <c r="AP265">
        <f ca="1">IFERROR(IF(0=LEN(ReferenceData!$AP$265),"",ReferenceData!$AP$265),"")</f>
        <v>107</v>
      </c>
      <c r="AQ265">
        <f ca="1">IFERROR(IF(0=LEN(ReferenceData!$AQ$265),"",ReferenceData!$AQ$265),"")</f>
        <v>64</v>
      </c>
      <c r="AR265">
        <f ca="1">IFERROR(IF(0=LEN(ReferenceData!$AR$265),"",ReferenceData!$AR$265),"")</f>
        <v>119</v>
      </c>
      <c r="AS265">
        <f ca="1">IFERROR(IF(0=LEN(ReferenceData!$AS$265),"",ReferenceData!$AS$265),"")</f>
        <v>129</v>
      </c>
    </row>
    <row r="266" spans="1:45" x14ac:dyDescent="0.25">
      <c r="A266" t="str">
        <f>IFERROR(IF(0=LEN(ReferenceData!$A$266),"",ReferenceData!$A$266),"")</f>
        <v xml:space="preserve">    Daimler - Mercedes-Benz</v>
      </c>
      <c r="B266" t="str">
        <f>IFERROR(IF(0=LEN(ReferenceData!$B$266),"",ReferenceData!$B$266),"")</f>
        <v>DAI GR Equity</v>
      </c>
      <c r="C266" t="str">
        <f>IFERROR(IF(0=LEN(ReferenceData!$C$266),"",ReferenceData!$C$266),"")</f>
        <v>X1701</v>
      </c>
      <c r="D266" t="str">
        <f>IFERROR(IF(0=LEN(ReferenceData!$D$266),"",ReferenceData!$D$266),"")</f>
        <v>WARDS_RETAIL_SALES_UNITS</v>
      </c>
      <c r="E266" t="str">
        <f>IFERROR(IF(0=LEN(ReferenceData!$E$266),"",ReferenceData!$E$266),"")</f>
        <v>Dynamic</v>
      </c>
      <c r="F266" t="str">
        <f ca="1">IFERROR(IF(0=LEN(ReferenceData!$F$266),"",ReferenceData!$F$266),"")</f>
        <v/>
      </c>
      <c r="G266" t="str">
        <f ca="1">IFERROR(IF(0=LEN(ReferenceData!$G$266),"",ReferenceData!$G$266),"")</f>
        <v/>
      </c>
      <c r="H266" t="str">
        <f ca="1">IFERROR(IF(0=LEN(ReferenceData!$H$266),"",ReferenceData!$H$266),"")</f>
        <v/>
      </c>
      <c r="I266" t="str">
        <f ca="1">IFERROR(IF(0=LEN(ReferenceData!$I$266),"",ReferenceData!$I$266),"")</f>
        <v/>
      </c>
      <c r="J266" t="str">
        <f ca="1">IFERROR(IF(0=LEN(ReferenceData!$J$266),"",ReferenceData!$J$266),"")</f>
        <v/>
      </c>
      <c r="K266" t="str">
        <f ca="1">IFERROR(IF(0=LEN(ReferenceData!$K$266),"",ReferenceData!$K$266),"")</f>
        <v/>
      </c>
      <c r="L266" t="str">
        <f ca="1">IFERROR(IF(0=LEN(ReferenceData!$L$266),"",ReferenceData!$L$266),"")</f>
        <v/>
      </c>
      <c r="M266" t="str">
        <f ca="1">IFERROR(IF(0=LEN(ReferenceData!$M$266),"",ReferenceData!$M$266),"")</f>
        <v/>
      </c>
      <c r="N266" t="str">
        <f ca="1">IFERROR(IF(0=LEN(ReferenceData!$N$266),"",ReferenceData!$N$266),"")</f>
        <v/>
      </c>
      <c r="O266" t="str">
        <f ca="1">IFERROR(IF(0=LEN(ReferenceData!$O$266),"",ReferenceData!$O$266),"")</f>
        <v/>
      </c>
      <c r="P266">
        <f ca="1">IFERROR(IF(0=LEN(ReferenceData!$P$266),"",ReferenceData!$P$266),"")</f>
        <v>433</v>
      </c>
      <c r="Q266">
        <f ca="1">IFERROR(IF(0=LEN(ReferenceData!$Q$266),"",ReferenceData!$Q$266),"")</f>
        <v>361</v>
      </c>
      <c r="R266">
        <f ca="1">IFERROR(IF(0=LEN(ReferenceData!$R$266),"",ReferenceData!$R$266),"")</f>
        <v>293</v>
      </c>
      <c r="S266">
        <f ca="1">IFERROR(IF(0=LEN(ReferenceData!$S$266),"",ReferenceData!$S$266),"")</f>
        <v>318</v>
      </c>
      <c r="T266">
        <f ca="1">IFERROR(IF(0=LEN(ReferenceData!$T$266),"",ReferenceData!$T$266),"")</f>
        <v>418</v>
      </c>
      <c r="U266">
        <f ca="1">IFERROR(IF(0=LEN(ReferenceData!$U$266),"",ReferenceData!$U$266),"")</f>
        <v>367</v>
      </c>
      <c r="V266">
        <f ca="1">IFERROR(IF(0=LEN(ReferenceData!$V$266),"",ReferenceData!$V$266),"")</f>
        <v>454</v>
      </c>
      <c r="W266">
        <f ca="1">IFERROR(IF(0=LEN(ReferenceData!$W$266),"",ReferenceData!$W$266),"")</f>
        <v>293</v>
      </c>
      <c r="X266">
        <f ca="1">IFERROR(IF(0=LEN(ReferenceData!$X$266),"",ReferenceData!$X$266),"")</f>
        <v>272</v>
      </c>
      <c r="Y266">
        <f ca="1">IFERROR(IF(0=LEN(ReferenceData!$Y$266),"",ReferenceData!$Y$266),"")</f>
        <v>368</v>
      </c>
      <c r="Z266">
        <f ca="1">IFERROR(IF(0=LEN(ReferenceData!$Z$266),"",ReferenceData!$Z$266),"")</f>
        <v>260</v>
      </c>
      <c r="AA266">
        <f ca="1">IFERROR(IF(0=LEN(ReferenceData!$AA$266),"",ReferenceData!$AA$266),"")</f>
        <v>188</v>
      </c>
      <c r="AB266">
        <f ca="1">IFERROR(IF(0=LEN(ReferenceData!$AB$266),"",ReferenceData!$AB$266),"")</f>
        <v>342</v>
      </c>
      <c r="AC266">
        <f ca="1">IFERROR(IF(0=LEN(ReferenceData!$AC$266),"",ReferenceData!$AC$266),"")</f>
        <v>274</v>
      </c>
      <c r="AD266">
        <f ca="1">IFERROR(IF(0=LEN(ReferenceData!$AD$266),"",ReferenceData!$AD$266),"")</f>
        <v>257</v>
      </c>
      <c r="AE266">
        <f ca="1">IFERROR(IF(0=LEN(ReferenceData!$AE$266),"",ReferenceData!$AE$266),"")</f>
        <v>239</v>
      </c>
      <c r="AF266">
        <f ca="1">IFERROR(IF(0=LEN(ReferenceData!$AF$266),"",ReferenceData!$AF$266),"")</f>
        <v>239</v>
      </c>
      <c r="AG266">
        <f ca="1">IFERROR(IF(0=LEN(ReferenceData!$AG$266),"",ReferenceData!$AG$266),"")</f>
        <v>287</v>
      </c>
      <c r="AH266">
        <f ca="1">IFERROR(IF(0=LEN(ReferenceData!$AH$266),"",ReferenceData!$AH$266),"")</f>
        <v>282</v>
      </c>
      <c r="AI266">
        <f ca="1">IFERROR(IF(0=LEN(ReferenceData!$AI$266),"",ReferenceData!$AI$266),"")</f>
        <v>194</v>
      </c>
      <c r="AJ266">
        <f ca="1">IFERROR(IF(0=LEN(ReferenceData!$AJ$266),"",ReferenceData!$AJ$266),"")</f>
        <v>238</v>
      </c>
      <c r="AK266">
        <f ca="1">IFERROR(IF(0=LEN(ReferenceData!$AK$266),"",ReferenceData!$AK$266),"")</f>
        <v>195</v>
      </c>
      <c r="AL266">
        <f ca="1">IFERROR(IF(0=LEN(ReferenceData!$AL$266),"",ReferenceData!$AL$266),"")</f>
        <v>152</v>
      </c>
      <c r="AM266">
        <f ca="1">IFERROR(IF(0=LEN(ReferenceData!$AM$266),"",ReferenceData!$AM$266),"")</f>
        <v>187</v>
      </c>
      <c r="AN266">
        <f ca="1">IFERROR(IF(0=LEN(ReferenceData!$AN$266),"",ReferenceData!$AN$266),"")</f>
        <v>222</v>
      </c>
      <c r="AO266">
        <f ca="1">IFERROR(IF(0=LEN(ReferenceData!$AO$266),"",ReferenceData!$AO$266),"")</f>
        <v>204</v>
      </c>
      <c r="AP266">
        <f ca="1">IFERROR(IF(0=LEN(ReferenceData!$AP$266),"",ReferenceData!$AP$266),"")</f>
        <v>205</v>
      </c>
      <c r="AQ266">
        <f ca="1">IFERROR(IF(0=LEN(ReferenceData!$AQ$266),"",ReferenceData!$AQ$266),"")</f>
        <v>206</v>
      </c>
      <c r="AR266">
        <f ca="1">IFERROR(IF(0=LEN(ReferenceData!$AR$266),"",ReferenceData!$AR$266),"")</f>
        <v>280</v>
      </c>
      <c r="AS266">
        <f ca="1">IFERROR(IF(0=LEN(ReferenceData!$AS$266),"",ReferenceData!$AS$266),"")</f>
        <v>250</v>
      </c>
    </row>
    <row r="267" spans="1:45" x14ac:dyDescent="0.25">
      <c r="A267" t="str">
        <f>IFERROR(IF(0=LEN(ReferenceData!$A$267),"",ReferenceData!$A$267),"")</f>
        <v xml:space="preserve">    Daimler - Sterling</v>
      </c>
      <c r="B267" t="str">
        <f>IFERROR(IF(0=LEN(ReferenceData!$B$267),"",ReferenceData!$B$267),"")</f>
        <v>DAI GR Equity</v>
      </c>
      <c r="C267" t="str">
        <f>IFERROR(IF(0=LEN(ReferenceData!$C$267),"",ReferenceData!$C$267),"")</f>
        <v>X1701</v>
      </c>
      <c r="D267" t="str">
        <f>IFERROR(IF(0=LEN(ReferenceData!$D$267),"",ReferenceData!$D$267),"")</f>
        <v>WARDS_RETAIL_SALES_UNITS</v>
      </c>
      <c r="E267" t="str">
        <f>IFERROR(IF(0=LEN(ReferenceData!$E$267),"",ReferenceData!$E$267),"")</f>
        <v>Dynamic</v>
      </c>
      <c r="F267" t="str">
        <f ca="1">IFERROR(IF(0=LEN(ReferenceData!$F$267),"",ReferenceData!$F$267),"")</f>
        <v/>
      </c>
      <c r="G267" t="str">
        <f ca="1">IFERROR(IF(0=LEN(ReferenceData!$G$267),"",ReferenceData!$G$267),"")</f>
        <v/>
      </c>
      <c r="H267" t="str">
        <f ca="1">IFERROR(IF(0=LEN(ReferenceData!$H$267),"",ReferenceData!$H$267),"")</f>
        <v/>
      </c>
      <c r="I267" t="str">
        <f ca="1">IFERROR(IF(0=LEN(ReferenceData!$I$267),"",ReferenceData!$I$267),"")</f>
        <v/>
      </c>
      <c r="J267" t="str">
        <f ca="1">IFERROR(IF(0=LEN(ReferenceData!$J$267),"",ReferenceData!$J$267),"")</f>
        <v/>
      </c>
      <c r="K267" t="str">
        <f ca="1">IFERROR(IF(0=LEN(ReferenceData!$K$267),"",ReferenceData!$K$267),"")</f>
        <v/>
      </c>
      <c r="L267" t="str">
        <f ca="1">IFERROR(IF(0=LEN(ReferenceData!$L$267),"",ReferenceData!$L$267),"")</f>
        <v/>
      </c>
      <c r="M267" t="str">
        <f ca="1">IFERROR(IF(0=LEN(ReferenceData!$M$267),"",ReferenceData!$M$267),"")</f>
        <v/>
      </c>
      <c r="N267" t="str">
        <f ca="1">IFERROR(IF(0=LEN(ReferenceData!$N$267),"",ReferenceData!$N$267),"")</f>
        <v/>
      </c>
      <c r="O267" t="str">
        <f ca="1">IFERROR(IF(0=LEN(ReferenceData!$O$267),"",ReferenceData!$O$267),"")</f>
        <v/>
      </c>
      <c r="P267" t="str">
        <f ca="1">IFERROR(IF(0=LEN(ReferenceData!$P$267),"",ReferenceData!$P$267),"")</f>
        <v/>
      </c>
      <c r="Q267" t="str">
        <f ca="1">IFERROR(IF(0=LEN(ReferenceData!$Q$267),"",ReferenceData!$Q$267),"")</f>
        <v/>
      </c>
      <c r="R267" t="str">
        <f ca="1">IFERROR(IF(0=LEN(ReferenceData!$R$267),"",ReferenceData!$R$267),"")</f>
        <v/>
      </c>
      <c r="S267" t="str">
        <f ca="1">IFERROR(IF(0=LEN(ReferenceData!$S$267),"",ReferenceData!$S$267),"")</f>
        <v/>
      </c>
      <c r="T267" t="str">
        <f ca="1">IFERROR(IF(0=LEN(ReferenceData!$T$267),"",ReferenceData!$T$267),"")</f>
        <v/>
      </c>
      <c r="U267" t="str">
        <f ca="1">IFERROR(IF(0=LEN(ReferenceData!$U$267),"",ReferenceData!$U$267),"")</f>
        <v/>
      </c>
      <c r="V267" t="str">
        <f ca="1">IFERROR(IF(0=LEN(ReferenceData!$V$267),"",ReferenceData!$V$267),"")</f>
        <v/>
      </c>
      <c r="W267" t="str">
        <f ca="1">IFERROR(IF(0=LEN(ReferenceData!$W$267),"",ReferenceData!$W$267),"")</f>
        <v/>
      </c>
      <c r="X267" t="str">
        <f ca="1">IFERROR(IF(0=LEN(ReferenceData!$X$267),"",ReferenceData!$X$267),"")</f>
        <v/>
      </c>
      <c r="Y267" t="str">
        <f ca="1">IFERROR(IF(0=LEN(ReferenceData!$Y$267),"",ReferenceData!$Y$267),"")</f>
        <v/>
      </c>
      <c r="Z267" t="str">
        <f ca="1">IFERROR(IF(0=LEN(ReferenceData!$Z$267),"",ReferenceData!$Z$267),"")</f>
        <v/>
      </c>
      <c r="AA267" t="str">
        <f ca="1">IFERROR(IF(0=LEN(ReferenceData!$AA$267),"",ReferenceData!$AA$267),"")</f>
        <v/>
      </c>
      <c r="AB267" t="str">
        <f ca="1">IFERROR(IF(0=LEN(ReferenceData!$AB$267),"",ReferenceData!$AB$267),"")</f>
        <v/>
      </c>
      <c r="AC267" t="str">
        <f ca="1">IFERROR(IF(0=LEN(ReferenceData!$AC$267),"",ReferenceData!$AC$267),"")</f>
        <v/>
      </c>
      <c r="AD267" t="str">
        <f ca="1">IFERROR(IF(0=LEN(ReferenceData!$AD$267),"",ReferenceData!$AD$267),"")</f>
        <v/>
      </c>
      <c r="AE267" t="str">
        <f ca="1">IFERROR(IF(0=LEN(ReferenceData!$AE$267),"",ReferenceData!$AE$267),"")</f>
        <v/>
      </c>
      <c r="AF267" t="str">
        <f ca="1">IFERROR(IF(0=LEN(ReferenceData!$AF$267),"",ReferenceData!$AF$267),"")</f>
        <v/>
      </c>
      <c r="AG267" t="str">
        <f ca="1">IFERROR(IF(0=LEN(ReferenceData!$AG$267),"",ReferenceData!$AG$267),"")</f>
        <v/>
      </c>
      <c r="AH267" t="str">
        <f ca="1">IFERROR(IF(0=LEN(ReferenceData!$AH$267),"",ReferenceData!$AH$267),"")</f>
        <v/>
      </c>
      <c r="AI267" t="str">
        <f ca="1">IFERROR(IF(0=LEN(ReferenceData!$AI$267),"",ReferenceData!$AI$267),"")</f>
        <v/>
      </c>
      <c r="AJ267" t="str">
        <f ca="1">IFERROR(IF(0=LEN(ReferenceData!$AJ$267),"",ReferenceData!$AJ$267),"")</f>
        <v/>
      </c>
      <c r="AK267" t="str">
        <f ca="1">IFERROR(IF(0=LEN(ReferenceData!$AK$267),"",ReferenceData!$AK$267),"")</f>
        <v/>
      </c>
      <c r="AL267" t="str">
        <f ca="1">IFERROR(IF(0=LEN(ReferenceData!$AL$267),"",ReferenceData!$AL$267),"")</f>
        <v/>
      </c>
      <c r="AM267" t="str">
        <f ca="1">IFERROR(IF(0=LEN(ReferenceData!$AM$267),"",ReferenceData!$AM$267),"")</f>
        <v/>
      </c>
      <c r="AN267" t="str">
        <f ca="1">IFERROR(IF(0=LEN(ReferenceData!$AN$267),"",ReferenceData!$AN$267),"")</f>
        <v/>
      </c>
      <c r="AO267" t="str">
        <f ca="1">IFERROR(IF(0=LEN(ReferenceData!$AO$267),"",ReferenceData!$AO$267),"")</f>
        <v/>
      </c>
      <c r="AP267" t="str">
        <f ca="1">IFERROR(IF(0=LEN(ReferenceData!$AP$267),"",ReferenceData!$AP$267),"")</f>
        <v/>
      </c>
      <c r="AQ267" t="str">
        <f ca="1">IFERROR(IF(0=LEN(ReferenceData!$AQ$267),"",ReferenceData!$AQ$267),"")</f>
        <v/>
      </c>
      <c r="AR267" t="str">
        <f ca="1">IFERROR(IF(0=LEN(ReferenceData!$AR$267),"",ReferenceData!$AR$267),"")</f>
        <v/>
      </c>
      <c r="AS267" t="str">
        <f ca="1">IFERROR(IF(0=LEN(ReferenceData!$AS$267),"",ReferenceData!$AS$267),"")</f>
        <v/>
      </c>
    </row>
    <row r="268" spans="1:45" x14ac:dyDescent="0.25">
      <c r="A268" t="str">
        <f>IFERROR(IF(0=LEN(ReferenceData!$A$268),"",ReferenceData!$A$268),"")</f>
        <v xml:space="preserve">    Navistar - International</v>
      </c>
      <c r="B268" t="str">
        <f>IFERROR(IF(0=LEN(ReferenceData!$B$268),"",ReferenceData!$B$268),"")</f>
        <v>NAV US Equity</v>
      </c>
      <c r="C268" t="str">
        <f>IFERROR(IF(0=LEN(ReferenceData!$C$268),"",ReferenceData!$C$268),"")</f>
        <v>X1701</v>
      </c>
      <c r="D268" t="str">
        <f>IFERROR(IF(0=LEN(ReferenceData!$D$268),"",ReferenceData!$D$268),"")</f>
        <v>WARDS_RETAIL_SALES_UNITS</v>
      </c>
      <c r="E268" t="str">
        <f>IFERROR(IF(0=LEN(ReferenceData!$E$268),"",ReferenceData!$E$268),"")</f>
        <v>Dynamic</v>
      </c>
      <c r="F268">
        <f ca="1">IFERROR(IF(0=LEN(ReferenceData!$F$268),"",ReferenceData!$F$268),"")</f>
        <v>169</v>
      </c>
      <c r="G268">
        <f ca="1">IFERROR(IF(0=LEN(ReferenceData!$G$268),"",ReferenceData!$G$268),"")</f>
        <v>120</v>
      </c>
      <c r="H268">
        <f ca="1">IFERROR(IF(0=LEN(ReferenceData!$H$268),"",ReferenceData!$H$268),"")</f>
        <v>180</v>
      </c>
      <c r="I268">
        <f ca="1">IFERROR(IF(0=LEN(ReferenceData!$I$268),"",ReferenceData!$I$268),"")</f>
        <v>115</v>
      </c>
      <c r="J268">
        <f ca="1">IFERROR(IF(0=LEN(ReferenceData!$J$268),"",ReferenceData!$J$268),"")</f>
        <v>117</v>
      </c>
      <c r="K268">
        <f ca="1">IFERROR(IF(0=LEN(ReferenceData!$K$268),"",ReferenceData!$K$268),"")</f>
        <v>109</v>
      </c>
      <c r="L268">
        <f ca="1">IFERROR(IF(0=LEN(ReferenceData!$L$268),"",ReferenceData!$L$268),"")</f>
        <v>113</v>
      </c>
      <c r="M268">
        <f ca="1">IFERROR(IF(0=LEN(ReferenceData!$M$268),"",ReferenceData!$M$268),"")</f>
        <v>118</v>
      </c>
      <c r="N268">
        <f ca="1">IFERROR(IF(0=LEN(ReferenceData!$N$268),"",ReferenceData!$N$268),"")</f>
        <v>161</v>
      </c>
      <c r="O268">
        <f ca="1">IFERROR(IF(0=LEN(ReferenceData!$O$268),"",ReferenceData!$O$268),"")</f>
        <v>173</v>
      </c>
      <c r="P268">
        <f ca="1">IFERROR(IF(0=LEN(ReferenceData!$P$268),"",ReferenceData!$P$268),"")</f>
        <v>134</v>
      </c>
      <c r="Q268">
        <f ca="1">IFERROR(IF(0=LEN(ReferenceData!$Q$268),"",ReferenceData!$Q$268),"")</f>
        <v>79</v>
      </c>
      <c r="R268">
        <f ca="1">IFERROR(IF(0=LEN(ReferenceData!$R$268),"",ReferenceData!$R$268),"")</f>
        <v>150</v>
      </c>
      <c r="S268">
        <f ca="1">IFERROR(IF(0=LEN(ReferenceData!$S$268),"",ReferenceData!$S$268),"")</f>
        <v>197</v>
      </c>
      <c r="T268">
        <f ca="1">IFERROR(IF(0=LEN(ReferenceData!$T$268),"",ReferenceData!$T$268),"")</f>
        <v>153</v>
      </c>
      <c r="U268">
        <f ca="1">IFERROR(IF(0=LEN(ReferenceData!$U$268),"",ReferenceData!$U$268),"")</f>
        <v>182</v>
      </c>
      <c r="V268">
        <f ca="1">IFERROR(IF(0=LEN(ReferenceData!$V$268),"",ReferenceData!$V$268),"")</f>
        <v>157</v>
      </c>
      <c r="W268">
        <f ca="1">IFERROR(IF(0=LEN(ReferenceData!$W$268),"",ReferenceData!$W$268),"")</f>
        <v>103</v>
      </c>
      <c r="X268">
        <f ca="1">IFERROR(IF(0=LEN(ReferenceData!$X$268),"",ReferenceData!$X$268),"")</f>
        <v>121</v>
      </c>
      <c r="Y268">
        <f ca="1">IFERROR(IF(0=LEN(ReferenceData!$Y$268),"",ReferenceData!$Y$268),"")</f>
        <v>145</v>
      </c>
      <c r="Z268">
        <f ca="1">IFERROR(IF(0=LEN(ReferenceData!$Z$268),"",ReferenceData!$Z$268),"")</f>
        <v>125</v>
      </c>
      <c r="AA268">
        <f ca="1">IFERROR(IF(0=LEN(ReferenceData!$AA$268),"",ReferenceData!$AA$268),"")</f>
        <v>76</v>
      </c>
      <c r="AB268">
        <f ca="1">IFERROR(IF(0=LEN(ReferenceData!$AB$268),"",ReferenceData!$AB$268),"")</f>
        <v>143</v>
      </c>
      <c r="AC268">
        <f ca="1">IFERROR(IF(0=LEN(ReferenceData!$AC$268),"",ReferenceData!$AC$268),"")</f>
        <v>113</v>
      </c>
      <c r="AD268">
        <f ca="1">IFERROR(IF(0=LEN(ReferenceData!$AD$268),"",ReferenceData!$AD$268),"")</f>
        <v>112</v>
      </c>
      <c r="AE268">
        <f ca="1">IFERROR(IF(0=LEN(ReferenceData!$AE$268),"",ReferenceData!$AE$268),"")</f>
        <v>122</v>
      </c>
      <c r="AF268">
        <f ca="1">IFERROR(IF(0=LEN(ReferenceData!$AF$268),"",ReferenceData!$AF$268),"")</f>
        <v>90</v>
      </c>
      <c r="AG268">
        <f ca="1">IFERROR(IF(0=LEN(ReferenceData!$AG$268),"",ReferenceData!$AG$268),"")</f>
        <v>92</v>
      </c>
      <c r="AH268">
        <f ca="1">IFERROR(IF(0=LEN(ReferenceData!$AH$268),"",ReferenceData!$AH$268),"")</f>
        <v>108</v>
      </c>
      <c r="AI268">
        <f ca="1">IFERROR(IF(0=LEN(ReferenceData!$AI$268),"",ReferenceData!$AI$268),"")</f>
        <v>128</v>
      </c>
      <c r="AJ268">
        <f ca="1">IFERROR(IF(0=LEN(ReferenceData!$AJ$268),"",ReferenceData!$AJ$268),"")</f>
        <v>129</v>
      </c>
      <c r="AK268">
        <f ca="1">IFERROR(IF(0=LEN(ReferenceData!$AK$268),"",ReferenceData!$AK$268),"")</f>
        <v>70</v>
      </c>
      <c r="AL268">
        <f ca="1">IFERROR(IF(0=LEN(ReferenceData!$AL$268),"",ReferenceData!$AL$268),"")</f>
        <v>119</v>
      </c>
      <c r="AM268">
        <f ca="1">IFERROR(IF(0=LEN(ReferenceData!$AM$268),"",ReferenceData!$AM$268),"")</f>
        <v>74</v>
      </c>
      <c r="AN268">
        <f ca="1">IFERROR(IF(0=LEN(ReferenceData!$AN$268),"",ReferenceData!$AN$268),"")</f>
        <v>139</v>
      </c>
      <c r="AO268">
        <f ca="1">IFERROR(IF(0=LEN(ReferenceData!$AO$268),"",ReferenceData!$AO$268),"")</f>
        <v>126</v>
      </c>
      <c r="AP268">
        <f ca="1">IFERROR(IF(0=LEN(ReferenceData!$AP$268),"",ReferenceData!$AP$268),"")</f>
        <v>128</v>
      </c>
      <c r="AQ268">
        <f ca="1">IFERROR(IF(0=LEN(ReferenceData!$AQ$268),"",ReferenceData!$AQ$268),"")</f>
        <v>75</v>
      </c>
      <c r="AR268">
        <f ca="1">IFERROR(IF(0=LEN(ReferenceData!$AR$268),"",ReferenceData!$AR$268),"")</f>
        <v>99</v>
      </c>
      <c r="AS268">
        <f ca="1">IFERROR(IF(0=LEN(ReferenceData!$AS$268),"",ReferenceData!$AS$268),"")</f>
        <v>98</v>
      </c>
    </row>
    <row r="269" spans="1:45" x14ac:dyDescent="0.25">
      <c r="A269" t="str">
        <f>IFERROR(IF(0=LEN(ReferenceData!$A$269),"",ReferenceData!$A$269),"")</f>
        <v xml:space="preserve">    Isuzu</v>
      </c>
      <c r="B269" t="str">
        <f>IFERROR(IF(0=LEN(ReferenceData!$B$269),"",ReferenceData!$B$269),"")</f>
        <v>7202 JP Equity</v>
      </c>
      <c r="C269" t="str">
        <f>IFERROR(IF(0=LEN(ReferenceData!$C$269),"",ReferenceData!$C$269),"")</f>
        <v>X1701</v>
      </c>
      <c r="D269" t="str">
        <f>IFERROR(IF(0=LEN(ReferenceData!$D$269),"",ReferenceData!$D$269),"")</f>
        <v>WARDS_RETAIL_SALES_UNITS</v>
      </c>
      <c r="E269" t="str">
        <f>IFERROR(IF(0=LEN(ReferenceData!$E$269),"",ReferenceData!$E$269),"")</f>
        <v>Dynamic</v>
      </c>
      <c r="F269" t="str">
        <f ca="1">IFERROR(IF(0=LEN(ReferenceData!$F$269),"",ReferenceData!$F$269),"")</f>
        <v/>
      </c>
      <c r="G269">
        <f ca="1">IFERROR(IF(0=LEN(ReferenceData!$G$269),"",ReferenceData!$G$269),"")</f>
        <v>0</v>
      </c>
      <c r="H269">
        <f ca="1">IFERROR(IF(0=LEN(ReferenceData!$H$269),"",ReferenceData!$H$269),"")</f>
        <v>0</v>
      </c>
      <c r="I269">
        <f ca="1">IFERROR(IF(0=LEN(ReferenceData!$I$269),"",ReferenceData!$I$269),"")</f>
        <v>0</v>
      </c>
      <c r="J269">
        <f ca="1">IFERROR(IF(0=LEN(ReferenceData!$J$269),"",ReferenceData!$J$269),"")</f>
        <v>0</v>
      </c>
      <c r="K269">
        <f ca="1">IFERROR(IF(0=LEN(ReferenceData!$K$269),"",ReferenceData!$K$269),"")</f>
        <v>0</v>
      </c>
      <c r="L269">
        <f ca="1">IFERROR(IF(0=LEN(ReferenceData!$L$269),"",ReferenceData!$L$269),"")</f>
        <v>0</v>
      </c>
      <c r="M269">
        <f ca="1">IFERROR(IF(0=LEN(ReferenceData!$M$269),"",ReferenceData!$M$269),"")</f>
        <v>0</v>
      </c>
      <c r="N269">
        <f ca="1">IFERROR(IF(0=LEN(ReferenceData!$N$269),"",ReferenceData!$N$269),"")</f>
        <v>0</v>
      </c>
      <c r="O269">
        <f ca="1">IFERROR(IF(0=LEN(ReferenceData!$O$269),"",ReferenceData!$O$269),"")</f>
        <v>0</v>
      </c>
      <c r="P269">
        <f ca="1">IFERROR(IF(0=LEN(ReferenceData!$P$269),"",ReferenceData!$P$269),"")</f>
        <v>42</v>
      </c>
      <c r="Q269">
        <f ca="1">IFERROR(IF(0=LEN(ReferenceData!$Q$269),"",ReferenceData!$Q$269),"")</f>
        <v>36</v>
      </c>
      <c r="R269">
        <f ca="1">IFERROR(IF(0=LEN(ReferenceData!$R$269),"",ReferenceData!$R$269),"")</f>
        <v>19</v>
      </c>
      <c r="S269">
        <f ca="1">IFERROR(IF(0=LEN(ReferenceData!$S$269),"",ReferenceData!$S$269),"")</f>
        <v>32</v>
      </c>
      <c r="T269">
        <f ca="1">IFERROR(IF(0=LEN(ReferenceData!$T$269),"",ReferenceData!$T$269),"")</f>
        <v>38</v>
      </c>
      <c r="U269">
        <f ca="1">IFERROR(IF(0=LEN(ReferenceData!$U$269),"",ReferenceData!$U$269),"")</f>
        <v>31</v>
      </c>
      <c r="V269">
        <f ca="1">IFERROR(IF(0=LEN(ReferenceData!$V$269),"",ReferenceData!$V$269),"")</f>
        <v>26</v>
      </c>
      <c r="W269">
        <f ca="1">IFERROR(IF(0=LEN(ReferenceData!$W$269),"",ReferenceData!$W$269),"")</f>
        <v>31</v>
      </c>
      <c r="X269">
        <f ca="1">IFERROR(IF(0=LEN(ReferenceData!$X$269),"",ReferenceData!$X$269),"")</f>
        <v>33</v>
      </c>
      <c r="Y269">
        <f ca="1">IFERROR(IF(0=LEN(ReferenceData!$Y$269),"",ReferenceData!$Y$269),"")</f>
        <v>21</v>
      </c>
      <c r="Z269">
        <f ca="1">IFERROR(IF(0=LEN(ReferenceData!$Z$269),"",ReferenceData!$Z$269),"")</f>
        <v>28</v>
      </c>
      <c r="AA269">
        <f ca="1">IFERROR(IF(0=LEN(ReferenceData!$AA$269),"",ReferenceData!$AA$269),"")</f>
        <v>23</v>
      </c>
      <c r="AB269">
        <f ca="1">IFERROR(IF(0=LEN(ReferenceData!$AB$269),"",ReferenceData!$AB$269),"")</f>
        <v>94</v>
      </c>
      <c r="AC269">
        <f ca="1">IFERROR(IF(0=LEN(ReferenceData!$AC$269),"",ReferenceData!$AC$269),"")</f>
        <v>75</v>
      </c>
      <c r="AD269">
        <f ca="1">IFERROR(IF(0=LEN(ReferenceData!$AD$269),"",ReferenceData!$AD$269),"")</f>
        <v>70</v>
      </c>
      <c r="AE269">
        <f ca="1">IFERROR(IF(0=LEN(ReferenceData!$AE$269),"",ReferenceData!$AE$269),"")</f>
        <v>66</v>
      </c>
      <c r="AF269">
        <f ca="1">IFERROR(IF(0=LEN(ReferenceData!$AF$269),"",ReferenceData!$AF$269),"")</f>
        <v>66</v>
      </c>
      <c r="AG269">
        <f ca="1">IFERROR(IF(0=LEN(ReferenceData!$AG$269),"",ReferenceData!$AG$269),"")</f>
        <v>66</v>
      </c>
      <c r="AH269">
        <f ca="1">IFERROR(IF(0=LEN(ReferenceData!$AH$269),"",ReferenceData!$AH$269),"")</f>
        <v>63</v>
      </c>
      <c r="AI269">
        <f ca="1">IFERROR(IF(0=LEN(ReferenceData!$AI$269),"",ReferenceData!$AI$269),"")</f>
        <v>59</v>
      </c>
      <c r="AJ269">
        <f ca="1">IFERROR(IF(0=LEN(ReferenceData!$AJ$269),"",ReferenceData!$AJ$269),"")</f>
        <v>56</v>
      </c>
      <c r="AK269">
        <f ca="1">IFERROR(IF(0=LEN(ReferenceData!$AK$269),"",ReferenceData!$AK$269),"")</f>
        <v>73</v>
      </c>
      <c r="AL269">
        <f ca="1">IFERROR(IF(0=LEN(ReferenceData!$AL$269),"",ReferenceData!$AL$269),"")</f>
        <v>68</v>
      </c>
      <c r="AM269">
        <f ca="1">IFERROR(IF(0=LEN(ReferenceData!$AM$269),"",ReferenceData!$AM$269),"")</f>
        <v>73</v>
      </c>
      <c r="AN269">
        <f ca="1">IFERROR(IF(0=LEN(ReferenceData!$AN$269),"",ReferenceData!$AN$269),"")</f>
        <v>100</v>
      </c>
      <c r="AO269">
        <f ca="1">IFERROR(IF(0=LEN(ReferenceData!$AO$269),"",ReferenceData!$AO$269),"")</f>
        <v>91</v>
      </c>
      <c r="AP269">
        <f ca="1">IFERROR(IF(0=LEN(ReferenceData!$AP$269),"",ReferenceData!$AP$269),"")</f>
        <v>94</v>
      </c>
      <c r="AQ269">
        <f ca="1">IFERROR(IF(0=LEN(ReferenceData!$AQ$269),"",ReferenceData!$AQ$269),"")</f>
        <v>28</v>
      </c>
      <c r="AR269">
        <f ca="1">IFERROR(IF(0=LEN(ReferenceData!$AR$269),"",ReferenceData!$AR$269),"")</f>
        <v>27</v>
      </c>
      <c r="AS269">
        <f ca="1">IFERROR(IF(0=LEN(ReferenceData!$AS$269),"",ReferenceData!$AS$269),"")</f>
        <v>25</v>
      </c>
    </row>
    <row r="270" spans="1:45" x14ac:dyDescent="0.25">
      <c r="A270" t="str">
        <f>IFERROR(IF(0=LEN(ReferenceData!$A$270),"",ReferenceData!$A$270),"")</f>
        <v xml:space="preserve">    Hino</v>
      </c>
      <c r="B270" t="str">
        <f>IFERROR(IF(0=LEN(ReferenceData!$B$270),"",ReferenceData!$B$270),"")</f>
        <v>7205 JP Equity</v>
      </c>
      <c r="C270" t="str">
        <f>IFERROR(IF(0=LEN(ReferenceData!$C$270),"",ReferenceData!$C$270),"")</f>
        <v>X1701</v>
      </c>
      <c r="D270" t="str">
        <f>IFERROR(IF(0=LEN(ReferenceData!$D$270),"",ReferenceData!$D$270),"")</f>
        <v>WARDS_RETAIL_SALES_UNITS</v>
      </c>
      <c r="E270" t="str">
        <f>IFERROR(IF(0=LEN(ReferenceData!$E$270),"",ReferenceData!$E$270),"")</f>
        <v>Dynamic</v>
      </c>
      <c r="F270" t="str">
        <f ca="1">IFERROR(IF(0=LEN(ReferenceData!$F$270),"",ReferenceData!$F$270),"")</f>
        <v/>
      </c>
      <c r="G270" t="str">
        <f ca="1">IFERROR(IF(0=LEN(ReferenceData!$G$270),"",ReferenceData!$G$270),"")</f>
        <v/>
      </c>
      <c r="H270" t="str">
        <f ca="1">IFERROR(IF(0=LEN(ReferenceData!$H$270),"",ReferenceData!$H$270),"")</f>
        <v/>
      </c>
      <c r="I270" t="str">
        <f ca="1">IFERROR(IF(0=LEN(ReferenceData!$I$270),"",ReferenceData!$I$270),"")</f>
        <v/>
      </c>
      <c r="J270" t="str">
        <f ca="1">IFERROR(IF(0=LEN(ReferenceData!$J$270),"",ReferenceData!$J$270),"")</f>
        <v/>
      </c>
      <c r="K270" t="str">
        <f ca="1">IFERROR(IF(0=LEN(ReferenceData!$K$270),"",ReferenceData!$K$270),"")</f>
        <v/>
      </c>
      <c r="L270" t="str">
        <f ca="1">IFERROR(IF(0=LEN(ReferenceData!$L$270),"",ReferenceData!$L$270),"")</f>
        <v/>
      </c>
      <c r="M270" t="str">
        <f ca="1">IFERROR(IF(0=LEN(ReferenceData!$M$270),"",ReferenceData!$M$270),"")</f>
        <v/>
      </c>
      <c r="N270" t="str">
        <f ca="1">IFERROR(IF(0=LEN(ReferenceData!$N$270),"",ReferenceData!$N$270),"")</f>
        <v/>
      </c>
      <c r="O270" t="str">
        <f ca="1">IFERROR(IF(0=LEN(ReferenceData!$O$270),"",ReferenceData!$O$270),"")</f>
        <v/>
      </c>
      <c r="P270">
        <f ca="1">IFERROR(IF(0=LEN(ReferenceData!$P$270),"",ReferenceData!$P$270),"")</f>
        <v>120</v>
      </c>
      <c r="Q270">
        <f ca="1">IFERROR(IF(0=LEN(ReferenceData!$Q$270),"",ReferenceData!$Q$270),"")</f>
        <v>92</v>
      </c>
      <c r="R270">
        <f ca="1">IFERROR(IF(0=LEN(ReferenceData!$R$270),"",ReferenceData!$R$270),"")</f>
        <v>78</v>
      </c>
      <c r="S270">
        <f ca="1">IFERROR(IF(0=LEN(ReferenceData!$S$270),"",ReferenceData!$S$270),"")</f>
        <v>82</v>
      </c>
      <c r="T270">
        <f ca="1">IFERROR(IF(0=LEN(ReferenceData!$T$270),"",ReferenceData!$T$270),"")</f>
        <v>73</v>
      </c>
      <c r="U270">
        <f ca="1">IFERROR(IF(0=LEN(ReferenceData!$U$270),"",ReferenceData!$U$270),"")</f>
        <v>61</v>
      </c>
      <c r="V270">
        <f ca="1">IFERROR(IF(0=LEN(ReferenceData!$V$270),"",ReferenceData!$V$270),"")</f>
        <v>64</v>
      </c>
      <c r="W270">
        <f ca="1">IFERROR(IF(0=LEN(ReferenceData!$W$270),"",ReferenceData!$W$270),"")</f>
        <v>76</v>
      </c>
      <c r="X270">
        <f ca="1">IFERROR(IF(0=LEN(ReferenceData!$X$270),"",ReferenceData!$X$270),"")</f>
        <v>75</v>
      </c>
      <c r="Y270">
        <f ca="1">IFERROR(IF(0=LEN(ReferenceData!$Y$270),"",ReferenceData!$Y$270),"")</f>
        <v>61</v>
      </c>
      <c r="Z270">
        <f ca="1">IFERROR(IF(0=LEN(ReferenceData!$Z$270),"",ReferenceData!$Z$270),"")</f>
        <v>53</v>
      </c>
      <c r="AA270">
        <f ca="1">IFERROR(IF(0=LEN(ReferenceData!$AA$270),"",ReferenceData!$AA$270),"")</f>
        <v>69</v>
      </c>
      <c r="AB270">
        <f ca="1">IFERROR(IF(0=LEN(ReferenceData!$AB$270),"",ReferenceData!$AB$270),"")</f>
        <v>69</v>
      </c>
      <c r="AC270">
        <f ca="1">IFERROR(IF(0=LEN(ReferenceData!$AC$270),"",ReferenceData!$AC$270),"")</f>
        <v>55</v>
      </c>
      <c r="AD270">
        <f ca="1">IFERROR(IF(0=LEN(ReferenceData!$AD$270),"",ReferenceData!$AD$270),"")</f>
        <v>51</v>
      </c>
      <c r="AE270">
        <f ca="1">IFERROR(IF(0=LEN(ReferenceData!$AE$270),"",ReferenceData!$AE$270),"")</f>
        <v>48</v>
      </c>
      <c r="AF270">
        <f ca="1">IFERROR(IF(0=LEN(ReferenceData!$AF$270),"",ReferenceData!$AF$270),"")</f>
        <v>48</v>
      </c>
      <c r="AG270">
        <f ca="1">IFERROR(IF(0=LEN(ReferenceData!$AG$270),"",ReferenceData!$AG$270),"")</f>
        <v>48</v>
      </c>
      <c r="AH270">
        <f ca="1">IFERROR(IF(0=LEN(ReferenceData!$AH$270),"",ReferenceData!$AH$270),"")</f>
        <v>46</v>
      </c>
      <c r="AI270">
        <f ca="1">IFERROR(IF(0=LEN(ReferenceData!$AI$270),"",ReferenceData!$AI$270),"")</f>
        <v>42</v>
      </c>
      <c r="AJ270">
        <f ca="1">IFERROR(IF(0=LEN(ReferenceData!$AJ$270),"",ReferenceData!$AJ$270),"")</f>
        <v>40</v>
      </c>
      <c r="AK270">
        <f ca="1">IFERROR(IF(0=LEN(ReferenceData!$AK$270),"",ReferenceData!$AK$270),"")</f>
        <v>53</v>
      </c>
      <c r="AL270">
        <f ca="1">IFERROR(IF(0=LEN(ReferenceData!$AL$270),"",ReferenceData!$AL$270),"")</f>
        <v>49</v>
      </c>
      <c r="AM270">
        <f ca="1">IFERROR(IF(0=LEN(ReferenceData!$AM$270),"",ReferenceData!$AM$270),"")</f>
        <v>53</v>
      </c>
      <c r="AN270">
        <f ca="1">IFERROR(IF(0=LEN(ReferenceData!$AN$270),"",ReferenceData!$AN$270),"")</f>
        <v>87</v>
      </c>
      <c r="AO270">
        <f ca="1">IFERROR(IF(0=LEN(ReferenceData!$AO$270),"",ReferenceData!$AO$270),"")</f>
        <v>81</v>
      </c>
      <c r="AP270">
        <f ca="1">IFERROR(IF(0=LEN(ReferenceData!$AP$270),"",ReferenceData!$AP$270),"")</f>
        <v>79</v>
      </c>
      <c r="AQ270">
        <f ca="1">IFERROR(IF(0=LEN(ReferenceData!$AQ$270),"",ReferenceData!$AQ$270),"")</f>
        <v>32</v>
      </c>
      <c r="AR270">
        <f ca="1">IFERROR(IF(0=LEN(ReferenceData!$AR$270),"",ReferenceData!$AR$270),"")</f>
        <v>23</v>
      </c>
      <c r="AS270">
        <f ca="1">IFERROR(IF(0=LEN(ReferenceData!$AS$270),"",ReferenceData!$AS$270),"")</f>
        <v>29</v>
      </c>
    </row>
    <row r="271" spans="1:45" x14ac:dyDescent="0.25">
      <c r="A271" t="str">
        <f>IFERROR(IF(0=LEN(ReferenceData!$A$271),"",ReferenceData!$A$271),"")</f>
        <v xml:space="preserve">    Dina Camiones</v>
      </c>
      <c r="B271" t="str">
        <f>IFERROR(IF(0=LEN(ReferenceData!$B$271),"",ReferenceData!$B$271),"")</f>
        <v>8128757Z MM Equity</v>
      </c>
      <c r="C271" t="str">
        <f>IFERROR(IF(0=LEN(ReferenceData!$C$271),"",ReferenceData!$C$271),"")</f>
        <v>X1701</v>
      </c>
      <c r="D271" t="str">
        <f>IFERROR(IF(0=LEN(ReferenceData!$D$271),"",ReferenceData!$D$271),"")</f>
        <v>WARDS_RETAIL_SALES_UNITS</v>
      </c>
      <c r="E271" t="str">
        <f>IFERROR(IF(0=LEN(ReferenceData!$E$271),"",ReferenceData!$E$271),"")</f>
        <v>Dynamic</v>
      </c>
      <c r="F271" t="str">
        <f ca="1">IFERROR(IF(0=LEN(ReferenceData!$F$271),"",ReferenceData!$F$271),"")</f>
        <v/>
      </c>
      <c r="G271" t="str">
        <f ca="1">IFERROR(IF(0=LEN(ReferenceData!$G$271),"",ReferenceData!$G$271),"")</f>
        <v/>
      </c>
      <c r="H271" t="str">
        <f ca="1">IFERROR(IF(0=LEN(ReferenceData!$H$271),"",ReferenceData!$H$271),"")</f>
        <v/>
      </c>
      <c r="I271" t="str">
        <f ca="1">IFERROR(IF(0=LEN(ReferenceData!$I$271),"",ReferenceData!$I$271),"")</f>
        <v/>
      </c>
      <c r="J271" t="str">
        <f ca="1">IFERROR(IF(0=LEN(ReferenceData!$J$271),"",ReferenceData!$J$271),"")</f>
        <v/>
      </c>
      <c r="K271" t="str">
        <f ca="1">IFERROR(IF(0=LEN(ReferenceData!$K$271),"",ReferenceData!$K$271),"")</f>
        <v/>
      </c>
      <c r="L271" t="str">
        <f ca="1">IFERROR(IF(0=LEN(ReferenceData!$L$271),"",ReferenceData!$L$271),"")</f>
        <v/>
      </c>
      <c r="M271" t="str">
        <f ca="1">IFERROR(IF(0=LEN(ReferenceData!$M$271),"",ReferenceData!$M$271),"")</f>
        <v/>
      </c>
      <c r="N271" t="str">
        <f ca="1">IFERROR(IF(0=LEN(ReferenceData!$N$271),"",ReferenceData!$N$271),"")</f>
        <v/>
      </c>
      <c r="O271" t="str">
        <f ca="1">IFERROR(IF(0=LEN(ReferenceData!$O$271),"",ReferenceData!$O$271),"")</f>
        <v/>
      </c>
      <c r="P271">
        <f ca="1">IFERROR(IF(0=LEN(ReferenceData!$P$271),"",ReferenceData!$P$271),"")</f>
        <v>14</v>
      </c>
      <c r="Q271">
        <f ca="1">IFERROR(IF(0=LEN(ReferenceData!$Q$271),"",ReferenceData!$Q$271),"")</f>
        <v>12</v>
      </c>
      <c r="R271">
        <f ca="1">IFERROR(IF(0=LEN(ReferenceData!$R$271),"",ReferenceData!$R$271),"")</f>
        <v>10</v>
      </c>
      <c r="S271">
        <f ca="1">IFERROR(IF(0=LEN(ReferenceData!$S$271),"",ReferenceData!$S$271),"")</f>
        <v>10</v>
      </c>
      <c r="T271">
        <f ca="1">IFERROR(IF(0=LEN(ReferenceData!$T$271),"",ReferenceData!$T$271),"")</f>
        <v>14</v>
      </c>
      <c r="U271">
        <f ca="1">IFERROR(IF(0=LEN(ReferenceData!$U$271),"",ReferenceData!$U$271),"")</f>
        <v>12</v>
      </c>
      <c r="V271">
        <f ca="1">IFERROR(IF(0=LEN(ReferenceData!$V$271),"",ReferenceData!$V$271),"")</f>
        <v>15</v>
      </c>
      <c r="W271">
        <f ca="1">IFERROR(IF(0=LEN(ReferenceData!$W$271),"",ReferenceData!$W$271),"")</f>
        <v>10</v>
      </c>
      <c r="X271">
        <f ca="1">IFERROR(IF(0=LEN(ReferenceData!$X$271),"",ReferenceData!$X$271),"")</f>
        <v>9</v>
      </c>
      <c r="Y271">
        <f ca="1">IFERROR(IF(0=LEN(ReferenceData!$Y$271),"",ReferenceData!$Y$271),"")</f>
        <v>13</v>
      </c>
      <c r="Z271">
        <f ca="1">IFERROR(IF(0=LEN(ReferenceData!$Z$271),"",ReferenceData!$Z$271),"")</f>
        <v>8</v>
      </c>
      <c r="AA271">
        <f ca="1">IFERROR(IF(0=LEN(ReferenceData!$AA$271),"",ReferenceData!$AA$271),"")</f>
        <v>6</v>
      </c>
      <c r="AB271">
        <f ca="1">IFERROR(IF(0=LEN(ReferenceData!$AB$271),"",ReferenceData!$AB$271),"")</f>
        <v>52</v>
      </c>
      <c r="AC271">
        <f ca="1">IFERROR(IF(0=LEN(ReferenceData!$AC$271),"",ReferenceData!$AC$271),"")</f>
        <v>42</v>
      </c>
      <c r="AD271">
        <f ca="1">IFERROR(IF(0=LEN(ReferenceData!$AD$271),"",ReferenceData!$AD$271),"")</f>
        <v>39</v>
      </c>
      <c r="AE271">
        <f ca="1">IFERROR(IF(0=LEN(ReferenceData!$AE$271),"",ReferenceData!$AE$271),"")</f>
        <v>37</v>
      </c>
      <c r="AF271">
        <f ca="1">IFERROR(IF(0=LEN(ReferenceData!$AF$271),"",ReferenceData!$AF$271),"")</f>
        <v>37</v>
      </c>
      <c r="AG271">
        <f ca="1">IFERROR(IF(0=LEN(ReferenceData!$AG$271),"",ReferenceData!$AG$271),"")</f>
        <v>37</v>
      </c>
      <c r="AH271">
        <f ca="1">IFERROR(IF(0=LEN(ReferenceData!$AH$271),"",ReferenceData!$AH$271),"")</f>
        <v>35</v>
      </c>
      <c r="AI271">
        <f ca="1">IFERROR(IF(0=LEN(ReferenceData!$AI$271),"",ReferenceData!$AI$271),"")</f>
        <v>33</v>
      </c>
      <c r="AJ271">
        <f ca="1">IFERROR(IF(0=LEN(ReferenceData!$AJ$271),"",ReferenceData!$AJ$271),"")</f>
        <v>31</v>
      </c>
      <c r="AK271">
        <f ca="1">IFERROR(IF(0=LEN(ReferenceData!$AK$271),"",ReferenceData!$AK$271),"")</f>
        <v>40</v>
      </c>
      <c r="AL271">
        <f ca="1">IFERROR(IF(0=LEN(ReferenceData!$AL$271),"",ReferenceData!$AL$271),"")</f>
        <v>38</v>
      </c>
      <c r="AM271">
        <f ca="1">IFERROR(IF(0=LEN(ReferenceData!$AM$271),"",ReferenceData!$AM$271),"")</f>
        <v>40</v>
      </c>
      <c r="AN271">
        <f ca="1">IFERROR(IF(0=LEN(ReferenceData!$AN$271),"",ReferenceData!$AN$271),"")</f>
        <v>18</v>
      </c>
      <c r="AO271">
        <f ca="1">IFERROR(IF(0=LEN(ReferenceData!$AO$271),"",ReferenceData!$AO$271),"")</f>
        <v>16</v>
      </c>
      <c r="AP271">
        <f ca="1">IFERROR(IF(0=LEN(ReferenceData!$AP$271),"",ReferenceData!$AP$271),"")</f>
        <v>16</v>
      </c>
      <c r="AQ271">
        <f ca="1">IFERROR(IF(0=LEN(ReferenceData!$AQ$271),"",ReferenceData!$AQ$271),"")</f>
        <v>128</v>
      </c>
      <c r="AR271">
        <f ca="1">IFERROR(IF(0=LEN(ReferenceData!$AR$271),"",ReferenceData!$AR$271),"")</f>
        <v>29</v>
      </c>
      <c r="AS271">
        <f ca="1">IFERROR(IF(0=LEN(ReferenceData!$AS$271),"",ReferenceData!$AS$271),"")</f>
        <v>9</v>
      </c>
    </row>
    <row r="272" spans="1:45" x14ac:dyDescent="0.25">
      <c r="A272" t="str">
        <f>IFERROR(IF(0=LEN(ReferenceData!$A$272),"",ReferenceData!$A$272),"")</f>
        <v xml:space="preserve">    PACCAR - Kenworth</v>
      </c>
      <c r="B272" t="str">
        <f>IFERROR(IF(0=LEN(ReferenceData!$B$272),"",ReferenceData!$B$272),"")</f>
        <v>PCAR US Equity</v>
      </c>
      <c r="C272" t="str">
        <f>IFERROR(IF(0=LEN(ReferenceData!$C$272),"",ReferenceData!$C$272),"")</f>
        <v>X1701</v>
      </c>
      <c r="D272" t="str">
        <f>IFERROR(IF(0=LEN(ReferenceData!$D$272),"",ReferenceData!$D$272),"")</f>
        <v>WARDS_RETAIL_SALES_UNITS</v>
      </c>
      <c r="E272" t="str">
        <f>IFERROR(IF(0=LEN(ReferenceData!$E$272),"",ReferenceData!$E$272),"")</f>
        <v>Dynamic</v>
      </c>
      <c r="F272">
        <f ca="1">IFERROR(IF(0=LEN(ReferenceData!$F$272),"",ReferenceData!$F$272),"")</f>
        <v>1</v>
      </c>
      <c r="G272">
        <f ca="1">IFERROR(IF(0=LEN(ReferenceData!$G$272),"",ReferenceData!$G$272),"")</f>
        <v>8</v>
      </c>
      <c r="H272">
        <f ca="1">IFERROR(IF(0=LEN(ReferenceData!$H$272),"",ReferenceData!$H$272),"")</f>
        <v>10</v>
      </c>
      <c r="I272">
        <f ca="1">IFERROR(IF(0=LEN(ReferenceData!$I$272),"",ReferenceData!$I$272),"")</f>
        <v>7</v>
      </c>
      <c r="J272">
        <f ca="1">IFERROR(IF(0=LEN(ReferenceData!$J$272),"",ReferenceData!$J$272),"")</f>
        <v>8</v>
      </c>
      <c r="K272">
        <f ca="1">IFERROR(IF(0=LEN(ReferenceData!$K$272),"",ReferenceData!$K$272),"")</f>
        <v>7</v>
      </c>
      <c r="L272">
        <f ca="1">IFERROR(IF(0=LEN(ReferenceData!$L$272),"",ReferenceData!$L$272),"")</f>
        <v>3</v>
      </c>
      <c r="M272">
        <f ca="1">IFERROR(IF(0=LEN(ReferenceData!$M$272),"",ReferenceData!$M$272),"")</f>
        <v>12</v>
      </c>
      <c r="N272">
        <f ca="1">IFERROR(IF(0=LEN(ReferenceData!$N$272),"",ReferenceData!$N$272),"")</f>
        <v>2</v>
      </c>
      <c r="O272">
        <f ca="1">IFERROR(IF(0=LEN(ReferenceData!$O$272),"",ReferenceData!$O$272),"")</f>
        <v>2</v>
      </c>
      <c r="P272">
        <f ca="1">IFERROR(IF(0=LEN(ReferenceData!$P$272),"",ReferenceData!$P$272),"")</f>
        <v>8</v>
      </c>
      <c r="Q272">
        <f ca="1">IFERROR(IF(0=LEN(ReferenceData!$Q$272),"",ReferenceData!$Q$272),"")</f>
        <v>13</v>
      </c>
      <c r="R272">
        <f ca="1">IFERROR(IF(0=LEN(ReferenceData!$R$272),"",ReferenceData!$R$272),"")</f>
        <v>5</v>
      </c>
      <c r="S272">
        <f ca="1">IFERROR(IF(0=LEN(ReferenceData!$S$272),"",ReferenceData!$S$272),"")</f>
        <v>8</v>
      </c>
      <c r="T272">
        <f ca="1">IFERROR(IF(0=LEN(ReferenceData!$T$272),"",ReferenceData!$T$272),"")</f>
        <v>13</v>
      </c>
      <c r="U272">
        <f ca="1">IFERROR(IF(0=LEN(ReferenceData!$U$272),"",ReferenceData!$U$272),"")</f>
        <v>16</v>
      </c>
      <c r="V272">
        <f ca="1">IFERROR(IF(0=LEN(ReferenceData!$V$272),"",ReferenceData!$V$272),"")</f>
        <v>9</v>
      </c>
      <c r="W272">
        <f ca="1">IFERROR(IF(0=LEN(ReferenceData!$W$272),"",ReferenceData!$W$272),"")</f>
        <v>8</v>
      </c>
      <c r="X272">
        <f ca="1">IFERROR(IF(0=LEN(ReferenceData!$X$272),"",ReferenceData!$X$272),"")</f>
        <v>5</v>
      </c>
      <c r="Y272">
        <f ca="1">IFERROR(IF(0=LEN(ReferenceData!$Y$272),"",ReferenceData!$Y$272),"")</f>
        <v>15</v>
      </c>
      <c r="Z272">
        <f ca="1">IFERROR(IF(0=LEN(ReferenceData!$Z$272),"",ReferenceData!$Z$272),"")</f>
        <v>10</v>
      </c>
      <c r="AA272">
        <f ca="1">IFERROR(IF(0=LEN(ReferenceData!$AA$272),"",ReferenceData!$AA$272),"")</f>
        <v>4</v>
      </c>
      <c r="AB272">
        <f ca="1">IFERROR(IF(0=LEN(ReferenceData!$AB$272),"",ReferenceData!$AB$272),"")</f>
        <v>12</v>
      </c>
      <c r="AC272">
        <f ca="1">IFERROR(IF(0=LEN(ReferenceData!$AC$272),"",ReferenceData!$AC$272),"")</f>
        <v>6</v>
      </c>
      <c r="AD272">
        <f ca="1">IFERROR(IF(0=LEN(ReferenceData!$AD$272),"",ReferenceData!$AD$272),"")</f>
        <v>16</v>
      </c>
      <c r="AE272">
        <f ca="1">IFERROR(IF(0=LEN(ReferenceData!$AE$272),"",ReferenceData!$AE$272),"")</f>
        <v>1</v>
      </c>
      <c r="AF272">
        <f ca="1">IFERROR(IF(0=LEN(ReferenceData!$AF$272),"",ReferenceData!$AF$272),"")</f>
        <v>23</v>
      </c>
      <c r="AG272">
        <f ca="1">IFERROR(IF(0=LEN(ReferenceData!$AG$272),"",ReferenceData!$AG$272),"")</f>
        <v>15</v>
      </c>
      <c r="AH272">
        <f ca="1">IFERROR(IF(0=LEN(ReferenceData!$AH$272),"",ReferenceData!$AH$272),"")</f>
        <v>10</v>
      </c>
      <c r="AI272">
        <f ca="1">IFERROR(IF(0=LEN(ReferenceData!$AI$272),"",ReferenceData!$AI$272),"")</f>
        <v>12</v>
      </c>
      <c r="AJ272">
        <f ca="1">IFERROR(IF(0=LEN(ReferenceData!$AJ$272),"",ReferenceData!$AJ$272),"")</f>
        <v>6</v>
      </c>
      <c r="AK272">
        <f ca="1">IFERROR(IF(0=LEN(ReferenceData!$AK$272),"",ReferenceData!$AK$272),"")</f>
        <v>10</v>
      </c>
      <c r="AL272">
        <f ca="1">IFERROR(IF(0=LEN(ReferenceData!$AL$272),"",ReferenceData!$AL$272),"")</f>
        <v>8</v>
      </c>
      <c r="AM272">
        <f ca="1">IFERROR(IF(0=LEN(ReferenceData!$AM$272),"",ReferenceData!$AM$272),"")</f>
        <v>8</v>
      </c>
      <c r="AN272">
        <f ca="1">IFERROR(IF(0=LEN(ReferenceData!$AN$272),"",ReferenceData!$AN$272),"")</f>
        <v>32</v>
      </c>
      <c r="AO272">
        <f ca="1">IFERROR(IF(0=LEN(ReferenceData!$AO$272),"",ReferenceData!$AO$272),"")</f>
        <v>29</v>
      </c>
      <c r="AP272">
        <f ca="1">IFERROR(IF(0=LEN(ReferenceData!$AP$272),"",ReferenceData!$AP$272),"")</f>
        <v>29</v>
      </c>
      <c r="AQ272">
        <f ca="1">IFERROR(IF(0=LEN(ReferenceData!$AQ$272),"",ReferenceData!$AQ$272),"")</f>
        <v>18</v>
      </c>
      <c r="AR272">
        <f ca="1">IFERROR(IF(0=LEN(ReferenceData!$AR$272),"",ReferenceData!$AR$272),"")</f>
        <v>20</v>
      </c>
      <c r="AS272">
        <f ca="1">IFERROR(IF(0=LEN(ReferenceData!$AS$272),"",ReferenceData!$AS$272),"")</f>
        <v>14</v>
      </c>
    </row>
    <row r="273" spans="1:45" x14ac:dyDescent="0.25">
      <c r="A273" t="str">
        <f>IFERROR(IF(0=LEN(ReferenceData!$A$273),"",ReferenceData!$A$273),"")</f>
        <v xml:space="preserve">    Volvo - Volvo Truck</v>
      </c>
      <c r="B273" t="str">
        <f>IFERROR(IF(0=LEN(ReferenceData!$B$273),"",ReferenceData!$B$273),"")</f>
        <v>VOLVB SS Equity</v>
      </c>
      <c r="C273" t="str">
        <f>IFERROR(IF(0=LEN(ReferenceData!$C$273),"",ReferenceData!$C$273),"")</f>
        <v>X1701</v>
      </c>
      <c r="D273" t="str">
        <f>IFERROR(IF(0=LEN(ReferenceData!$D$273),"",ReferenceData!$D$273),"")</f>
        <v>WARDS_RETAIL_SALES_UNITS</v>
      </c>
      <c r="E273" t="str">
        <f>IFERROR(IF(0=LEN(ReferenceData!$E$273),"",ReferenceData!$E$273),"")</f>
        <v>Dynamic</v>
      </c>
      <c r="F273" t="str">
        <f ca="1">IFERROR(IF(0=LEN(ReferenceData!$F$273),"",ReferenceData!$F$273),"")</f>
        <v/>
      </c>
      <c r="G273" t="str">
        <f ca="1">IFERROR(IF(0=LEN(ReferenceData!$G$273),"",ReferenceData!$G$273),"")</f>
        <v/>
      </c>
      <c r="H273" t="str">
        <f ca="1">IFERROR(IF(0=LEN(ReferenceData!$H$273),"",ReferenceData!$H$273),"")</f>
        <v/>
      </c>
      <c r="I273" t="str">
        <f ca="1">IFERROR(IF(0=LEN(ReferenceData!$I$273),"",ReferenceData!$I$273),"")</f>
        <v/>
      </c>
      <c r="J273" t="str">
        <f ca="1">IFERROR(IF(0=LEN(ReferenceData!$J$273),"",ReferenceData!$J$273),"")</f>
        <v/>
      </c>
      <c r="K273" t="str">
        <f ca="1">IFERROR(IF(0=LEN(ReferenceData!$K$273),"",ReferenceData!$K$273),"")</f>
        <v/>
      </c>
      <c r="L273" t="str">
        <f ca="1">IFERROR(IF(0=LEN(ReferenceData!$L$273),"",ReferenceData!$L$273),"")</f>
        <v/>
      </c>
      <c r="M273" t="str">
        <f ca="1">IFERROR(IF(0=LEN(ReferenceData!$M$273),"",ReferenceData!$M$273),"")</f>
        <v/>
      </c>
      <c r="N273" t="str">
        <f ca="1">IFERROR(IF(0=LEN(ReferenceData!$N$273),"",ReferenceData!$N$273),"")</f>
        <v/>
      </c>
      <c r="O273" t="str">
        <f ca="1">IFERROR(IF(0=LEN(ReferenceData!$O$273),"",ReferenceData!$O$273),"")</f>
        <v/>
      </c>
      <c r="P273" t="str">
        <f ca="1">IFERROR(IF(0=LEN(ReferenceData!$P$273),"",ReferenceData!$P$273),"")</f>
        <v/>
      </c>
      <c r="Q273" t="str">
        <f ca="1">IFERROR(IF(0=LEN(ReferenceData!$Q$273),"",ReferenceData!$Q$273),"")</f>
        <v/>
      </c>
      <c r="R273" t="str">
        <f ca="1">IFERROR(IF(0=LEN(ReferenceData!$R$273),"",ReferenceData!$R$273),"")</f>
        <v/>
      </c>
      <c r="S273" t="str">
        <f ca="1">IFERROR(IF(0=LEN(ReferenceData!$S$273),"",ReferenceData!$S$273),"")</f>
        <v/>
      </c>
      <c r="T273" t="str">
        <f ca="1">IFERROR(IF(0=LEN(ReferenceData!$T$273),"",ReferenceData!$T$273),"")</f>
        <v/>
      </c>
      <c r="U273" t="str">
        <f ca="1">IFERROR(IF(0=LEN(ReferenceData!$U$273),"",ReferenceData!$U$273),"")</f>
        <v/>
      </c>
      <c r="V273" t="str">
        <f ca="1">IFERROR(IF(0=LEN(ReferenceData!$V$273),"",ReferenceData!$V$273),"")</f>
        <v/>
      </c>
      <c r="W273" t="str">
        <f ca="1">IFERROR(IF(0=LEN(ReferenceData!$W$273),"",ReferenceData!$W$273),"")</f>
        <v/>
      </c>
      <c r="X273" t="str">
        <f ca="1">IFERROR(IF(0=LEN(ReferenceData!$X$273),"",ReferenceData!$X$273),"")</f>
        <v/>
      </c>
      <c r="Y273" t="str">
        <f ca="1">IFERROR(IF(0=LEN(ReferenceData!$Y$273),"",ReferenceData!$Y$273),"")</f>
        <v/>
      </c>
      <c r="Z273" t="str">
        <f ca="1">IFERROR(IF(0=LEN(ReferenceData!$Z$273),"",ReferenceData!$Z$273),"")</f>
        <v/>
      </c>
      <c r="AA273" t="str">
        <f ca="1">IFERROR(IF(0=LEN(ReferenceData!$AA$273),"",ReferenceData!$AA$273),"")</f>
        <v/>
      </c>
      <c r="AB273" t="str">
        <f ca="1">IFERROR(IF(0=LEN(ReferenceData!$AB$273),"",ReferenceData!$AB$273),"")</f>
        <v/>
      </c>
      <c r="AC273" t="str">
        <f ca="1">IFERROR(IF(0=LEN(ReferenceData!$AC$273),"",ReferenceData!$AC$273),"")</f>
        <v/>
      </c>
      <c r="AD273" t="str">
        <f ca="1">IFERROR(IF(0=LEN(ReferenceData!$AD$273),"",ReferenceData!$AD$273),"")</f>
        <v/>
      </c>
      <c r="AE273" t="str">
        <f ca="1">IFERROR(IF(0=LEN(ReferenceData!$AE$273),"",ReferenceData!$AE$273),"")</f>
        <v/>
      </c>
      <c r="AF273" t="str">
        <f ca="1">IFERROR(IF(0=LEN(ReferenceData!$AF$273),"",ReferenceData!$AF$273),"")</f>
        <v/>
      </c>
      <c r="AG273" t="str">
        <f ca="1">IFERROR(IF(0=LEN(ReferenceData!$AG$273),"",ReferenceData!$AG$273),"")</f>
        <v/>
      </c>
      <c r="AH273" t="str">
        <f ca="1">IFERROR(IF(0=LEN(ReferenceData!$AH$273),"",ReferenceData!$AH$273),"")</f>
        <v/>
      </c>
      <c r="AI273" t="str">
        <f ca="1">IFERROR(IF(0=LEN(ReferenceData!$AI$273),"",ReferenceData!$AI$273),"")</f>
        <v/>
      </c>
      <c r="AJ273" t="str">
        <f ca="1">IFERROR(IF(0=LEN(ReferenceData!$AJ$273),"",ReferenceData!$AJ$273),"")</f>
        <v/>
      </c>
      <c r="AK273" t="str">
        <f ca="1">IFERROR(IF(0=LEN(ReferenceData!$AK$273),"",ReferenceData!$AK$273),"")</f>
        <v/>
      </c>
      <c r="AL273" t="str">
        <f ca="1">IFERROR(IF(0=LEN(ReferenceData!$AL$273),"",ReferenceData!$AL$273),"")</f>
        <v/>
      </c>
      <c r="AM273" t="str">
        <f ca="1">IFERROR(IF(0=LEN(ReferenceData!$AM$273),"",ReferenceData!$AM$273),"")</f>
        <v/>
      </c>
      <c r="AN273" t="str">
        <f ca="1">IFERROR(IF(0=LEN(ReferenceData!$AN$273),"",ReferenceData!$AN$273),"")</f>
        <v/>
      </c>
      <c r="AO273" t="str">
        <f ca="1">IFERROR(IF(0=LEN(ReferenceData!$AO$273),"",ReferenceData!$AO$273),"")</f>
        <v/>
      </c>
      <c r="AP273" t="str">
        <f ca="1">IFERROR(IF(0=LEN(ReferenceData!$AP$273),"",ReferenceData!$AP$273),"")</f>
        <v/>
      </c>
      <c r="AQ273" t="str">
        <f ca="1">IFERROR(IF(0=LEN(ReferenceData!$AQ$273),"",ReferenceData!$AQ$273),"")</f>
        <v/>
      </c>
      <c r="AR273" t="str">
        <f ca="1">IFERROR(IF(0=LEN(ReferenceData!$AR$273),"",ReferenceData!$AR$273),"")</f>
        <v/>
      </c>
      <c r="AS273" t="str">
        <f ca="1">IFERROR(IF(0=LEN(ReferenceData!$AS$273),"",ReferenceData!$AS$273),"")</f>
        <v/>
      </c>
    </row>
    <row r="274" spans="1:45" x14ac:dyDescent="0.25">
      <c r="A274" t="str">
        <f>IFERROR(IF(0=LEN(ReferenceData!$A$274),"",ReferenceData!$A$274),"")</f>
        <v xml:space="preserve">    General Motors - Chevrolet</v>
      </c>
      <c r="B274" t="str">
        <f>IFERROR(IF(0=LEN(ReferenceData!$B$274),"",ReferenceData!$B$274),"")</f>
        <v>MTLQQ US Equity</v>
      </c>
      <c r="C274" t="str">
        <f>IFERROR(IF(0=LEN(ReferenceData!$C$274),"",ReferenceData!$C$274),"")</f>
        <v>X1701</v>
      </c>
      <c r="D274" t="str">
        <f>IFERROR(IF(0=LEN(ReferenceData!$D$274),"",ReferenceData!$D$274),"")</f>
        <v>WARDS_RETAIL_SALES_UNITS</v>
      </c>
      <c r="E274" t="str">
        <f>IFERROR(IF(0=LEN(ReferenceData!$E$274),"",ReferenceData!$E$274),"")</f>
        <v>Dynamic</v>
      </c>
      <c r="F274" t="str">
        <f ca="1">IFERROR(IF(0=LEN(ReferenceData!$F$274),"",ReferenceData!$F$274),"")</f>
        <v/>
      </c>
      <c r="G274" t="str">
        <f ca="1">IFERROR(IF(0=LEN(ReferenceData!$G$274),"",ReferenceData!$G$274),"")</f>
        <v/>
      </c>
      <c r="H274" t="str">
        <f ca="1">IFERROR(IF(0=LEN(ReferenceData!$H$274),"",ReferenceData!$H$274),"")</f>
        <v/>
      </c>
      <c r="I274" t="str">
        <f ca="1">IFERROR(IF(0=LEN(ReferenceData!$I$274),"",ReferenceData!$I$274),"")</f>
        <v/>
      </c>
      <c r="J274" t="str">
        <f ca="1">IFERROR(IF(0=LEN(ReferenceData!$J$274),"",ReferenceData!$J$274),"")</f>
        <v/>
      </c>
      <c r="K274" t="str">
        <f ca="1">IFERROR(IF(0=LEN(ReferenceData!$K$274),"",ReferenceData!$K$274),"")</f>
        <v/>
      </c>
      <c r="L274" t="str">
        <f ca="1">IFERROR(IF(0=LEN(ReferenceData!$L$274),"",ReferenceData!$L$274),"")</f>
        <v/>
      </c>
      <c r="M274" t="str">
        <f ca="1">IFERROR(IF(0=LEN(ReferenceData!$M$274),"",ReferenceData!$M$274),"")</f>
        <v/>
      </c>
      <c r="N274" t="str">
        <f ca="1">IFERROR(IF(0=LEN(ReferenceData!$N$274),"",ReferenceData!$N$274),"")</f>
        <v/>
      </c>
      <c r="O274" t="str">
        <f ca="1">IFERROR(IF(0=LEN(ReferenceData!$O$274),"",ReferenceData!$O$274),"")</f>
        <v/>
      </c>
      <c r="P274" t="str">
        <f ca="1">IFERROR(IF(0=LEN(ReferenceData!$P$274),"",ReferenceData!$P$274),"")</f>
        <v/>
      </c>
      <c r="Q274" t="str">
        <f ca="1">IFERROR(IF(0=LEN(ReferenceData!$Q$274),"",ReferenceData!$Q$274),"")</f>
        <v/>
      </c>
      <c r="R274" t="str">
        <f ca="1">IFERROR(IF(0=LEN(ReferenceData!$R$274),"",ReferenceData!$R$274),"")</f>
        <v/>
      </c>
      <c r="S274" t="str">
        <f ca="1">IFERROR(IF(0=LEN(ReferenceData!$S$274),"",ReferenceData!$S$274),"")</f>
        <v/>
      </c>
      <c r="T274" t="str">
        <f ca="1">IFERROR(IF(0=LEN(ReferenceData!$T$274),"",ReferenceData!$T$274),"")</f>
        <v/>
      </c>
      <c r="U274" t="str">
        <f ca="1">IFERROR(IF(0=LEN(ReferenceData!$U$274),"",ReferenceData!$U$274),"")</f>
        <v/>
      </c>
      <c r="V274" t="str">
        <f ca="1">IFERROR(IF(0=LEN(ReferenceData!$V$274),"",ReferenceData!$V$274),"")</f>
        <v/>
      </c>
      <c r="W274" t="str">
        <f ca="1">IFERROR(IF(0=LEN(ReferenceData!$W$274),"",ReferenceData!$W$274),"")</f>
        <v/>
      </c>
      <c r="X274" t="str">
        <f ca="1">IFERROR(IF(0=LEN(ReferenceData!$X$274),"",ReferenceData!$X$274),"")</f>
        <v/>
      </c>
      <c r="Y274" t="str">
        <f ca="1">IFERROR(IF(0=LEN(ReferenceData!$Y$274),"",ReferenceData!$Y$274),"")</f>
        <v/>
      </c>
      <c r="Z274" t="str">
        <f ca="1">IFERROR(IF(0=LEN(ReferenceData!$Z$274),"",ReferenceData!$Z$274),"")</f>
        <v/>
      </c>
      <c r="AA274" t="str">
        <f ca="1">IFERROR(IF(0=LEN(ReferenceData!$AA$274),"",ReferenceData!$AA$274),"")</f>
        <v/>
      </c>
      <c r="AB274" t="str">
        <f ca="1">IFERROR(IF(0=LEN(ReferenceData!$AB$274),"",ReferenceData!$AB$274),"")</f>
        <v/>
      </c>
      <c r="AC274" t="str">
        <f ca="1">IFERROR(IF(0=LEN(ReferenceData!$AC$274),"",ReferenceData!$AC$274),"")</f>
        <v/>
      </c>
      <c r="AD274" t="str">
        <f ca="1">IFERROR(IF(0=LEN(ReferenceData!$AD$274),"",ReferenceData!$AD$274),"")</f>
        <v/>
      </c>
      <c r="AE274" t="str">
        <f ca="1">IFERROR(IF(0=LEN(ReferenceData!$AE$274),"",ReferenceData!$AE$274),"")</f>
        <v/>
      </c>
      <c r="AF274" t="str">
        <f ca="1">IFERROR(IF(0=LEN(ReferenceData!$AF$274),"",ReferenceData!$AF$274),"")</f>
        <v/>
      </c>
      <c r="AG274" t="str">
        <f ca="1">IFERROR(IF(0=LEN(ReferenceData!$AG$274),"",ReferenceData!$AG$274),"")</f>
        <v/>
      </c>
      <c r="AH274" t="str">
        <f ca="1">IFERROR(IF(0=LEN(ReferenceData!$AH$274),"",ReferenceData!$AH$274),"")</f>
        <v/>
      </c>
      <c r="AI274" t="str">
        <f ca="1">IFERROR(IF(0=LEN(ReferenceData!$AI$274),"",ReferenceData!$AI$274),"")</f>
        <v/>
      </c>
      <c r="AJ274" t="str">
        <f ca="1">IFERROR(IF(0=LEN(ReferenceData!$AJ$274),"",ReferenceData!$AJ$274),"")</f>
        <v/>
      </c>
      <c r="AK274" t="str">
        <f ca="1">IFERROR(IF(0=LEN(ReferenceData!$AK$274),"",ReferenceData!$AK$274),"")</f>
        <v/>
      </c>
      <c r="AL274" t="str">
        <f ca="1">IFERROR(IF(0=LEN(ReferenceData!$AL$274),"",ReferenceData!$AL$274),"")</f>
        <v/>
      </c>
      <c r="AM274" t="str">
        <f ca="1">IFERROR(IF(0=LEN(ReferenceData!$AM$274),"",ReferenceData!$AM$274),"")</f>
        <v/>
      </c>
      <c r="AN274" t="str">
        <f ca="1">IFERROR(IF(0=LEN(ReferenceData!$AN$274),"",ReferenceData!$AN$274),"")</f>
        <v/>
      </c>
      <c r="AO274" t="str">
        <f ca="1">IFERROR(IF(0=LEN(ReferenceData!$AO$274),"",ReferenceData!$AO$274),"")</f>
        <v/>
      </c>
      <c r="AP274" t="str">
        <f ca="1">IFERROR(IF(0=LEN(ReferenceData!$AP$274),"",ReferenceData!$AP$274),"")</f>
        <v/>
      </c>
      <c r="AQ274" t="str">
        <f ca="1">IFERROR(IF(0=LEN(ReferenceData!$AQ$274),"",ReferenceData!$AQ$274),"")</f>
        <v/>
      </c>
      <c r="AR274" t="str">
        <f ca="1">IFERROR(IF(0=LEN(ReferenceData!$AR$274),"",ReferenceData!$AR$274),"")</f>
        <v/>
      </c>
      <c r="AS274" t="str">
        <f ca="1">IFERROR(IF(0=LEN(ReferenceData!$AS$274),"",ReferenceData!$AS$274),"")</f>
        <v/>
      </c>
    </row>
    <row r="275" spans="1:45" x14ac:dyDescent="0.25">
      <c r="A275" t="str">
        <f>IFERROR(IF(0=LEN(ReferenceData!$A$275),"",ReferenceData!$A$275),"")</f>
        <v xml:space="preserve">    MAN - MAN</v>
      </c>
      <c r="B275" t="str">
        <f>IFERROR(IF(0=LEN(ReferenceData!$B$275),"",ReferenceData!$B$275),"")</f>
        <v>VOW GR Equity</v>
      </c>
      <c r="C275" t="str">
        <f>IFERROR(IF(0=LEN(ReferenceData!$C$275),"",ReferenceData!$C$275),"")</f>
        <v>X1701</v>
      </c>
      <c r="D275" t="str">
        <f>IFERROR(IF(0=LEN(ReferenceData!$D$275),"",ReferenceData!$D$275),"")</f>
        <v>WARDS_RETAIL_SALES_UNITS</v>
      </c>
      <c r="E275" t="str">
        <f>IFERROR(IF(0=LEN(ReferenceData!$E$275),"",ReferenceData!$E$275),"")</f>
        <v>Dynamic</v>
      </c>
      <c r="F275" t="str">
        <f ca="1">IFERROR(IF(0=LEN(ReferenceData!$F$275),"",ReferenceData!$F$275),"")</f>
        <v/>
      </c>
      <c r="G275" t="str">
        <f ca="1">IFERROR(IF(0=LEN(ReferenceData!$G$275),"",ReferenceData!$G$275),"")</f>
        <v/>
      </c>
      <c r="H275" t="str">
        <f ca="1">IFERROR(IF(0=LEN(ReferenceData!$H$275),"",ReferenceData!$H$275),"")</f>
        <v/>
      </c>
      <c r="I275" t="str">
        <f ca="1">IFERROR(IF(0=LEN(ReferenceData!$I$275),"",ReferenceData!$I$275),"")</f>
        <v/>
      </c>
      <c r="J275" t="str">
        <f ca="1">IFERROR(IF(0=LEN(ReferenceData!$J$275),"",ReferenceData!$J$275),"")</f>
        <v/>
      </c>
      <c r="K275" t="str">
        <f ca="1">IFERROR(IF(0=LEN(ReferenceData!$K$275),"",ReferenceData!$K$275),"")</f>
        <v/>
      </c>
      <c r="L275" t="str">
        <f ca="1">IFERROR(IF(0=LEN(ReferenceData!$L$275),"",ReferenceData!$L$275),"")</f>
        <v/>
      </c>
      <c r="M275" t="str">
        <f ca="1">IFERROR(IF(0=LEN(ReferenceData!$M$275),"",ReferenceData!$M$275),"")</f>
        <v/>
      </c>
      <c r="N275" t="str">
        <f ca="1">IFERROR(IF(0=LEN(ReferenceData!$N$275),"",ReferenceData!$N$275),"")</f>
        <v/>
      </c>
      <c r="O275" t="str">
        <f ca="1">IFERROR(IF(0=LEN(ReferenceData!$O$275),"",ReferenceData!$O$275),"")</f>
        <v/>
      </c>
      <c r="P275" t="str">
        <f ca="1">IFERROR(IF(0=LEN(ReferenceData!$P$275),"",ReferenceData!$P$275),"")</f>
        <v/>
      </c>
      <c r="Q275" t="str">
        <f ca="1">IFERROR(IF(0=LEN(ReferenceData!$Q$275),"",ReferenceData!$Q$275),"")</f>
        <v/>
      </c>
      <c r="R275" t="str">
        <f ca="1">IFERROR(IF(0=LEN(ReferenceData!$R$275),"",ReferenceData!$R$275),"")</f>
        <v/>
      </c>
      <c r="S275" t="str">
        <f ca="1">IFERROR(IF(0=LEN(ReferenceData!$S$275),"",ReferenceData!$S$275),"")</f>
        <v/>
      </c>
      <c r="T275" t="str">
        <f ca="1">IFERROR(IF(0=LEN(ReferenceData!$T$275),"",ReferenceData!$T$275),"")</f>
        <v/>
      </c>
      <c r="U275" t="str">
        <f ca="1">IFERROR(IF(0=LEN(ReferenceData!$U$275),"",ReferenceData!$U$275),"")</f>
        <v/>
      </c>
      <c r="V275" t="str">
        <f ca="1">IFERROR(IF(0=LEN(ReferenceData!$V$275),"",ReferenceData!$V$275),"")</f>
        <v/>
      </c>
      <c r="W275" t="str">
        <f ca="1">IFERROR(IF(0=LEN(ReferenceData!$W$275),"",ReferenceData!$W$275),"")</f>
        <v/>
      </c>
      <c r="X275" t="str">
        <f ca="1">IFERROR(IF(0=LEN(ReferenceData!$X$275),"",ReferenceData!$X$275),"")</f>
        <v/>
      </c>
      <c r="Y275" t="str">
        <f ca="1">IFERROR(IF(0=LEN(ReferenceData!$Y$275),"",ReferenceData!$Y$275),"")</f>
        <v/>
      </c>
      <c r="Z275" t="str">
        <f ca="1">IFERROR(IF(0=LEN(ReferenceData!$Z$275),"",ReferenceData!$Z$275),"")</f>
        <v/>
      </c>
      <c r="AA275" t="str">
        <f ca="1">IFERROR(IF(0=LEN(ReferenceData!$AA$275),"",ReferenceData!$AA$275),"")</f>
        <v/>
      </c>
      <c r="AB275" t="str">
        <f ca="1">IFERROR(IF(0=LEN(ReferenceData!$AB$275),"",ReferenceData!$AB$275),"")</f>
        <v/>
      </c>
      <c r="AC275" t="str">
        <f ca="1">IFERROR(IF(0=LEN(ReferenceData!$AC$275),"",ReferenceData!$AC$275),"")</f>
        <v/>
      </c>
      <c r="AD275" t="str">
        <f ca="1">IFERROR(IF(0=LEN(ReferenceData!$AD$275),"",ReferenceData!$AD$275),"")</f>
        <v/>
      </c>
      <c r="AE275" t="str">
        <f ca="1">IFERROR(IF(0=LEN(ReferenceData!$AE$275),"",ReferenceData!$AE$275),"")</f>
        <v/>
      </c>
      <c r="AF275" t="str">
        <f ca="1">IFERROR(IF(0=LEN(ReferenceData!$AF$275),"",ReferenceData!$AF$275),"")</f>
        <v/>
      </c>
      <c r="AG275" t="str">
        <f ca="1">IFERROR(IF(0=LEN(ReferenceData!$AG$275),"",ReferenceData!$AG$275),"")</f>
        <v/>
      </c>
      <c r="AH275" t="str">
        <f ca="1">IFERROR(IF(0=LEN(ReferenceData!$AH$275),"",ReferenceData!$AH$275),"")</f>
        <v/>
      </c>
      <c r="AI275" t="str">
        <f ca="1">IFERROR(IF(0=LEN(ReferenceData!$AI$275),"",ReferenceData!$AI$275),"")</f>
        <v/>
      </c>
      <c r="AJ275" t="str">
        <f ca="1">IFERROR(IF(0=LEN(ReferenceData!$AJ$275),"",ReferenceData!$AJ$275),"")</f>
        <v/>
      </c>
      <c r="AK275" t="str">
        <f ca="1">IFERROR(IF(0=LEN(ReferenceData!$AK$275),"",ReferenceData!$AK$275),"")</f>
        <v/>
      </c>
      <c r="AL275" t="str">
        <f ca="1">IFERROR(IF(0=LEN(ReferenceData!$AL$275),"",ReferenceData!$AL$275),"")</f>
        <v/>
      </c>
      <c r="AM275" t="str">
        <f ca="1">IFERROR(IF(0=LEN(ReferenceData!$AM$275),"",ReferenceData!$AM$275),"")</f>
        <v/>
      </c>
      <c r="AN275" t="str">
        <f ca="1">IFERROR(IF(0=LEN(ReferenceData!$AN$275),"",ReferenceData!$AN$275),"")</f>
        <v/>
      </c>
      <c r="AO275" t="str">
        <f ca="1">IFERROR(IF(0=LEN(ReferenceData!$AO$275),"",ReferenceData!$AO$275),"")</f>
        <v/>
      </c>
      <c r="AP275" t="str">
        <f ca="1">IFERROR(IF(0=LEN(ReferenceData!$AP$275),"",ReferenceData!$AP$275),"")</f>
        <v/>
      </c>
      <c r="AQ275" t="str">
        <f ca="1">IFERROR(IF(0=LEN(ReferenceData!$AQ$275),"",ReferenceData!$AQ$275),"")</f>
        <v/>
      </c>
      <c r="AR275" t="str">
        <f ca="1">IFERROR(IF(0=LEN(ReferenceData!$AR$275),"",ReferenceData!$AR$275),"")</f>
        <v/>
      </c>
      <c r="AS275" t="str">
        <f ca="1">IFERROR(IF(0=LEN(ReferenceData!$AS$275),"",ReferenceData!$AS$275),"")</f>
        <v/>
      </c>
    </row>
    <row r="276" spans="1:45" x14ac:dyDescent="0.25">
      <c r="A276" t="str">
        <f>IFERROR(IF(0=LEN(ReferenceData!$A$276),"",ReferenceData!$A$276),"")</f>
        <v xml:space="preserve">    MAN - Volkswagen Truck &amp; Bus</v>
      </c>
      <c r="B276" t="str">
        <f>IFERROR(IF(0=LEN(ReferenceData!$B$276),"",ReferenceData!$B$276),"")</f>
        <v>VOW GR Equity</v>
      </c>
      <c r="C276" t="str">
        <f>IFERROR(IF(0=LEN(ReferenceData!$C$276),"",ReferenceData!$C$276),"")</f>
        <v>X1701</v>
      </c>
      <c r="D276" t="str">
        <f>IFERROR(IF(0=LEN(ReferenceData!$D$276),"",ReferenceData!$D$276),"")</f>
        <v>WARDS_RETAIL_SALES_UNITS</v>
      </c>
      <c r="E276" t="str">
        <f>IFERROR(IF(0=LEN(ReferenceData!$E$276),"",ReferenceData!$E$276),"")</f>
        <v>Dynamic</v>
      </c>
      <c r="F276" t="str">
        <f ca="1">IFERROR(IF(0=LEN(ReferenceData!$F$276),"",ReferenceData!$F$276),"")</f>
        <v/>
      </c>
      <c r="G276" t="str">
        <f ca="1">IFERROR(IF(0=LEN(ReferenceData!$G$276),"",ReferenceData!$G$276),"")</f>
        <v/>
      </c>
      <c r="H276" t="str">
        <f ca="1">IFERROR(IF(0=LEN(ReferenceData!$H$276),"",ReferenceData!$H$276),"")</f>
        <v/>
      </c>
      <c r="I276" t="str">
        <f ca="1">IFERROR(IF(0=LEN(ReferenceData!$I$276),"",ReferenceData!$I$276),"")</f>
        <v/>
      </c>
      <c r="J276" t="str">
        <f ca="1">IFERROR(IF(0=LEN(ReferenceData!$J$276),"",ReferenceData!$J$276),"")</f>
        <v/>
      </c>
      <c r="K276" t="str">
        <f ca="1">IFERROR(IF(0=LEN(ReferenceData!$K$276),"",ReferenceData!$K$276),"")</f>
        <v/>
      </c>
      <c r="L276" t="str">
        <f ca="1">IFERROR(IF(0=LEN(ReferenceData!$L$276),"",ReferenceData!$L$276),"")</f>
        <v/>
      </c>
      <c r="M276" t="str">
        <f ca="1">IFERROR(IF(0=LEN(ReferenceData!$M$276),"",ReferenceData!$M$276),"")</f>
        <v/>
      </c>
      <c r="N276" t="str">
        <f ca="1">IFERROR(IF(0=LEN(ReferenceData!$N$276),"",ReferenceData!$N$276),"")</f>
        <v/>
      </c>
      <c r="O276" t="str">
        <f ca="1">IFERROR(IF(0=LEN(ReferenceData!$O$276),"",ReferenceData!$O$276),"")</f>
        <v/>
      </c>
      <c r="P276">
        <f ca="1">IFERROR(IF(0=LEN(ReferenceData!$P$276),"",ReferenceData!$P$276),"")</f>
        <v>76</v>
      </c>
      <c r="Q276">
        <f ca="1">IFERROR(IF(0=LEN(ReferenceData!$Q$276),"",ReferenceData!$Q$276),"")</f>
        <v>57</v>
      </c>
      <c r="R276">
        <f ca="1">IFERROR(IF(0=LEN(ReferenceData!$R$276),"",ReferenceData!$R$276),"")</f>
        <v>52</v>
      </c>
      <c r="S276">
        <f ca="1">IFERROR(IF(0=LEN(ReferenceData!$S$276),"",ReferenceData!$S$276),"")</f>
        <v>50</v>
      </c>
      <c r="T276">
        <f ca="1">IFERROR(IF(0=LEN(ReferenceData!$T$276),"",ReferenceData!$T$276),"")</f>
        <v>40</v>
      </c>
      <c r="U276">
        <f ca="1">IFERROR(IF(0=LEN(ReferenceData!$U$276),"",ReferenceData!$U$276),"")</f>
        <v>34</v>
      </c>
      <c r="V276">
        <f ca="1">IFERROR(IF(0=LEN(ReferenceData!$V$276),"",ReferenceData!$V$276),"")</f>
        <v>39</v>
      </c>
      <c r="W276">
        <f ca="1">IFERROR(IF(0=LEN(ReferenceData!$W$276),"",ReferenceData!$W$276),"")</f>
        <v>46</v>
      </c>
      <c r="X276">
        <f ca="1">IFERROR(IF(0=LEN(ReferenceData!$X$276),"",ReferenceData!$X$276),"")</f>
        <v>44</v>
      </c>
      <c r="Y276">
        <f ca="1">IFERROR(IF(0=LEN(ReferenceData!$Y$276),"",ReferenceData!$Y$276),"")</f>
        <v>39</v>
      </c>
      <c r="Z276">
        <f ca="1">IFERROR(IF(0=LEN(ReferenceData!$Z$276),"",ReferenceData!$Z$276),"")</f>
        <v>30</v>
      </c>
      <c r="AA276">
        <f ca="1">IFERROR(IF(0=LEN(ReferenceData!$AA$276),"",ReferenceData!$AA$276),"")</f>
        <v>44</v>
      </c>
      <c r="AB276">
        <f ca="1">IFERROR(IF(0=LEN(ReferenceData!$AB$276),"",ReferenceData!$AB$276),"")</f>
        <v>74</v>
      </c>
      <c r="AC276">
        <f ca="1">IFERROR(IF(0=LEN(ReferenceData!$AC$276),"",ReferenceData!$AC$276),"")</f>
        <v>59</v>
      </c>
      <c r="AD276">
        <f ca="1">IFERROR(IF(0=LEN(ReferenceData!$AD$276),"",ReferenceData!$AD$276),"")</f>
        <v>55</v>
      </c>
      <c r="AE276">
        <f ca="1">IFERROR(IF(0=LEN(ReferenceData!$AE$276),"",ReferenceData!$AE$276),"")</f>
        <v>52</v>
      </c>
      <c r="AF276">
        <f ca="1">IFERROR(IF(0=LEN(ReferenceData!$AF$276),"",ReferenceData!$AF$276),"")</f>
        <v>52</v>
      </c>
      <c r="AG276">
        <f ca="1">IFERROR(IF(0=LEN(ReferenceData!$AG$276),"",ReferenceData!$AG$276),"")</f>
        <v>52</v>
      </c>
      <c r="AH276">
        <f ca="1">IFERROR(IF(0=LEN(ReferenceData!$AH$276),"",ReferenceData!$AH$276),"")</f>
        <v>50</v>
      </c>
      <c r="AI276">
        <f ca="1">IFERROR(IF(0=LEN(ReferenceData!$AI$276),"",ReferenceData!$AI$276),"")</f>
        <v>46</v>
      </c>
      <c r="AJ276">
        <f ca="1">IFERROR(IF(0=LEN(ReferenceData!$AJ$276),"",ReferenceData!$AJ$276),"")</f>
        <v>44</v>
      </c>
      <c r="AK276">
        <f ca="1">IFERROR(IF(0=LEN(ReferenceData!$AK$276),"",ReferenceData!$AK$276),"")</f>
        <v>57</v>
      </c>
      <c r="AL276">
        <f ca="1">IFERROR(IF(0=LEN(ReferenceData!$AL$276),"",ReferenceData!$AL$276),"")</f>
        <v>54</v>
      </c>
      <c r="AM276">
        <f ca="1">IFERROR(IF(0=LEN(ReferenceData!$AM$276),"",ReferenceData!$AM$276),"")</f>
        <v>57</v>
      </c>
      <c r="AN276">
        <f ca="1">IFERROR(IF(0=LEN(ReferenceData!$AN$276),"",ReferenceData!$AN$276),"")</f>
        <v>74</v>
      </c>
      <c r="AO276">
        <f ca="1">IFERROR(IF(0=LEN(ReferenceData!$AO$276),"",ReferenceData!$AO$276),"")</f>
        <v>72</v>
      </c>
      <c r="AP276">
        <f ca="1">IFERROR(IF(0=LEN(ReferenceData!$AP$276),"",ReferenceData!$AP$276),"")</f>
        <v>75</v>
      </c>
      <c r="AQ276">
        <f ca="1">IFERROR(IF(0=LEN(ReferenceData!$AQ$276),"",ReferenceData!$AQ$276),"")</f>
        <v>28</v>
      </c>
      <c r="AR276">
        <f ca="1">IFERROR(IF(0=LEN(ReferenceData!$AR$276),"",ReferenceData!$AR$276),"")</f>
        <v>26</v>
      </c>
      <c r="AS276">
        <f ca="1">IFERROR(IF(0=LEN(ReferenceData!$AS$276),"",ReferenceData!$AS$276),"")</f>
        <v>19</v>
      </c>
    </row>
    <row r="277" spans="1:45" x14ac:dyDescent="0.25">
      <c r="A277" t="str">
        <f>IFERROR(IF(0=LEN(ReferenceData!$A$277),"",ReferenceData!$A$277),"")</f>
        <v xml:space="preserve">    Scania</v>
      </c>
      <c r="B277" t="str">
        <f>IFERROR(IF(0=LEN(ReferenceData!$B$277),"",ReferenceData!$B$277),"")</f>
        <v>SCVB SS Equity</v>
      </c>
      <c r="C277" t="str">
        <f>IFERROR(IF(0=LEN(ReferenceData!$C$277),"",ReferenceData!$C$277),"")</f>
        <v>X1701</v>
      </c>
      <c r="D277" t="str">
        <f>IFERROR(IF(0=LEN(ReferenceData!$D$277),"",ReferenceData!$D$277),"")</f>
        <v>WARDS_RETAIL_SALES_UNITS</v>
      </c>
      <c r="E277" t="str">
        <f>IFERROR(IF(0=LEN(ReferenceData!$E$277),"",ReferenceData!$E$277),"")</f>
        <v>Dynamic</v>
      </c>
      <c r="F277" t="str">
        <f ca="1">IFERROR(IF(0=LEN(ReferenceData!$F$277),"",ReferenceData!$F$277),"")</f>
        <v/>
      </c>
      <c r="G277" t="str">
        <f ca="1">IFERROR(IF(0=LEN(ReferenceData!$G$277),"",ReferenceData!$G$277),"")</f>
        <v/>
      </c>
      <c r="H277" t="str">
        <f ca="1">IFERROR(IF(0=LEN(ReferenceData!$H$277),"",ReferenceData!$H$277),"")</f>
        <v/>
      </c>
      <c r="I277" t="str">
        <f ca="1">IFERROR(IF(0=LEN(ReferenceData!$I$277),"",ReferenceData!$I$277),"")</f>
        <v/>
      </c>
      <c r="J277" t="str">
        <f ca="1">IFERROR(IF(0=LEN(ReferenceData!$J$277),"",ReferenceData!$J$277),"")</f>
        <v/>
      </c>
      <c r="K277" t="str">
        <f ca="1">IFERROR(IF(0=LEN(ReferenceData!$K$277),"",ReferenceData!$K$277),"")</f>
        <v/>
      </c>
      <c r="L277" t="str">
        <f ca="1">IFERROR(IF(0=LEN(ReferenceData!$L$277),"",ReferenceData!$L$277),"")</f>
        <v/>
      </c>
      <c r="M277" t="str">
        <f ca="1">IFERROR(IF(0=LEN(ReferenceData!$M$277),"",ReferenceData!$M$277),"")</f>
        <v/>
      </c>
      <c r="N277" t="str">
        <f ca="1">IFERROR(IF(0=LEN(ReferenceData!$N$277),"",ReferenceData!$N$277),"")</f>
        <v/>
      </c>
      <c r="O277" t="str">
        <f ca="1">IFERROR(IF(0=LEN(ReferenceData!$O$277),"",ReferenceData!$O$277),"")</f>
        <v/>
      </c>
      <c r="P277" t="str">
        <f ca="1">IFERROR(IF(0=LEN(ReferenceData!$P$277),"",ReferenceData!$P$277),"")</f>
        <v/>
      </c>
      <c r="Q277" t="str">
        <f ca="1">IFERROR(IF(0=LEN(ReferenceData!$Q$277),"",ReferenceData!$Q$277),"")</f>
        <v/>
      </c>
      <c r="R277" t="str">
        <f ca="1">IFERROR(IF(0=LEN(ReferenceData!$R$277),"",ReferenceData!$R$277),"")</f>
        <v/>
      </c>
      <c r="S277" t="str">
        <f ca="1">IFERROR(IF(0=LEN(ReferenceData!$S$277),"",ReferenceData!$S$277),"")</f>
        <v/>
      </c>
      <c r="T277" t="str">
        <f ca="1">IFERROR(IF(0=LEN(ReferenceData!$T$277),"",ReferenceData!$T$277),"")</f>
        <v/>
      </c>
      <c r="U277" t="str">
        <f ca="1">IFERROR(IF(0=LEN(ReferenceData!$U$277),"",ReferenceData!$U$277),"")</f>
        <v/>
      </c>
      <c r="V277" t="str">
        <f ca="1">IFERROR(IF(0=LEN(ReferenceData!$V$277),"",ReferenceData!$V$277),"")</f>
        <v/>
      </c>
      <c r="W277" t="str">
        <f ca="1">IFERROR(IF(0=LEN(ReferenceData!$W$277),"",ReferenceData!$W$277),"")</f>
        <v/>
      </c>
      <c r="X277" t="str">
        <f ca="1">IFERROR(IF(0=LEN(ReferenceData!$X$277),"",ReferenceData!$X$277),"")</f>
        <v/>
      </c>
      <c r="Y277" t="str">
        <f ca="1">IFERROR(IF(0=LEN(ReferenceData!$Y$277),"",ReferenceData!$Y$277),"")</f>
        <v/>
      </c>
      <c r="Z277" t="str">
        <f ca="1">IFERROR(IF(0=LEN(ReferenceData!$Z$277),"",ReferenceData!$Z$277),"")</f>
        <v/>
      </c>
      <c r="AA277" t="str">
        <f ca="1">IFERROR(IF(0=LEN(ReferenceData!$AA$277),"",ReferenceData!$AA$277),"")</f>
        <v/>
      </c>
      <c r="AB277" t="str">
        <f ca="1">IFERROR(IF(0=LEN(ReferenceData!$AB$277),"",ReferenceData!$AB$277),"")</f>
        <v/>
      </c>
      <c r="AC277" t="str">
        <f ca="1">IFERROR(IF(0=LEN(ReferenceData!$AC$277),"",ReferenceData!$AC$277),"")</f>
        <v/>
      </c>
      <c r="AD277" t="str">
        <f ca="1">IFERROR(IF(0=LEN(ReferenceData!$AD$277),"",ReferenceData!$AD$277),"")</f>
        <v/>
      </c>
      <c r="AE277" t="str">
        <f ca="1">IFERROR(IF(0=LEN(ReferenceData!$AE$277),"",ReferenceData!$AE$277),"")</f>
        <v/>
      </c>
      <c r="AF277" t="str">
        <f ca="1">IFERROR(IF(0=LEN(ReferenceData!$AF$277),"",ReferenceData!$AF$277),"")</f>
        <v/>
      </c>
      <c r="AG277" t="str">
        <f ca="1">IFERROR(IF(0=LEN(ReferenceData!$AG$277),"",ReferenceData!$AG$277),"")</f>
        <v/>
      </c>
      <c r="AH277" t="str">
        <f ca="1">IFERROR(IF(0=LEN(ReferenceData!$AH$277),"",ReferenceData!$AH$277),"")</f>
        <v/>
      </c>
      <c r="AI277" t="str">
        <f ca="1">IFERROR(IF(0=LEN(ReferenceData!$AI$277),"",ReferenceData!$AI$277),"")</f>
        <v/>
      </c>
      <c r="AJ277" t="str">
        <f ca="1">IFERROR(IF(0=LEN(ReferenceData!$AJ$277),"",ReferenceData!$AJ$277),"")</f>
        <v/>
      </c>
      <c r="AK277" t="str">
        <f ca="1">IFERROR(IF(0=LEN(ReferenceData!$AK$277),"",ReferenceData!$AK$277),"")</f>
        <v/>
      </c>
      <c r="AL277" t="str">
        <f ca="1">IFERROR(IF(0=LEN(ReferenceData!$AL$277),"",ReferenceData!$AL$277),"")</f>
        <v/>
      </c>
      <c r="AM277" t="str">
        <f ca="1">IFERROR(IF(0=LEN(ReferenceData!$AM$277),"",ReferenceData!$AM$277),"")</f>
        <v/>
      </c>
      <c r="AN277" t="str">
        <f ca="1">IFERROR(IF(0=LEN(ReferenceData!$AN$277),"",ReferenceData!$AN$277),"")</f>
        <v/>
      </c>
      <c r="AO277" t="str">
        <f ca="1">IFERROR(IF(0=LEN(ReferenceData!$AO$277),"",ReferenceData!$AO$277),"")</f>
        <v/>
      </c>
      <c r="AP277" t="str">
        <f ca="1">IFERROR(IF(0=LEN(ReferenceData!$AP$277),"",ReferenceData!$AP$277),"")</f>
        <v/>
      </c>
      <c r="AQ277" t="str">
        <f ca="1">IFERROR(IF(0=LEN(ReferenceData!$AQ$277),"",ReferenceData!$AQ$277),"")</f>
        <v/>
      </c>
      <c r="AR277" t="str">
        <f ca="1">IFERROR(IF(0=LEN(ReferenceData!$AR$277),"",ReferenceData!$AR$277),"")</f>
        <v/>
      </c>
      <c r="AS277" t="str">
        <f ca="1">IFERROR(IF(0=LEN(ReferenceData!$AS$277),"",ReferenceData!$AS$277),"")</f>
        <v/>
      </c>
    </row>
    <row r="278" spans="1:45" x14ac:dyDescent="0.25">
      <c r="A278" t="str">
        <f>IFERROR(IF(0=LEN(ReferenceData!$A$278),"",ReferenceData!$A$278),"")</f>
        <v xml:space="preserve">    Unspecified</v>
      </c>
      <c r="B278" t="str">
        <f>IFERROR(IF(0=LEN(ReferenceData!$B$278),"",ReferenceData!$B$278),"")</f>
        <v>7205 JP Equity</v>
      </c>
      <c r="C278" t="str">
        <f>IFERROR(IF(0=LEN(ReferenceData!$C$278),"",ReferenceData!$C$278),"")</f>
        <v/>
      </c>
      <c r="D278" t="str">
        <f>IFERROR(IF(0=LEN(ReferenceData!$D$278),"",ReferenceData!$D$278),"")</f>
        <v/>
      </c>
      <c r="E278" t="str">
        <f>IFERROR(IF(0=LEN(ReferenceData!$E$278),"",ReferenceData!$E$278),"")</f>
        <v>Expression</v>
      </c>
      <c r="F278">
        <f ca="1">IFERROR(IF(0=LEN(ReferenceData!$F$278),"",ReferenceData!$F$278),"")</f>
        <v>474</v>
      </c>
      <c r="G278">
        <f ca="1">IFERROR(IF(0=LEN(ReferenceData!$G$278),"",ReferenceData!$G$278),"")</f>
        <v>498</v>
      </c>
      <c r="H278">
        <f ca="1">IFERROR(IF(0=LEN(ReferenceData!$H$278),"",ReferenceData!$H$278),"")</f>
        <v>515</v>
      </c>
      <c r="I278">
        <f ca="1">IFERROR(IF(0=LEN(ReferenceData!$I$278),"",ReferenceData!$I$278),"")</f>
        <v>468</v>
      </c>
      <c r="J278">
        <f ca="1">IFERROR(IF(0=LEN(ReferenceData!$J$278),"",ReferenceData!$J$278),"")</f>
        <v>518</v>
      </c>
      <c r="K278">
        <f ca="1">IFERROR(IF(0=LEN(ReferenceData!$K$278),"",ReferenceData!$K$278),"")</f>
        <v>432</v>
      </c>
      <c r="L278">
        <f ca="1">IFERROR(IF(0=LEN(ReferenceData!$L$278),"",ReferenceData!$L$278),"")</f>
        <v>437</v>
      </c>
      <c r="M278">
        <f ca="1">IFERROR(IF(0=LEN(ReferenceData!$M$278),"",ReferenceData!$M$278),"")</f>
        <v>500</v>
      </c>
      <c r="N278">
        <f ca="1">IFERROR(IF(0=LEN(ReferenceData!$N$278),"",ReferenceData!$N$278),"")</f>
        <v>433</v>
      </c>
      <c r="O278">
        <f ca="1">IFERROR(IF(0=LEN(ReferenceData!$O$278),"",ReferenceData!$O$278),"")</f>
        <v>448</v>
      </c>
      <c r="P278">
        <f ca="1">IFERROR(IF(0=LEN(ReferenceData!$P$278),"",ReferenceData!$P$278),"")</f>
        <v>0</v>
      </c>
      <c r="Q278">
        <f ca="1">IFERROR(IF(0=LEN(ReferenceData!$Q$278),"",ReferenceData!$Q$278),"")</f>
        <v>0</v>
      </c>
      <c r="R278">
        <f ca="1">IFERROR(IF(0=LEN(ReferenceData!$R$278),"",ReferenceData!$R$278),"")</f>
        <v>0</v>
      </c>
      <c r="S278">
        <f ca="1">IFERROR(IF(0=LEN(ReferenceData!$S$278),"",ReferenceData!$S$278),"")</f>
        <v>0</v>
      </c>
      <c r="T278">
        <f ca="1">IFERROR(IF(0=LEN(ReferenceData!$T$278),"",ReferenceData!$T$278),"")</f>
        <v>0</v>
      </c>
      <c r="U278">
        <f ca="1">IFERROR(IF(0=LEN(ReferenceData!$U$278),"",ReferenceData!$U$278),"")</f>
        <v>0</v>
      </c>
      <c r="V278">
        <f ca="1">IFERROR(IF(0=LEN(ReferenceData!$V$278),"",ReferenceData!$V$278),"")</f>
        <v>0</v>
      </c>
      <c r="W278">
        <f ca="1">IFERROR(IF(0=LEN(ReferenceData!$W$278),"",ReferenceData!$W$278),"")</f>
        <v>0</v>
      </c>
      <c r="X278">
        <f ca="1">IFERROR(IF(0=LEN(ReferenceData!$X$278),"",ReferenceData!$X$278),"")</f>
        <v>0</v>
      </c>
      <c r="Y278">
        <f ca="1">IFERROR(IF(0=LEN(ReferenceData!$Y$278),"",ReferenceData!$Y$278),"")</f>
        <v>0</v>
      </c>
      <c r="Z278">
        <f ca="1">IFERROR(IF(0=LEN(ReferenceData!$Z$278),"",ReferenceData!$Z$278),"")</f>
        <v>0</v>
      </c>
      <c r="AA278">
        <f ca="1">IFERROR(IF(0=LEN(ReferenceData!$AA$278),"",ReferenceData!$AA$278),"")</f>
        <v>0</v>
      </c>
      <c r="AB278">
        <f ca="1">IFERROR(IF(0=LEN(ReferenceData!$AB$278),"",ReferenceData!$AB$278),"")</f>
        <v>0</v>
      </c>
      <c r="AC278">
        <f ca="1">IFERROR(IF(0=LEN(ReferenceData!$AC$278),"",ReferenceData!$AC$278),"")</f>
        <v>0</v>
      </c>
      <c r="AD278">
        <f ca="1">IFERROR(IF(0=LEN(ReferenceData!$AD$278),"",ReferenceData!$AD$278),"")</f>
        <v>0</v>
      </c>
      <c r="AE278">
        <f ca="1">IFERROR(IF(0=LEN(ReferenceData!$AE$278),"",ReferenceData!$AE$278),"")</f>
        <v>0</v>
      </c>
      <c r="AF278">
        <f ca="1">IFERROR(IF(0=LEN(ReferenceData!$AF$278),"",ReferenceData!$AF$278),"")</f>
        <v>0</v>
      </c>
      <c r="AG278">
        <f ca="1">IFERROR(IF(0=LEN(ReferenceData!$AG$278),"",ReferenceData!$AG$278),"")</f>
        <v>0</v>
      </c>
      <c r="AH278">
        <f ca="1">IFERROR(IF(0=LEN(ReferenceData!$AH$278),"",ReferenceData!$AH$278),"")</f>
        <v>0</v>
      </c>
      <c r="AI278">
        <f ca="1">IFERROR(IF(0=LEN(ReferenceData!$AI$278),"",ReferenceData!$AI$278),"")</f>
        <v>0</v>
      </c>
      <c r="AJ278">
        <f ca="1">IFERROR(IF(0=LEN(ReferenceData!$AJ$278),"",ReferenceData!$AJ$278),"")</f>
        <v>0</v>
      </c>
      <c r="AK278">
        <f ca="1">IFERROR(IF(0=LEN(ReferenceData!$AK$278),"",ReferenceData!$AK$278),"")</f>
        <v>0</v>
      </c>
      <c r="AL278">
        <f ca="1">IFERROR(IF(0=LEN(ReferenceData!$AL$278),"",ReferenceData!$AL$278),"")</f>
        <v>0</v>
      </c>
      <c r="AM278">
        <f ca="1">IFERROR(IF(0=LEN(ReferenceData!$AM$278),"",ReferenceData!$AM$278),"")</f>
        <v>0</v>
      </c>
      <c r="AN278">
        <f ca="1">IFERROR(IF(0=LEN(ReferenceData!$AN$278),"",ReferenceData!$AN$278),"")</f>
        <v>0</v>
      </c>
      <c r="AO278">
        <f ca="1">IFERROR(IF(0=LEN(ReferenceData!$AO$278),"",ReferenceData!$AO$278),"")</f>
        <v>0</v>
      </c>
      <c r="AP278">
        <f ca="1">IFERROR(IF(0=LEN(ReferenceData!$AP$278),"",ReferenceData!$AP$278),"")</f>
        <v>0</v>
      </c>
      <c r="AQ278">
        <f ca="1">IFERROR(IF(0=LEN(ReferenceData!$AQ$278),"",ReferenceData!$AQ$278),"")</f>
        <v>0</v>
      </c>
      <c r="AR278">
        <f ca="1">IFERROR(IF(0=LEN(ReferenceData!$AR$278),"",ReferenceData!$AR$278),"")</f>
        <v>0</v>
      </c>
      <c r="AS278">
        <f ca="1">IFERROR(IF(0=LEN(ReferenceData!$AS$278),"",ReferenceData!$AS$278),"")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04"/>
  <sheetViews>
    <sheetView workbookViewId="0"/>
  </sheetViews>
  <sheetFormatPr defaultRowHeight="15" x14ac:dyDescent="0.25"/>
  <cols>
    <col min="1" max="1" width="56.28515625" customWidth="1"/>
    <col min="2" max="2" width="15.85546875" customWidth="1"/>
    <col min="3" max="85" width="9.140625" bestFit="1" customWidth="1"/>
  </cols>
  <sheetData>
    <row r="1" spans="1:8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5">
      <c r="A2" s="1" t="str">
        <f>"Description"</f>
        <v>Description</v>
      </c>
      <c r="B2" s="1" t="str">
        <f>"Ticker"</f>
        <v>Ticker</v>
      </c>
      <c r="C2" s="1" t="str">
        <f>"Field ID"</f>
        <v>Field ID</v>
      </c>
      <c r="D2" s="1" t="str">
        <f>"Field Mnemonic"</f>
        <v>Field Mnemonic</v>
      </c>
      <c r="E2" s="1" t="str">
        <f>"Data State"</f>
        <v>Data State</v>
      </c>
      <c r="F2" s="1" t="str">
        <f>ReferenceData!$C$390</f>
        <v>10/2017</v>
      </c>
      <c r="G2" s="1" t="str">
        <f>ReferenceData!$D$390</f>
        <v>9/2017</v>
      </c>
      <c r="H2" s="1" t="str">
        <f>ReferenceData!$E$390</f>
        <v>8/2017</v>
      </c>
      <c r="I2" s="1" t="str">
        <f>ReferenceData!$F$390</f>
        <v>7/2017</v>
      </c>
      <c r="J2" s="1" t="str">
        <f>ReferenceData!$G$390</f>
        <v>6/2017</v>
      </c>
      <c r="K2" s="1" t="str">
        <f>ReferenceData!$H$390</f>
        <v>5/2017</v>
      </c>
      <c r="L2" s="1" t="str">
        <f>ReferenceData!$I$390</f>
        <v>4/2017</v>
      </c>
      <c r="M2" s="1" t="str">
        <f>ReferenceData!$J$390</f>
        <v>3/2017</v>
      </c>
      <c r="N2" s="1" t="str">
        <f>ReferenceData!$K$390</f>
        <v>2/2017</v>
      </c>
      <c r="O2" s="1" t="str">
        <f>ReferenceData!$L$390</f>
        <v>1/2017</v>
      </c>
      <c r="P2" s="1" t="str">
        <f>ReferenceData!$M$390</f>
        <v>12/2016</v>
      </c>
      <c r="Q2" s="1" t="str">
        <f>ReferenceData!$N$390</f>
        <v>11/2016</v>
      </c>
      <c r="R2" s="1" t="str">
        <f>ReferenceData!$O$390</f>
        <v>10/2016</v>
      </c>
      <c r="S2" s="1" t="str">
        <f>ReferenceData!$P$390</f>
        <v>9/2016</v>
      </c>
      <c r="T2" s="1" t="str">
        <f>ReferenceData!$Q$390</f>
        <v>8/2016</v>
      </c>
      <c r="U2" s="1" t="str">
        <f>ReferenceData!$R$390</f>
        <v>7/2016</v>
      </c>
      <c r="V2" s="1" t="str">
        <f>ReferenceData!$S$390</f>
        <v>6/2016</v>
      </c>
      <c r="W2" s="1" t="str">
        <f>ReferenceData!$T$390</f>
        <v>5/2016</v>
      </c>
      <c r="X2" s="1" t="str">
        <f>ReferenceData!$U$390</f>
        <v>4/2016</v>
      </c>
      <c r="Y2" s="1" t="str">
        <f>ReferenceData!$V$390</f>
        <v>3/2016</v>
      </c>
      <c r="Z2" s="1" t="str">
        <f>ReferenceData!$W$390</f>
        <v>2/2016</v>
      </c>
      <c r="AA2" s="1" t="str">
        <f>ReferenceData!$X$390</f>
        <v>1/2016</v>
      </c>
      <c r="AB2" s="1" t="str">
        <f>ReferenceData!$Y$390</f>
        <v>12/2015</v>
      </c>
      <c r="AC2" s="1" t="str">
        <f>ReferenceData!$Z$390</f>
        <v>11/2015</v>
      </c>
      <c r="AD2" s="1" t="str">
        <f>ReferenceData!$AA$390</f>
        <v>10/2015</v>
      </c>
      <c r="AE2" s="1" t="str">
        <f>ReferenceData!$AB$390</f>
        <v>9/2015</v>
      </c>
      <c r="AF2" s="1" t="str">
        <f>ReferenceData!$AC$390</f>
        <v>8/2015</v>
      </c>
      <c r="AG2" s="1" t="str">
        <f>ReferenceData!$AD$390</f>
        <v>7/2015</v>
      </c>
      <c r="AH2" s="1" t="str">
        <f>ReferenceData!$AE$390</f>
        <v>6/2015</v>
      </c>
      <c r="AI2" s="1" t="str">
        <f>ReferenceData!$AF$390</f>
        <v>5/2015</v>
      </c>
      <c r="AJ2" s="1" t="str">
        <f>ReferenceData!$AG$390</f>
        <v>4/2015</v>
      </c>
      <c r="AK2" s="1" t="str">
        <f>ReferenceData!$AH$390</f>
        <v>3/2015</v>
      </c>
      <c r="AL2" s="1" t="str">
        <f>ReferenceData!$AI$390</f>
        <v>2/2015</v>
      </c>
      <c r="AM2" s="1" t="str">
        <f>ReferenceData!$AJ$390</f>
        <v>1/2015</v>
      </c>
      <c r="AN2" s="1" t="str">
        <f>ReferenceData!$AK$390</f>
        <v>12/2014</v>
      </c>
      <c r="AO2" s="1" t="str">
        <f>ReferenceData!$AL$390</f>
        <v>11/2014</v>
      </c>
      <c r="AP2" s="1" t="str">
        <f>ReferenceData!$AM$390</f>
        <v>10/2014</v>
      </c>
      <c r="AQ2" s="1" t="str">
        <f>ReferenceData!$AN$390</f>
        <v>9/2014</v>
      </c>
      <c r="AR2" s="1" t="str">
        <f>ReferenceData!$AO$390</f>
        <v>8/2014</v>
      </c>
      <c r="AS2" s="1" t="str">
        <f>ReferenceData!$AP$390</f>
        <v>7/2014</v>
      </c>
      <c r="AT2" t="str">
        <f>$C$390</f>
        <v>10/2017</v>
      </c>
      <c r="AU2" t="str">
        <f>$D$390</f>
        <v>9/2017</v>
      </c>
      <c r="AV2" t="str">
        <f>$E$390</f>
        <v>8/2017</v>
      </c>
      <c r="AW2" t="str">
        <f>$F$390</f>
        <v>7/2017</v>
      </c>
      <c r="AX2" t="str">
        <f>$G$390</f>
        <v>6/2017</v>
      </c>
      <c r="AY2" t="str">
        <f>$H$390</f>
        <v>5/2017</v>
      </c>
      <c r="AZ2" t="str">
        <f>$I$390</f>
        <v>4/2017</v>
      </c>
      <c r="BA2" t="str">
        <f>$J$390</f>
        <v>3/2017</v>
      </c>
      <c r="BB2" t="str">
        <f>$K$390</f>
        <v>2/2017</v>
      </c>
      <c r="BC2" t="str">
        <f>$L$390</f>
        <v>1/2017</v>
      </c>
      <c r="BD2" t="str">
        <f>$M$390</f>
        <v>12/2016</v>
      </c>
      <c r="BE2" t="str">
        <f>$N$390</f>
        <v>11/2016</v>
      </c>
      <c r="BF2" t="str">
        <f>$O$390</f>
        <v>10/2016</v>
      </c>
      <c r="BG2" t="str">
        <f>$P$390</f>
        <v>9/2016</v>
      </c>
      <c r="BH2" t="str">
        <f>$Q$390</f>
        <v>8/2016</v>
      </c>
      <c r="BI2" t="str">
        <f>$R$390</f>
        <v>7/2016</v>
      </c>
      <c r="BJ2" t="str">
        <f>$S$390</f>
        <v>6/2016</v>
      </c>
      <c r="BK2" t="str">
        <f>$T$390</f>
        <v>5/2016</v>
      </c>
      <c r="BL2" t="str">
        <f>$U$390</f>
        <v>4/2016</v>
      </c>
      <c r="BM2" t="str">
        <f>$V$390</f>
        <v>3/2016</v>
      </c>
      <c r="BN2" t="str">
        <f>$W$390</f>
        <v>2/2016</v>
      </c>
      <c r="BO2" t="str">
        <f>$X$390</f>
        <v>1/2016</v>
      </c>
      <c r="BP2" t="str">
        <f>$Y$390</f>
        <v>12/2015</v>
      </c>
      <c r="BQ2" t="str">
        <f>$Z$390</f>
        <v>11/2015</v>
      </c>
      <c r="BR2" t="str">
        <f>$AA$390</f>
        <v>10/2015</v>
      </c>
      <c r="BS2" t="str">
        <f>$AB$390</f>
        <v>9/2015</v>
      </c>
      <c r="BT2" t="str">
        <f>$AC$390</f>
        <v>8/2015</v>
      </c>
      <c r="BU2" t="str">
        <f>$AD$390</f>
        <v>7/2015</v>
      </c>
      <c r="BV2" t="str">
        <f>$AE$390</f>
        <v>6/2015</v>
      </c>
      <c r="BW2" t="str">
        <f>$AF$390</f>
        <v>5/2015</v>
      </c>
      <c r="BX2" t="str">
        <f>$AG$390</f>
        <v>4/2015</v>
      </c>
      <c r="BY2" t="str">
        <f>$AH$390</f>
        <v>3/2015</v>
      </c>
      <c r="BZ2" t="str">
        <f>$AI$390</f>
        <v>2/2015</v>
      </c>
      <c r="CA2" t="str">
        <f>$AJ$390</f>
        <v>1/2015</v>
      </c>
      <c r="CB2" t="str">
        <f>$AK$390</f>
        <v>12/2014</v>
      </c>
      <c r="CC2" t="str">
        <f>$AL$390</f>
        <v>11/2014</v>
      </c>
      <c r="CD2" t="str">
        <f>$AM$390</f>
        <v>10/2014</v>
      </c>
      <c r="CE2" t="str">
        <f>$AN$390</f>
        <v>9/2014</v>
      </c>
      <c r="CF2" t="str">
        <f>$AO$390</f>
        <v>8/2014</v>
      </c>
      <c r="CG2" t="str">
        <f>$AP$390</f>
        <v>7/2014</v>
      </c>
    </row>
    <row r="3" spans="1:85" x14ac:dyDescent="0.25">
      <c r="A3" t="str">
        <f>"North American Retail Sales - Market Share"</f>
        <v>North American Retail Sales - Market Share</v>
      </c>
      <c r="B3" t="str">
        <f>""</f>
        <v/>
      </c>
      <c r="E3" t="str">
        <f>"Heading"</f>
        <v>Heading</v>
      </c>
      <c r="AT3" t="str">
        <f>""</f>
        <v/>
      </c>
      <c r="AU3" t="str">
        <f>""</f>
        <v/>
      </c>
      <c r="AV3" t="str">
        <f>""</f>
        <v/>
      </c>
      <c r="AW3" t="str">
        <f>""</f>
        <v/>
      </c>
      <c r="AX3" t="str">
        <f>""</f>
        <v/>
      </c>
      <c r="AY3" t="str">
        <f>""</f>
        <v/>
      </c>
      <c r="AZ3" t="str">
        <f>""</f>
        <v/>
      </c>
      <c r="BA3" t="str">
        <f>""</f>
        <v/>
      </c>
      <c r="BB3" t="str">
        <f>""</f>
        <v/>
      </c>
      <c r="BC3" t="str">
        <f>""</f>
        <v/>
      </c>
      <c r="BD3" t="str">
        <f>""</f>
        <v/>
      </c>
      <c r="BE3" t="str">
        <f>""</f>
        <v/>
      </c>
      <c r="BF3" t="str">
        <f>""</f>
        <v/>
      </c>
      <c r="BG3" t="str">
        <f>""</f>
        <v/>
      </c>
      <c r="BH3" t="str">
        <f>""</f>
        <v/>
      </c>
      <c r="BI3" t="str">
        <f>""</f>
        <v/>
      </c>
      <c r="BJ3" t="str">
        <f>""</f>
        <v/>
      </c>
      <c r="BK3" t="str">
        <f>""</f>
        <v/>
      </c>
      <c r="BL3" t="str">
        <f>""</f>
        <v/>
      </c>
      <c r="BM3" t="str">
        <f>""</f>
        <v/>
      </c>
      <c r="BN3" t="str">
        <f>""</f>
        <v/>
      </c>
      <c r="BO3" t="str">
        <f>""</f>
        <v/>
      </c>
      <c r="BP3" t="str">
        <f>""</f>
        <v/>
      </c>
      <c r="BQ3" t="str">
        <f>""</f>
        <v/>
      </c>
      <c r="BR3" t="str">
        <f>""</f>
        <v/>
      </c>
      <c r="BS3" t="str">
        <f>""</f>
        <v/>
      </c>
      <c r="BT3" t="str">
        <f>""</f>
        <v/>
      </c>
      <c r="BU3" t="str">
        <f>""</f>
        <v/>
      </c>
      <c r="BV3" t="str">
        <f>""</f>
        <v/>
      </c>
      <c r="BW3" t="str">
        <f>""</f>
        <v/>
      </c>
      <c r="BX3" t="str">
        <f>""</f>
        <v/>
      </c>
      <c r="BY3" t="str">
        <f>""</f>
        <v/>
      </c>
      <c r="BZ3" t="str">
        <f>""</f>
        <v/>
      </c>
      <c r="CA3" t="str">
        <f>""</f>
        <v/>
      </c>
      <c r="CB3" t="str">
        <f>""</f>
        <v/>
      </c>
      <c r="CC3" t="str">
        <f>""</f>
        <v/>
      </c>
      <c r="CD3" t="str">
        <f>""</f>
        <v/>
      </c>
      <c r="CE3" t="str">
        <f>""</f>
        <v/>
      </c>
      <c r="CF3" t="str">
        <f>""</f>
        <v/>
      </c>
      <c r="CG3" t="str">
        <f>""</f>
        <v/>
      </c>
    </row>
    <row r="4" spans="1:85" x14ac:dyDescent="0.25">
      <c r="A4" t="str">
        <f>"Class 8 (Heavy-Duty):"</f>
        <v>Class 8 (Heavy-Duty):</v>
      </c>
      <c r="B4" t="str">
        <f>""</f>
        <v/>
      </c>
      <c r="E4" t="str">
        <f>"Heading"</f>
        <v>Heading</v>
      </c>
      <c r="AT4" t="str">
        <f>""</f>
        <v/>
      </c>
      <c r="AU4" t="str">
        <f>""</f>
        <v/>
      </c>
      <c r="AV4" t="str">
        <f>""</f>
        <v/>
      </c>
      <c r="AW4" t="str">
        <f>""</f>
        <v/>
      </c>
      <c r="AX4" t="str">
        <f>""</f>
        <v/>
      </c>
      <c r="AY4" t="str">
        <f>""</f>
        <v/>
      </c>
      <c r="AZ4" t="str">
        <f>""</f>
        <v/>
      </c>
      <c r="BA4" t="str">
        <f>""</f>
        <v/>
      </c>
      <c r="BB4" t="str">
        <f>""</f>
        <v/>
      </c>
      <c r="BC4" t="str">
        <f>""</f>
        <v/>
      </c>
      <c r="BD4" t="str">
        <f>""</f>
        <v/>
      </c>
      <c r="BE4" t="str">
        <f>""</f>
        <v/>
      </c>
      <c r="BF4" t="str">
        <f>""</f>
        <v/>
      </c>
      <c r="BG4" t="str">
        <f>""</f>
        <v/>
      </c>
      <c r="BH4" t="str">
        <f>""</f>
        <v/>
      </c>
      <c r="BI4" t="str">
        <f>""</f>
        <v/>
      </c>
      <c r="BJ4" t="str">
        <f>""</f>
        <v/>
      </c>
      <c r="BK4" t="str">
        <f>""</f>
        <v/>
      </c>
      <c r="BL4" t="str">
        <f>""</f>
        <v/>
      </c>
      <c r="BM4" t="str">
        <f>""</f>
        <v/>
      </c>
      <c r="BN4" t="str">
        <f>""</f>
        <v/>
      </c>
      <c r="BO4" t="str">
        <f>""</f>
        <v/>
      </c>
      <c r="BP4" t="str">
        <f>""</f>
        <v/>
      </c>
      <c r="BQ4" t="str">
        <f>""</f>
        <v/>
      </c>
      <c r="BR4" t="str">
        <f>""</f>
        <v/>
      </c>
      <c r="BS4" t="str">
        <f>""</f>
        <v/>
      </c>
      <c r="BT4" t="str">
        <f>""</f>
        <v/>
      </c>
      <c r="BU4" t="str">
        <f>""</f>
        <v/>
      </c>
      <c r="BV4" t="str">
        <f>""</f>
        <v/>
      </c>
      <c r="BW4" t="str">
        <f>""</f>
        <v/>
      </c>
      <c r="BX4" t="str">
        <f>""</f>
        <v/>
      </c>
      <c r="BY4" t="str">
        <f>""</f>
        <v/>
      </c>
      <c r="BZ4" t="str">
        <f>""</f>
        <v/>
      </c>
      <c r="CA4" t="str">
        <f>""</f>
        <v/>
      </c>
      <c r="CB4" t="str">
        <f>""</f>
        <v/>
      </c>
      <c r="CC4" t="str">
        <f>""</f>
        <v/>
      </c>
      <c r="CD4" t="str">
        <f>""</f>
        <v/>
      </c>
      <c r="CE4" t="str">
        <f>""</f>
        <v/>
      </c>
      <c r="CF4" t="str">
        <f>""</f>
        <v/>
      </c>
      <c r="CG4" t="str">
        <f>""</f>
        <v/>
      </c>
    </row>
    <row r="5" spans="1:85" x14ac:dyDescent="0.25">
      <c r="A5" t="str">
        <f>"Total North America (Class 8)"</f>
        <v>Total North America (Class 8)</v>
      </c>
      <c r="B5" t="str">
        <f>"TRCKNA8S Index"</f>
        <v>TRCKNA8S Index</v>
      </c>
      <c r="E5" t="str">
        <f>"Sum"</f>
        <v>Sum</v>
      </c>
      <c r="F5">
        <f ca="1">IF(ISERROR(IF(SUM($F$6,$F$11,$F$14,$F$16,$F$19,$F$20,$F$23,$F$24) = 0, "", SUM($F$6,$F$11,$F$14,$F$16,$F$19,$F$20,$F$23,$F$24))), "", (IF(SUM($F$6,$F$11,$F$14,$F$16,$F$19,$F$20,$F$23,$F$24) = 0, "", SUM($F$6,$F$11,$F$14,$F$16,$F$19,$F$20,$F$23,$F$24))))</f>
        <v>99.999999996000014</v>
      </c>
      <c r="G5">
        <f ca="1">IF(ISERROR(IF(SUM($G$6,$G$11,$G$14,$G$16,$G$19,$G$20,$G$23,$G$24) = 0, "", SUM($G$6,$G$11,$G$14,$G$16,$G$19,$G$20,$G$23,$G$24))), "", (IF(SUM($G$6,$G$11,$G$14,$G$16,$G$19,$G$20,$G$23,$G$24) = 0, "", SUM($G$6,$G$11,$G$14,$G$16,$G$19,$G$20,$G$23,$G$24))))</f>
        <v>99.999999989000003</v>
      </c>
      <c r="H5">
        <f ca="1">IF(ISERROR(IF(SUM($H$6,$H$11,$H$14,$H$16,$H$19,$H$20,$H$23,$H$24) = 0, "", SUM($H$6,$H$11,$H$14,$H$16,$H$19,$H$20,$H$23,$H$24))), "", (IF(SUM($H$6,$H$11,$H$14,$H$16,$H$19,$H$20,$H$23,$H$24) = 0, "", SUM($H$6,$H$11,$H$14,$H$16,$H$19,$H$20,$H$23,$H$24))))</f>
        <v>100.00000000799999</v>
      </c>
      <c r="I5">
        <f ca="1">IF(ISERROR(IF(SUM($I$6,$I$11,$I$14,$I$16,$I$19,$I$20,$I$23,$I$24) = 0, "", SUM($I$6,$I$11,$I$14,$I$16,$I$19,$I$20,$I$23,$I$24))), "", (IF(SUM($I$6,$I$11,$I$14,$I$16,$I$19,$I$20,$I$23,$I$24) = 0, "", SUM($I$6,$I$11,$I$14,$I$16,$I$19,$I$20,$I$23,$I$24))))</f>
        <v>99.999999996</v>
      </c>
      <c r="J5">
        <f ca="1">IF(ISERROR(IF(SUM($J$6,$J$11,$J$14,$J$16,$J$19,$J$20,$J$23,$J$24) = 0, "", SUM($J$6,$J$11,$J$14,$J$16,$J$19,$J$20,$J$23,$J$24))), "", (IF(SUM($J$6,$J$11,$J$14,$J$16,$J$19,$J$20,$J$23,$J$24) = 0, "", SUM($J$6,$J$11,$J$14,$J$16,$J$19,$J$20,$J$23,$J$24))))</f>
        <v>99.999999997000003</v>
      </c>
      <c r="K5">
        <f ca="1">IF(ISERROR(IF(SUM($K$6,$K$11,$K$14,$K$16,$K$19,$K$20,$K$23,$K$24) = 0, "", SUM($K$6,$K$11,$K$14,$K$16,$K$19,$K$20,$K$23,$K$24))), "", (IF(SUM($K$6,$K$11,$K$14,$K$16,$K$19,$K$20,$K$23,$K$24) = 0, "", SUM($K$6,$K$11,$K$14,$K$16,$K$19,$K$20,$K$23,$K$24))))</f>
        <v>100.000000007</v>
      </c>
      <c r="L5">
        <f ca="1">IF(ISERROR(IF(SUM($L$6,$L$11,$L$14,$L$16,$L$19,$L$20,$L$23,$L$24) = 0, "", SUM($L$6,$L$11,$L$14,$L$16,$L$19,$L$20,$L$23,$L$24))), "", (IF(SUM($L$6,$L$11,$L$14,$L$16,$L$19,$L$20,$L$23,$L$24) = 0, "", SUM($L$6,$L$11,$L$14,$L$16,$L$19,$L$20,$L$23,$L$24))))</f>
        <v>100.00000000499999</v>
      </c>
      <c r="M5">
        <f ca="1">IF(ISERROR(IF(SUM($M$6,$M$11,$M$14,$M$16,$M$19,$M$20,$M$23,$M$24) = 0, "", SUM($M$6,$M$11,$M$14,$M$16,$M$19,$M$20,$M$23,$M$24))), "", (IF(SUM($M$6,$M$11,$M$14,$M$16,$M$19,$M$20,$M$23,$M$24) = 0, "", SUM($M$6,$M$11,$M$14,$M$16,$M$19,$M$20,$M$23,$M$24))))</f>
        <v>100.00000000599999</v>
      </c>
      <c r="N5">
        <f ca="1">IF(ISERROR(IF(SUM($N$6,$N$11,$N$14,$N$16,$N$19,$N$20,$N$23,$N$24) = 0, "", SUM($N$6,$N$11,$N$14,$N$16,$N$19,$N$20,$N$23,$N$24))), "", (IF(SUM($N$6,$N$11,$N$14,$N$16,$N$19,$N$20,$N$23,$N$24) = 0, "", SUM($N$6,$N$11,$N$14,$N$16,$N$19,$N$20,$N$23,$N$24))))</f>
        <v>100.000000004</v>
      </c>
      <c r="O5">
        <f ca="1">IF(ISERROR(IF(SUM($O$6,$O$11,$O$14,$O$16,$O$19,$O$20,$O$23,$O$24) = 0, "", SUM($O$6,$O$11,$O$14,$O$16,$O$19,$O$20,$O$23,$O$24))), "", (IF(SUM($O$6,$O$11,$O$14,$O$16,$O$19,$O$20,$O$23,$O$24) = 0, "", SUM($O$6,$O$11,$O$14,$O$16,$O$19,$O$20,$O$23,$O$24))))</f>
        <v>99.99999999500001</v>
      </c>
      <c r="P5">
        <f ca="1">IF(ISERROR(IF(SUM($P$6,$P$11,$P$14,$P$16,$P$19,$P$20,$P$23,$P$24) = 0, "", SUM($P$6,$P$11,$P$14,$P$16,$P$19,$P$20,$P$23,$P$24))), "", (IF(SUM($P$6,$P$11,$P$14,$P$16,$P$19,$P$20,$P$23,$P$24) = 0, "", SUM($P$6,$P$11,$P$14,$P$16,$P$19,$P$20,$P$23,$P$24))))</f>
        <v>99.999999992000014</v>
      </c>
      <c r="Q5">
        <f ca="1">IF(ISERROR(IF(SUM($Q$6,$Q$11,$Q$14,$Q$16,$Q$19,$Q$20,$Q$23,$Q$24) = 0, "", SUM($Q$6,$Q$11,$Q$14,$Q$16,$Q$19,$Q$20,$Q$23,$Q$24))), "", (IF(SUM($Q$6,$Q$11,$Q$14,$Q$16,$Q$19,$Q$20,$Q$23,$Q$24) = 0, "", SUM($Q$6,$Q$11,$Q$14,$Q$16,$Q$19,$Q$20,$Q$23,$Q$24))))</f>
        <v>99.999999997999993</v>
      </c>
      <c r="R5">
        <f ca="1">IF(ISERROR(IF(SUM($R$6,$R$11,$R$14,$R$16,$R$19,$R$20,$R$23,$R$24) = 0, "", SUM($R$6,$R$11,$R$14,$R$16,$R$19,$R$20,$R$23,$R$24))), "", (IF(SUM($R$6,$R$11,$R$14,$R$16,$R$19,$R$20,$R$23,$R$24) = 0, "", SUM($R$6,$R$11,$R$14,$R$16,$R$19,$R$20,$R$23,$R$24))))</f>
        <v>99.99999999100001</v>
      </c>
      <c r="S5">
        <f ca="1">IF(ISERROR(IF(SUM($S$6,$S$11,$S$14,$S$16,$S$19,$S$20,$S$23,$S$24) = 0, "", SUM($S$6,$S$11,$S$14,$S$16,$S$19,$S$20,$S$23,$S$24))), "", (IF(SUM($S$6,$S$11,$S$14,$S$16,$S$19,$S$20,$S$23,$S$24) = 0, "", SUM($S$6,$S$11,$S$14,$S$16,$S$19,$S$20,$S$23,$S$24))))</f>
        <v>99.999999991999999</v>
      </c>
      <c r="T5">
        <f ca="1">IF(ISERROR(IF(SUM($T$6,$T$11,$T$14,$T$16,$T$19,$T$20,$T$23,$T$24) = 0, "", SUM($T$6,$T$11,$T$14,$T$16,$T$19,$T$20,$T$23,$T$24))), "", (IF(SUM($T$6,$T$11,$T$14,$T$16,$T$19,$T$20,$T$23,$T$24) = 0, "", SUM($T$6,$T$11,$T$14,$T$16,$T$19,$T$20,$T$23,$T$24))))</f>
        <v>99.999999998000007</v>
      </c>
      <c r="U5">
        <f ca="1">IF(ISERROR(IF(SUM($U$6,$U$11,$U$14,$U$16,$U$19,$U$20,$U$23,$U$24) = 0, "", SUM($U$6,$U$11,$U$14,$U$16,$U$19,$U$20,$U$23,$U$24))), "", (IF(SUM($U$6,$U$11,$U$14,$U$16,$U$19,$U$20,$U$23,$U$24) = 0, "", SUM($U$6,$U$11,$U$14,$U$16,$U$19,$U$20,$U$23,$U$24))))</f>
        <v>100.000000004</v>
      </c>
      <c r="V5">
        <f ca="1">IF(ISERROR(IF(SUM($V$6,$V$11,$V$14,$V$16,$V$19,$V$20,$V$23,$V$24) = 0, "", SUM($V$6,$V$11,$V$14,$V$16,$V$19,$V$20,$V$23,$V$24))), "", (IF(SUM($V$6,$V$11,$V$14,$V$16,$V$19,$V$20,$V$23,$V$24) = 0, "", SUM($V$6,$V$11,$V$14,$V$16,$V$19,$V$20,$V$23,$V$24))))</f>
        <v>100.00000000599998</v>
      </c>
      <c r="W5">
        <f ca="1">IF(ISERROR(IF(SUM($W$6,$W$11,$W$14,$W$16,$W$19,$W$20,$W$23,$W$24) = 0, "", SUM($W$6,$W$11,$W$14,$W$16,$W$19,$W$20,$W$23,$W$24))), "", (IF(SUM($W$6,$W$11,$W$14,$W$16,$W$19,$W$20,$W$23,$W$24) = 0, "", SUM($W$6,$W$11,$W$14,$W$16,$W$19,$W$20,$W$23,$W$24))))</f>
        <v>100.00000000200001</v>
      </c>
      <c r="X5">
        <f ca="1">IF(ISERROR(IF(SUM($X$6,$X$11,$X$14,$X$16,$X$19,$X$20,$X$23,$X$24) = 0, "", SUM($X$6,$X$11,$X$14,$X$16,$X$19,$X$20,$X$23,$X$24))), "", (IF(SUM($X$6,$X$11,$X$14,$X$16,$X$19,$X$20,$X$23,$X$24) = 0, "", SUM($X$6,$X$11,$X$14,$X$16,$X$19,$X$20,$X$23,$X$24))))</f>
        <v>100.00000001000001</v>
      </c>
      <c r="Y5">
        <f ca="1">IF(ISERROR(IF(SUM($Y$6,$Y$11,$Y$14,$Y$16,$Y$19,$Y$20,$Y$23,$Y$24) = 0, "", SUM($Y$6,$Y$11,$Y$14,$Y$16,$Y$19,$Y$20,$Y$23,$Y$24))), "", (IF(SUM($Y$6,$Y$11,$Y$14,$Y$16,$Y$19,$Y$20,$Y$23,$Y$24) = 0, "", SUM($Y$6,$Y$11,$Y$14,$Y$16,$Y$19,$Y$20,$Y$23,$Y$24))))</f>
        <v>99.999999994000007</v>
      </c>
      <c r="Z5">
        <f ca="1">IF(ISERROR(IF(SUM($Z$6,$Z$11,$Z$14,$Z$16,$Z$19,$Z$20,$Z$23,$Z$24) = 0, "", SUM($Z$6,$Z$11,$Z$14,$Z$16,$Z$19,$Z$20,$Z$23,$Z$24))), "", (IF(SUM($Z$6,$Z$11,$Z$14,$Z$16,$Z$19,$Z$20,$Z$23,$Z$24) = 0, "", SUM($Z$6,$Z$11,$Z$14,$Z$16,$Z$19,$Z$20,$Z$23,$Z$24))))</f>
        <v>99.999999990999981</v>
      </c>
      <c r="AA5">
        <f ca="1">IF(ISERROR(IF(SUM($AA$6,$AA$11,$AA$14,$AA$16,$AA$19,$AA$20,$AA$23,$AA$24) = 0, "", SUM($AA$6,$AA$11,$AA$14,$AA$16,$AA$19,$AA$20,$AA$23,$AA$24))), "", (IF(SUM($AA$6,$AA$11,$AA$14,$AA$16,$AA$19,$AA$20,$AA$23,$AA$24) = 0, "", SUM($AA$6,$AA$11,$AA$14,$AA$16,$AA$19,$AA$20,$AA$23,$AA$24))))</f>
        <v>100.000000017</v>
      </c>
      <c r="AB5">
        <f ca="1">IF(ISERROR(IF(SUM($AB$6,$AB$11,$AB$14,$AB$16,$AB$19,$AB$20,$AB$23,$AB$24) = 0, "", SUM($AB$6,$AB$11,$AB$14,$AB$16,$AB$19,$AB$20,$AB$23,$AB$24))), "", (IF(SUM($AB$6,$AB$11,$AB$14,$AB$16,$AB$19,$AB$20,$AB$23,$AB$24) = 0, "", SUM($AB$6,$AB$11,$AB$14,$AB$16,$AB$19,$AB$20,$AB$23,$AB$24))))</f>
        <v>99.999999994999982</v>
      </c>
      <c r="AC5">
        <f ca="1">IF(ISERROR(IF(SUM($AC$6,$AC$11,$AC$14,$AC$16,$AC$19,$AC$20,$AC$23,$AC$24) = 0, "", SUM($AC$6,$AC$11,$AC$14,$AC$16,$AC$19,$AC$20,$AC$23,$AC$24))), "", (IF(SUM($AC$6,$AC$11,$AC$14,$AC$16,$AC$19,$AC$20,$AC$23,$AC$24) = 0, "", SUM($AC$6,$AC$11,$AC$14,$AC$16,$AC$19,$AC$20,$AC$23,$AC$24))))</f>
        <v>99.999999997000003</v>
      </c>
      <c r="AD5">
        <f ca="1">IF(ISERROR(IF(SUM($AD$6,$AD$11,$AD$14,$AD$16,$AD$19,$AD$20,$AD$23,$AD$24) = 0, "", SUM($AD$6,$AD$11,$AD$14,$AD$16,$AD$19,$AD$20,$AD$23,$AD$24))), "", (IF(SUM($AD$6,$AD$11,$AD$14,$AD$16,$AD$19,$AD$20,$AD$23,$AD$24) = 0, "", SUM($AD$6,$AD$11,$AD$14,$AD$16,$AD$19,$AD$20,$AD$23,$AD$24))))</f>
        <v>99.999999991999985</v>
      </c>
      <c r="AE5">
        <f ca="1">IF(ISERROR(IF(SUM($AE$6,$AE$11,$AE$14,$AE$16,$AE$19,$AE$20,$AE$23,$AE$24) = 0, "", SUM($AE$6,$AE$11,$AE$14,$AE$16,$AE$19,$AE$20,$AE$23,$AE$24))), "", (IF(SUM($AE$6,$AE$11,$AE$14,$AE$16,$AE$19,$AE$20,$AE$23,$AE$24) = 0, "", SUM($AE$6,$AE$11,$AE$14,$AE$16,$AE$19,$AE$20,$AE$23,$AE$24))))</f>
        <v>100.00000001400001</v>
      </c>
      <c r="AF5">
        <f ca="1">IF(ISERROR(IF(SUM($AF$6,$AF$11,$AF$14,$AF$16,$AF$19,$AF$20,$AF$23,$AF$24) = 0, "", SUM($AF$6,$AF$11,$AF$14,$AF$16,$AF$19,$AF$20,$AF$23,$AF$24))), "", (IF(SUM($AF$6,$AF$11,$AF$14,$AF$16,$AF$19,$AF$20,$AF$23,$AF$24) = 0, "", SUM($AF$6,$AF$11,$AF$14,$AF$16,$AF$19,$AF$20,$AF$23,$AF$24))))</f>
        <v>100.00000000599999</v>
      </c>
      <c r="AG5">
        <f ca="1">IF(ISERROR(IF(SUM($AG$6,$AG$11,$AG$14,$AG$16,$AG$19,$AG$20,$AG$23,$AG$24) = 0, "", SUM($AG$6,$AG$11,$AG$14,$AG$16,$AG$19,$AG$20,$AG$23,$AG$24))), "", (IF(SUM($AG$6,$AG$11,$AG$14,$AG$16,$AG$19,$AG$20,$AG$23,$AG$24) = 0, "", SUM($AG$6,$AG$11,$AG$14,$AG$16,$AG$19,$AG$20,$AG$23,$AG$24))))</f>
        <v>100.00000000200001</v>
      </c>
      <c r="AH5">
        <f ca="1">IF(ISERROR(IF(SUM($AH$6,$AH$11,$AH$14,$AH$16,$AH$19,$AH$20,$AH$23,$AH$24) = 0, "", SUM($AH$6,$AH$11,$AH$14,$AH$16,$AH$19,$AH$20,$AH$23,$AH$24))), "", (IF(SUM($AH$6,$AH$11,$AH$14,$AH$16,$AH$19,$AH$20,$AH$23,$AH$24) = 0, "", SUM($AH$6,$AH$11,$AH$14,$AH$16,$AH$19,$AH$20,$AH$23,$AH$24))))</f>
        <v>99.999999990000006</v>
      </c>
      <c r="AI5">
        <f ca="1">IF(ISERROR(IF(SUM($AI$6,$AI$11,$AI$14,$AI$16,$AI$19,$AI$20,$AI$23,$AI$24) = 0, "", SUM($AI$6,$AI$11,$AI$14,$AI$16,$AI$19,$AI$20,$AI$23,$AI$24))), "", (IF(SUM($AI$6,$AI$11,$AI$14,$AI$16,$AI$19,$AI$20,$AI$23,$AI$24) = 0, "", SUM($AI$6,$AI$11,$AI$14,$AI$16,$AI$19,$AI$20,$AI$23,$AI$24))))</f>
        <v>99.999999994999996</v>
      </c>
      <c r="AJ5">
        <f ca="1">IF(ISERROR(IF(SUM($AJ$6,$AJ$11,$AJ$14,$AJ$16,$AJ$19,$AJ$20,$AJ$23,$AJ$24) = 0, "", SUM($AJ$6,$AJ$11,$AJ$14,$AJ$16,$AJ$19,$AJ$20,$AJ$23,$AJ$24))), "", (IF(SUM($AJ$6,$AJ$11,$AJ$14,$AJ$16,$AJ$19,$AJ$20,$AJ$23,$AJ$24) = 0, "", SUM($AJ$6,$AJ$11,$AJ$14,$AJ$16,$AJ$19,$AJ$20,$AJ$23,$AJ$24))))</f>
        <v>100.00000000700001</v>
      </c>
      <c r="AK5">
        <f ca="1">IF(ISERROR(IF(SUM($AK$6,$AK$11,$AK$14,$AK$16,$AK$19,$AK$20,$AK$23,$AK$24) = 0, "", SUM($AK$6,$AK$11,$AK$14,$AK$16,$AK$19,$AK$20,$AK$23,$AK$24))), "", (IF(SUM($AK$6,$AK$11,$AK$14,$AK$16,$AK$19,$AK$20,$AK$23,$AK$24) = 0, "", SUM($AK$6,$AK$11,$AK$14,$AK$16,$AK$19,$AK$20,$AK$23,$AK$24))))</f>
        <v>100.00000000100002</v>
      </c>
      <c r="AL5">
        <f ca="1">IF(ISERROR(IF(SUM($AL$6,$AL$11,$AL$14,$AL$16,$AL$19,$AL$20,$AL$23,$AL$24) = 0, "", SUM($AL$6,$AL$11,$AL$14,$AL$16,$AL$19,$AL$20,$AL$23,$AL$24))), "", (IF(SUM($AL$6,$AL$11,$AL$14,$AL$16,$AL$19,$AL$20,$AL$23,$AL$24) = 0, "", SUM($AL$6,$AL$11,$AL$14,$AL$16,$AL$19,$AL$20,$AL$23,$AL$24))))</f>
        <v>99.99999999500001</v>
      </c>
      <c r="AM5">
        <f ca="1">IF(ISERROR(IF(SUM($AM$6,$AM$11,$AM$14,$AM$16,$AM$19,$AM$20,$AM$23,$AM$24) = 0, "", SUM($AM$6,$AM$11,$AM$14,$AM$16,$AM$19,$AM$20,$AM$23,$AM$24))), "", (IF(SUM($AM$6,$AM$11,$AM$14,$AM$16,$AM$19,$AM$20,$AM$23,$AM$24) = 0, "", SUM($AM$6,$AM$11,$AM$14,$AM$16,$AM$19,$AM$20,$AM$23,$AM$24))))</f>
        <v>99.999999994999982</v>
      </c>
      <c r="AN5">
        <f ca="1">IF(ISERROR(IF(SUM($AN$6,$AN$11,$AN$14,$AN$16,$AN$19,$AN$20,$AN$23,$AN$24) = 0, "", SUM($AN$6,$AN$11,$AN$14,$AN$16,$AN$19,$AN$20,$AN$23,$AN$24))), "", (IF(SUM($AN$6,$AN$11,$AN$14,$AN$16,$AN$19,$AN$20,$AN$23,$AN$24) = 0, "", SUM($AN$6,$AN$11,$AN$14,$AN$16,$AN$19,$AN$20,$AN$23,$AN$24))))</f>
        <v>100.00000000599999</v>
      </c>
      <c r="AO5">
        <f ca="1">IF(ISERROR(IF(SUM($AO$6,$AO$11,$AO$14,$AO$16,$AO$19,$AO$20,$AO$23,$AO$24) = 0, "", SUM($AO$6,$AO$11,$AO$14,$AO$16,$AO$19,$AO$20,$AO$23,$AO$24))), "", (IF(SUM($AO$6,$AO$11,$AO$14,$AO$16,$AO$19,$AO$20,$AO$23,$AO$24) = 0, "", SUM($AO$6,$AO$11,$AO$14,$AO$16,$AO$19,$AO$20,$AO$23,$AO$24))))</f>
        <v>100.00000001499998</v>
      </c>
      <c r="AP5">
        <f ca="1">IF(ISERROR(IF(SUM($AP$6,$AP$11,$AP$14,$AP$16,$AP$19,$AP$20,$AP$23,$AP$24) = 0, "", SUM($AP$6,$AP$11,$AP$14,$AP$16,$AP$19,$AP$20,$AP$23,$AP$24))), "", (IF(SUM($AP$6,$AP$11,$AP$14,$AP$16,$AP$19,$AP$20,$AP$23,$AP$24) = 0, "", SUM($AP$6,$AP$11,$AP$14,$AP$16,$AP$19,$AP$20,$AP$23,$AP$24))))</f>
        <v>100.000000009</v>
      </c>
      <c r="AQ5">
        <f ca="1">IF(ISERROR(IF(SUM($AQ$6,$AQ$11,$AQ$14,$AQ$16,$AQ$19,$AQ$20,$AQ$23,$AQ$24) = 0, "", SUM($AQ$6,$AQ$11,$AQ$14,$AQ$16,$AQ$19,$AQ$20,$AQ$23,$AQ$24))), "", (IF(SUM($AQ$6,$AQ$11,$AQ$14,$AQ$16,$AQ$19,$AQ$20,$AQ$23,$AQ$24) = 0, "", SUM($AQ$6,$AQ$11,$AQ$14,$AQ$16,$AQ$19,$AQ$20,$AQ$23,$AQ$24))))</f>
        <v>100.000000008</v>
      </c>
      <c r="AR5">
        <f ca="1">IF(ISERROR(IF(SUM($AR$6,$AR$11,$AR$14,$AR$16,$AR$19,$AR$20,$AR$23,$AR$24) = 0, "", SUM($AR$6,$AR$11,$AR$14,$AR$16,$AR$19,$AR$20,$AR$23,$AR$24))), "", (IF(SUM($AR$6,$AR$11,$AR$14,$AR$16,$AR$19,$AR$20,$AR$23,$AR$24) = 0, "", SUM($AR$6,$AR$11,$AR$14,$AR$16,$AR$19,$AR$20,$AR$23,$AR$24))))</f>
        <v>99.999999997000003</v>
      </c>
      <c r="AS5">
        <f ca="1">IF(ISERROR(IF(SUM($AS$6,$AS$11,$AS$14,$AS$16,$AS$19,$AS$20,$AS$23,$AS$24) = 0, "", SUM($AS$6,$AS$11,$AS$14,$AS$16,$AS$19,$AS$20,$AS$23,$AS$24))), "", (IF(SUM($AS$6,$AS$11,$AS$14,$AS$16,$AS$19,$AS$20,$AS$23,$AS$24) = 0, "", SUM($AS$6,$AS$11,$AS$14,$AS$16,$AS$19,$AS$20,$AS$23,$AS$24))))</f>
        <v>99.999999997000003</v>
      </c>
      <c r="AT5">
        <f>100</f>
        <v>100</v>
      </c>
      <c r="AU5">
        <f>100</f>
        <v>100</v>
      </c>
      <c r="AV5">
        <f>100</f>
        <v>100</v>
      </c>
      <c r="AW5">
        <f>100</f>
        <v>100</v>
      </c>
      <c r="AX5">
        <f>100</f>
        <v>100</v>
      </c>
      <c r="AY5">
        <f>100</f>
        <v>100</v>
      </c>
      <c r="AZ5">
        <f>100</f>
        <v>100</v>
      </c>
      <c r="BA5">
        <f>100</f>
        <v>100</v>
      </c>
      <c r="BB5">
        <f>100</f>
        <v>100</v>
      </c>
      <c r="BC5">
        <f>100</f>
        <v>100</v>
      </c>
      <c r="BD5">
        <f>100</f>
        <v>100</v>
      </c>
      <c r="BE5">
        <f>100</f>
        <v>100</v>
      </c>
      <c r="BF5">
        <f>100</f>
        <v>100</v>
      </c>
      <c r="BG5">
        <f>100</f>
        <v>100</v>
      </c>
      <c r="BH5">
        <f>100</f>
        <v>100</v>
      </c>
      <c r="BI5">
        <f>100</f>
        <v>100</v>
      </c>
      <c r="BJ5">
        <f>100</f>
        <v>100</v>
      </c>
      <c r="BK5">
        <f>100</f>
        <v>100</v>
      </c>
      <c r="BL5">
        <f>100</f>
        <v>100</v>
      </c>
      <c r="BM5">
        <f>100</f>
        <v>100</v>
      </c>
      <c r="BN5">
        <f>100</f>
        <v>100</v>
      </c>
      <c r="BO5">
        <f>100</f>
        <v>100</v>
      </c>
      <c r="BP5">
        <f>100</f>
        <v>100</v>
      </c>
      <c r="BQ5">
        <f>100</f>
        <v>100</v>
      </c>
      <c r="BR5">
        <f>100</f>
        <v>100</v>
      </c>
      <c r="BS5">
        <f>100</f>
        <v>100</v>
      </c>
      <c r="BT5">
        <f>100</f>
        <v>100</v>
      </c>
      <c r="BU5">
        <f>100</f>
        <v>100</v>
      </c>
      <c r="BV5">
        <f>100</f>
        <v>100</v>
      </c>
      <c r="BW5">
        <f>100</f>
        <v>100</v>
      </c>
      <c r="BX5">
        <f>100</f>
        <v>100</v>
      </c>
      <c r="BY5">
        <f>100</f>
        <v>100</v>
      </c>
      <c r="BZ5">
        <f>100</f>
        <v>100</v>
      </c>
      <c r="CA5">
        <f>100</f>
        <v>100</v>
      </c>
      <c r="CB5">
        <f>100</f>
        <v>100</v>
      </c>
      <c r="CC5">
        <f>100</f>
        <v>100</v>
      </c>
      <c r="CD5">
        <f>100</f>
        <v>100</v>
      </c>
      <c r="CE5">
        <f>100</f>
        <v>100</v>
      </c>
      <c r="CF5">
        <f>100</f>
        <v>100</v>
      </c>
      <c r="CG5">
        <f>100</f>
        <v>100</v>
      </c>
    </row>
    <row r="6" spans="1:85" x14ac:dyDescent="0.25">
      <c r="A6" t="str">
        <f>"    Daimler"</f>
        <v xml:space="preserve">    Daimler</v>
      </c>
      <c r="B6" t="str">
        <f>""</f>
        <v/>
      </c>
      <c r="E6" t="str">
        <f>"Sum"</f>
        <v>Sum</v>
      </c>
      <c r="F6">
        <f ca="1">IF(ISERROR(IF(SUM($F$7:$F$10) = 0, "", SUM($F$7:$F$10))), "", (IF(SUM($F$7:$F$10) = 0, "", SUM($F$7:$F$10))))</f>
        <v>36.137502162000004</v>
      </c>
      <c r="G6">
        <f ca="1">IF(ISERROR(IF(SUM($G$7:$G$10) = 0, "", SUM($G$7:$G$10))), "", (IF(SUM($G$7:$G$10) = 0, "", SUM($G$7:$G$10))))</f>
        <v>41.014808554000005</v>
      </c>
      <c r="H6">
        <f ca="1">IF(ISERROR(IF(SUM($H$7:$H$10) = 0, "", SUM($H$7:$H$10))), "", (IF(SUM($H$7:$H$10) = 0, "", SUM($H$7:$H$10))))</f>
        <v>35.864998385999996</v>
      </c>
      <c r="I6">
        <f ca="1">IF(ISERROR(IF(SUM($I$7:$I$10) = 0, "", SUM($I$7:$I$10))), "", (IF(SUM($I$7:$I$10) = 0, "", SUM($I$7:$I$10))))</f>
        <v>38.901601829000001</v>
      </c>
      <c r="J6">
        <f ca="1">IF(ISERROR(IF(SUM($J$7:$J$10) = 0, "", SUM($J$7:$J$10))), "", (IF(SUM($J$7:$J$10) = 0, "", SUM($J$7:$J$10))))</f>
        <v>38.377549179999995</v>
      </c>
      <c r="K6">
        <f ca="1">IF(ISERROR(IF(SUM($K$7:$K$10) = 0, "", SUM($K$7:$K$10))), "", (IF(SUM($K$7:$K$10) = 0, "", SUM($K$7:$K$10))))</f>
        <v>42.551566078</v>
      </c>
      <c r="L6">
        <f ca="1">IF(ISERROR(IF(SUM($L$7:$L$10) = 0, "", SUM($L$7:$L$10))), "", (IF(SUM($L$7:$L$10) = 0, "", SUM($L$7:$L$10))))</f>
        <v>38.135026738999997</v>
      </c>
      <c r="M6">
        <f ca="1">IF(ISERROR(IF(SUM($M$7:$M$10) = 0, "", SUM($M$7:$M$10))), "", (IF(SUM($M$7:$M$10) = 0, "", SUM($M$7:$M$10))))</f>
        <v>37.601196311999999</v>
      </c>
      <c r="N6">
        <f ca="1">IF(ISERROR(IF(SUM($N$7:$N$10) = 0, "", SUM($N$7:$N$10))), "", (IF(SUM($N$7:$N$10) = 0, "", SUM($N$7:$N$10))))</f>
        <v>39.927541185999999</v>
      </c>
      <c r="O6">
        <f ca="1">IF(ISERROR(IF(SUM($O$7:$O$10) = 0, "", SUM($O$7:$O$10))), "", (IF(SUM($O$7:$O$10) = 0, "", SUM($O$7:$O$10))))</f>
        <v>39.695886759000004</v>
      </c>
      <c r="P6">
        <f ca="1">IF(ISERROR(IF(SUM($P$7:$P$10) = 0, "", SUM($P$7:$P$10))), "", (IF(SUM($P$7:$P$10) = 0, "", SUM($P$7:$P$10))))</f>
        <v>32.552239491000002</v>
      </c>
      <c r="Q6">
        <f ca="1">IF(ISERROR(IF(SUM($Q$7:$Q$10) = 0, "", SUM($Q$7:$Q$10))), "", (IF(SUM($Q$7:$Q$10) = 0, "", SUM($Q$7:$Q$10))))</f>
        <v>41.210886485000003</v>
      </c>
      <c r="R6">
        <f ca="1">IF(ISERROR(IF(SUM($R$7:$R$10) = 0, "", SUM($R$7:$R$10))), "", (IF(SUM($R$7:$R$10) = 0, "", SUM($R$7:$R$10))))</f>
        <v>34.381267274999999</v>
      </c>
      <c r="S6">
        <f ca="1">IF(ISERROR(IF(SUM($S$7:$S$10) = 0, "", SUM($S$7:$S$10))), "", (IF(SUM($S$7:$S$10) = 0, "", SUM($S$7:$S$10))))</f>
        <v>36.853807674999999</v>
      </c>
      <c r="T6">
        <f ca="1">IF(ISERROR(IF(SUM($T$7:$T$10) = 0, "", SUM($T$7:$T$10))), "", (IF(SUM($T$7:$T$10) = 0, "", SUM($T$7:$T$10))))</f>
        <v>39.170213806999996</v>
      </c>
      <c r="U6">
        <f ca="1">IF(ISERROR(IF(SUM($U$7:$U$10) = 0, "", SUM($U$7:$U$10))), "", (IF(SUM($U$7:$U$10) = 0, "", SUM($U$7:$U$10))))</f>
        <v>37.927514040999995</v>
      </c>
      <c r="V6">
        <f ca="1">IF(ISERROR(IF(SUM($V$7:$V$10) = 0, "", SUM($V$7:$V$10))), "", (IF(SUM($V$7:$V$10) = 0, "", SUM($V$7:$V$10))))</f>
        <v>38.896502937999998</v>
      </c>
      <c r="W6">
        <f ca="1">IF(ISERROR(IF(SUM($W$7:$W$10) = 0, "", SUM($W$7:$W$10))), "", (IF(SUM($W$7:$W$10) = 0, "", SUM($W$7:$W$10))))</f>
        <v>43.051995609000002</v>
      </c>
      <c r="X6">
        <f ca="1">IF(ISERROR(IF(SUM($X$7:$X$10) = 0, "", SUM($X$7:$X$10))), "", (IF(SUM($X$7:$X$10) = 0, "", SUM($X$7:$X$10))))</f>
        <v>40.640252658999998</v>
      </c>
      <c r="Y6">
        <f ca="1">IF(ISERROR(IF(SUM($Y$7:$Y$10) = 0, "", SUM($Y$7:$Y$10))), "", (IF(SUM($Y$7:$Y$10) = 0, "", SUM($Y$7:$Y$10))))</f>
        <v>44.358719092000001</v>
      </c>
      <c r="Z6">
        <f ca="1">IF(ISERROR(IF(SUM($Z$7:$Z$10) = 0, "", SUM($Z$7:$Z$10))), "", (IF(SUM($Z$7:$Z$10) = 0, "", SUM($Z$7:$Z$10))))</f>
        <v>42.438404874999996</v>
      </c>
      <c r="AA6">
        <f ca="1">IF(ISERROR(IF(SUM($AA$7:$AA$10) = 0, "", SUM($AA$7:$AA$10))), "", (IF(SUM($AA$7:$AA$10) = 0, "", SUM($AA$7:$AA$10))))</f>
        <v>45.346738852000001</v>
      </c>
      <c r="AB6">
        <f ca="1">IF(ISERROR(IF(SUM($AB$7:$AB$10) = 0, "", SUM($AB$7:$AB$10))), "", (IF(SUM($AB$7:$AB$10) = 0, "", SUM($AB$7:$AB$10))))</f>
        <v>35.304847285999998</v>
      </c>
      <c r="AC6">
        <f ca="1">IF(ISERROR(IF(SUM($AC$7:$AC$10) = 0, "", SUM($AC$7:$AC$10))), "", (IF(SUM($AC$7:$AC$10) = 0, "", SUM($AC$7:$AC$10))))</f>
        <v>47.474531286000001</v>
      </c>
      <c r="AD6">
        <f ca="1">IF(ISERROR(IF(SUM($AD$7:$AD$10) = 0, "", SUM($AD$7:$AD$10))), "", (IF(SUM($AD$7:$AD$10) = 0, "", SUM($AD$7:$AD$10))))</f>
        <v>41.866755439999999</v>
      </c>
      <c r="AE6">
        <f ca="1">IF(ISERROR(IF(SUM($AE$7:$AE$10) = 0, "", SUM($AE$7:$AE$10))), "", (IF(SUM($AE$7:$AE$10) = 0, "", SUM($AE$7:$AE$10))))</f>
        <v>39.662120276000003</v>
      </c>
      <c r="AF6">
        <f ca="1">IF(ISERROR(IF(SUM($AF$7:$AF$10) = 0, "", SUM($AF$7:$AF$10))), "", (IF(SUM($AF$7:$AF$10) = 0, "", SUM($AF$7:$AF$10))))</f>
        <v>37.500474404999999</v>
      </c>
      <c r="AG6">
        <f ca="1">IF(ISERROR(IF(SUM($AG$7:$AG$10) = 0, "", SUM($AG$7:$AG$10))), "", (IF(SUM($AG$7:$AG$10) = 0, "", SUM($AG$7:$AG$10))))</f>
        <v>39.373976213000006</v>
      </c>
      <c r="AH6">
        <f ca="1">IF(ISERROR(IF(SUM($AH$7:$AH$10) = 0, "", SUM($AH$7:$AH$10))), "", (IF(SUM($AH$7:$AH$10) = 0, "", SUM($AH$7:$AH$10))))</f>
        <v>38.146191401999999</v>
      </c>
      <c r="AI6">
        <f ca="1">IF(ISERROR(IF(SUM($AI$7:$AI$10) = 0, "", SUM($AI$7:$AI$10))), "", (IF(SUM($AI$7:$AI$10) = 0, "", SUM($AI$7:$AI$10))))</f>
        <v>38.239158997999994</v>
      </c>
      <c r="AJ6">
        <f ca="1">IF(ISERROR(IF(SUM($AJ$7:$AJ$10) = 0, "", SUM($AJ$7:$AJ$10))), "", (IF(SUM($AJ$7:$AJ$10) = 0, "", SUM($AJ$7:$AJ$10))))</f>
        <v>34.203592815</v>
      </c>
      <c r="AK6">
        <f ca="1">IF(ISERROR(IF(SUM($AK$7:$AK$10) = 0, "", SUM($AK$7:$AK$10))), "", (IF(SUM($AK$7:$AK$10) = 0, "", SUM($AK$7:$AK$10))))</f>
        <v>34.717924306</v>
      </c>
      <c r="AL6">
        <f ca="1">IF(ISERROR(IF(SUM($AL$7:$AL$10) = 0, "", SUM($AL$7:$AL$10))), "", (IF(SUM($AL$7:$AL$10) = 0, "", SUM($AL$7:$AL$10))))</f>
        <v>39.076270012000002</v>
      </c>
      <c r="AM6">
        <f ca="1">IF(ISERROR(IF(SUM($AM$7:$AM$10) = 0, "", SUM($AM$7:$AM$10))), "", (IF(SUM($AM$7:$AM$10) = 0, "", SUM($AM$7:$AM$10))))</f>
        <v>43.479697829999999</v>
      </c>
      <c r="AN6">
        <f ca="1">IF(ISERROR(IF(SUM($AN$7:$AN$10) = 0, "", SUM($AN$7:$AN$10))), "", (IF(SUM($AN$7:$AN$10) = 0, "", SUM($AN$7:$AN$10))))</f>
        <v>36.976352540000008</v>
      </c>
      <c r="AO6">
        <f ca="1">IF(ISERROR(IF(SUM($AO$7:$AO$10) = 0, "", SUM($AO$7:$AO$10))), "", (IF(SUM($AO$7:$AO$10) = 0, "", SUM($AO$7:$AO$10))))</f>
        <v>34.953909508999999</v>
      </c>
      <c r="AP6">
        <f ca="1">IF(ISERROR(IF(SUM($AP$7:$AP$10) = 0, "", SUM($AP$7:$AP$10))), "", (IF(SUM($AP$7:$AP$10) = 0, "", SUM($AP$7:$AP$10))))</f>
        <v>37.698718658000004</v>
      </c>
      <c r="AQ6">
        <f ca="1">IF(ISERROR(IF(SUM($AQ$7:$AQ$10) = 0, "", SUM($AQ$7:$AQ$10))), "", (IF(SUM($AQ$7:$AQ$10) = 0, "", SUM($AQ$7:$AQ$10))))</f>
        <v>35.522168093000005</v>
      </c>
      <c r="AR6">
        <f ca="1">IF(ISERROR(IF(SUM($AR$7:$AR$10) = 0, "", SUM($AR$7:$AR$10))), "", (IF(SUM($AR$7:$AR$10) = 0, "", SUM($AR$7:$AR$10))))</f>
        <v>36.493327200000003</v>
      </c>
      <c r="AS6">
        <f ca="1">IF(ISERROR(IF(SUM($AS$7:$AS$10) = 0, "", SUM($AS$7:$AS$10))), "", (IF(SUM($AS$7:$AS$10) = 0, "", SUM($AS$7:$AS$10))))</f>
        <v>34.137504796000002</v>
      </c>
      <c r="AT6">
        <f>36.13750216</f>
        <v>36.137502159999997</v>
      </c>
      <c r="AU6">
        <f>41.01480856</f>
        <v>41.014808559999999</v>
      </c>
      <c r="AV6">
        <f>35.86499838</f>
        <v>35.864998380000003</v>
      </c>
      <c r="AW6">
        <f>38.90160183</f>
        <v>38.901601829999997</v>
      </c>
      <c r="AX6">
        <f>38.37754918</f>
        <v>38.377549180000003</v>
      </c>
      <c r="AY6">
        <f>42.55156608</f>
        <v>42.551566080000001</v>
      </c>
      <c r="AZ6">
        <f>38.13502674</f>
        <v>38.135026740000001</v>
      </c>
      <c r="BA6">
        <f>37.60119631</f>
        <v>37.601196309999999</v>
      </c>
      <c r="BB6">
        <f>39.92754119</f>
        <v>39.927541189999999</v>
      </c>
      <c r="BC6">
        <f>39.69588676</f>
        <v>39.69588676</v>
      </c>
      <c r="BD6">
        <f>32.55223949</f>
        <v>32.552239489999998</v>
      </c>
      <c r="BE6">
        <f>41.21088649</f>
        <v>41.21088649</v>
      </c>
      <c r="BF6">
        <f>34.38126728</f>
        <v>34.381267280000003</v>
      </c>
      <c r="BG6">
        <f>36.85380767</f>
        <v>36.853807670000002</v>
      </c>
      <c r="BH6">
        <f>39.17021381</f>
        <v>39.17021381</v>
      </c>
      <c r="BI6">
        <f>37.92751404</f>
        <v>37.927514039999998</v>
      </c>
      <c r="BJ6">
        <f>38.89650294</f>
        <v>38.896502939999998</v>
      </c>
      <c r="BK6">
        <f>43.05199561</f>
        <v>43.051995609999999</v>
      </c>
      <c r="BL6">
        <f>40.64025266</f>
        <v>40.640252660000002</v>
      </c>
      <c r="BM6">
        <f>44.3587191</f>
        <v>44.358719100000002</v>
      </c>
      <c r="BN6">
        <f>42.43840488</f>
        <v>42.43840488</v>
      </c>
      <c r="BO6">
        <f>45.34673885</f>
        <v>45.346738850000001</v>
      </c>
      <c r="BP6">
        <f>35.30484729</f>
        <v>35.304847289999998</v>
      </c>
      <c r="BQ6">
        <f>47.47453129</f>
        <v>47.474531290000002</v>
      </c>
      <c r="BR6">
        <f>41.86675544</f>
        <v>41.866755439999999</v>
      </c>
      <c r="BS6">
        <f>39.66212027</f>
        <v>39.662120270000003</v>
      </c>
      <c r="BT6">
        <f>37.5004744</f>
        <v>37.500474400000002</v>
      </c>
      <c r="BU6">
        <f>39.37397621</f>
        <v>39.373976210000002</v>
      </c>
      <c r="BV6">
        <f>38.1461914</f>
        <v>38.146191399999999</v>
      </c>
      <c r="BW6">
        <f>38.239159</f>
        <v>38.239159000000001</v>
      </c>
      <c r="BX6">
        <f>34.20359281</f>
        <v>34.203592810000004</v>
      </c>
      <c r="BY6">
        <f>34.7179243</f>
        <v>34.7179243</v>
      </c>
      <c r="BZ6">
        <f>39.07627001</f>
        <v>39.076270010000002</v>
      </c>
      <c r="CA6">
        <f>43.47969783</f>
        <v>43.479697829999999</v>
      </c>
      <c r="CB6">
        <f>36.97635254</f>
        <v>36.976352540000001</v>
      </c>
      <c r="CC6">
        <f>34.9539095</f>
        <v>34.953909500000002</v>
      </c>
      <c r="CD6">
        <f>37.69871865</f>
        <v>37.698718650000004</v>
      </c>
      <c r="CE6">
        <f>35.52216809</f>
        <v>35.522168090000001</v>
      </c>
      <c r="CF6">
        <f>36.4933272</f>
        <v>36.493327200000003</v>
      </c>
      <c r="CG6">
        <f>34.1375048</f>
        <v>34.137504800000002</v>
      </c>
    </row>
    <row r="7" spans="1:85" x14ac:dyDescent="0.25">
      <c r="A7" t="str">
        <f>"        Freightliner"</f>
        <v xml:space="preserve">        Freightliner</v>
      </c>
      <c r="B7" t="str">
        <f>"DAI GR Equity"</f>
        <v>DAI GR Equity</v>
      </c>
      <c r="E7" t="str">
        <f>"Expression"</f>
        <v>Expression</v>
      </c>
      <c r="F7">
        <f ca="1">IF(AND($B$294=1,LEN($F$163) * LEN($F$162)&gt;0),$F$163/$F$162*100,HLOOKUP(INDIRECT(ADDRESS(2,COLUMN())),OFFSET($AT$2,0,0,ROW()-1,40),ROW()-1,FALSE))</f>
        <v>33.537744000000004</v>
      </c>
      <c r="G7">
        <f ca="1">IF(AND($B$294=1,LEN($G$163) * LEN($G$162)&gt;0),$G$163/$G$162*100,HLOOKUP(INDIRECT(ADDRESS(2,COLUMN())),OFFSET($AT$2,0,0,ROW()-1,40),ROW()-1,FALSE))</f>
        <v>38.142037620000004</v>
      </c>
      <c r="H7">
        <f ca="1">IF(AND($B$294=1,LEN($H$163) * LEN($H$162)&gt;0),$H$163/$H$162*100,HLOOKUP(INDIRECT(ADDRESS(2,COLUMN())),OFFSET($AT$2,0,0,ROW()-1,40),ROW()-1,FALSE))</f>
        <v>32.646936609999997</v>
      </c>
      <c r="I7">
        <f ca="1">IF(AND($B$294=1,LEN($I$163) * LEN($I$162)&gt;0),$I$163/$I$162*100,HLOOKUP(INDIRECT(ADDRESS(2,COLUMN())),OFFSET($AT$2,0,0,ROW()-1,40),ROW()-1,FALSE))</f>
        <v>35.499618609999999</v>
      </c>
      <c r="J7">
        <f ca="1">IF(AND($B$294=1,LEN($J$163) * LEN($J$162)&gt;0),$J$163/$J$162*100,HLOOKUP(INDIRECT(ADDRESS(2,COLUMN())),OFFSET($AT$2,0,0,ROW()-1,40),ROW()-1,FALSE))</f>
        <v>34.799675149999999</v>
      </c>
      <c r="K7">
        <f ca="1">IF(AND($B$294=1,LEN($K$163) * LEN($K$162)&gt;0),$K$163/$K$162*100,HLOOKUP(INDIRECT(ADDRESS(2,COLUMN())),OFFSET($AT$2,0,0,ROW()-1,40),ROW()-1,FALSE))</f>
        <v>39.605614969999998</v>
      </c>
      <c r="L7">
        <f ca="1">IF(AND($B$294=1,LEN($L$163) * LEN($L$162)&gt;0),$L$163/$L$162*100,HLOOKUP(INDIRECT(ADDRESS(2,COLUMN())),OFFSET($AT$2,0,0,ROW()-1,40),ROW()-1,FALSE))</f>
        <v>34.69251337</v>
      </c>
      <c r="M7">
        <f ca="1">IF(AND($B$294=1,LEN($M$163) * LEN($M$162)&gt;0),$M$163/$M$162*100,HLOOKUP(INDIRECT(ADDRESS(2,COLUMN())),OFFSET($AT$2,0,0,ROW()-1,40),ROW()-1,FALSE))</f>
        <v>34.311349460000002</v>
      </c>
      <c r="N7">
        <f ca="1">IF(AND($B$294=1,LEN($N$163) * LEN($N$162)&gt;0),$N$163/$N$162*100,HLOOKUP(INDIRECT(ADDRESS(2,COLUMN())),OFFSET($AT$2,0,0,ROW()-1,40),ROW()-1,FALSE))</f>
        <v>37.124888919999997</v>
      </c>
      <c r="O7">
        <f ca="1">IF(AND($B$294=1,LEN($O$163) * LEN($O$162)&gt;0),$O$163/$O$162*100,HLOOKUP(INDIRECT(ADDRESS(2,COLUMN())),OFFSET($AT$2,0,0,ROW()-1,40),ROW()-1,FALSE))</f>
        <v>36.963071960000001</v>
      </c>
      <c r="P7">
        <f ca="1">IF(AND($B$294=1,LEN($P$163) * LEN($P$162)&gt;0),$P$163/$P$162*100,HLOOKUP(INDIRECT(ADDRESS(2,COLUMN())),OFFSET($AT$2,0,0,ROW()-1,40),ROW()-1,FALSE))</f>
        <v>28.686747539999999</v>
      </c>
      <c r="Q7">
        <f ca="1">IF(AND($B$294=1,LEN($Q$163) * LEN($Q$162)&gt;0),$Q$163/$Q$162*100,HLOOKUP(INDIRECT(ADDRESS(2,COLUMN())),OFFSET($AT$2,0,0,ROW()-1,40),ROW()-1,FALSE))</f>
        <v>37.564645040000002</v>
      </c>
      <c r="R7">
        <f ca="1">IF(AND($B$294=1,LEN($R$163) * LEN($R$162)&gt;0),$R$163/$R$162*100,HLOOKUP(INDIRECT(ADDRESS(2,COLUMN())),OFFSET($AT$2,0,0,ROW()-1,40),ROW()-1,FALSE))</f>
        <v>31.351292749999999</v>
      </c>
      <c r="S7">
        <f ca="1">IF(AND($B$294=1,LEN($S$163) * LEN($S$162)&gt;0),$S$163/$S$162*100,HLOOKUP(INDIRECT(ADDRESS(2,COLUMN())),OFFSET($AT$2,0,0,ROW()-1,40),ROW()-1,FALSE))</f>
        <v>33.579261209999999</v>
      </c>
      <c r="T7">
        <f ca="1">IF(AND($B$294=1,LEN($T$163) * LEN($T$162)&gt;0),$T$163/$T$162*100,HLOOKUP(INDIRECT(ADDRESS(2,COLUMN())),OFFSET($AT$2,0,0,ROW()-1,40),ROW()-1,FALSE))</f>
        <v>36.063408189999997</v>
      </c>
      <c r="U7">
        <f ca="1">IF(AND($B$294=1,LEN($U$163) * LEN($U$162)&gt;0),$U$163/$U$162*100,HLOOKUP(INDIRECT(ADDRESS(2,COLUMN())),OFFSET($AT$2,0,0,ROW()-1,40),ROW()-1,FALSE))</f>
        <v>34.416652489999997</v>
      </c>
      <c r="V7">
        <f ca="1">IF(AND($B$294=1,LEN($V$163) * LEN($V$162)&gt;0),$V$163/$V$162*100,HLOOKUP(INDIRECT(ADDRESS(2,COLUMN())),OFFSET($AT$2,0,0,ROW()-1,40),ROW()-1,FALSE))</f>
        <v>35.368495510000002</v>
      </c>
      <c r="W7">
        <f ca="1">IF(AND($B$294=1,LEN($W$163) * LEN($W$162)&gt;0),$W$163/$W$162*100,HLOOKUP(INDIRECT(ADDRESS(2,COLUMN())),OFFSET($AT$2,0,0,ROW()-1,40),ROW()-1,FALSE))</f>
        <v>39.353716589999998</v>
      </c>
      <c r="X7">
        <f ca="1">IF(AND($B$294=1,LEN($X$163) * LEN($X$162)&gt;0),$X$163/$X$162*100,HLOOKUP(INDIRECT(ADDRESS(2,COLUMN())),OFFSET($AT$2,0,0,ROW()-1,40),ROW()-1,FALSE))</f>
        <v>36.974830130000001</v>
      </c>
      <c r="Y7">
        <f ca="1">IF(AND($B$294=1,LEN($Y$163) * LEN($Y$162)&gt;0),$Y$163/$Y$162*100,HLOOKUP(INDIRECT(ADDRESS(2,COLUMN())),OFFSET($AT$2,0,0,ROW()-1,40),ROW()-1,FALSE))</f>
        <v>41.405342619999999</v>
      </c>
      <c r="Z7">
        <f ca="1">IF(AND($B$294=1,LEN($Z$163) * LEN($Z$162)&gt;0),$Z$163/$Z$162*100,HLOOKUP(INDIRECT(ADDRESS(2,COLUMN())),OFFSET($AT$2,0,0,ROW()-1,40),ROW()-1,FALSE))</f>
        <v>39.405638809999999</v>
      </c>
      <c r="AA7">
        <f ca="1">IF(AND($B$294=1,LEN($AA$163) * LEN($AA$162)&gt;0),$AA$163/$AA$162*100,HLOOKUP(INDIRECT(ADDRESS(2,COLUMN())),OFFSET($AT$2,0,0,ROW()-1,40),ROW()-1,FALSE))</f>
        <v>42.284093839999997</v>
      </c>
      <c r="AB7">
        <f ca="1">IF(AND($B$294=1,LEN($AB$163) * LEN($AB$162)&gt;0),$AB$163/$AB$162*100,HLOOKUP(INDIRECT(ADDRESS(2,COLUMN())),OFFSET($AT$2,0,0,ROW()-1,40),ROW()-1,FALSE))</f>
        <v>31.489890169999999</v>
      </c>
      <c r="AC7">
        <f ca="1">IF(AND($B$294=1,LEN($AC$163) * LEN($AC$162)&gt;0),$AC$163/$AC$162*100,HLOOKUP(INDIRECT(ADDRESS(2,COLUMN())),OFFSET($AT$2,0,0,ROW()-1,40),ROW()-1,FALSE))</f>
        <v>44.306994260000003</v>
      </c>
      <c r="AD7">
        <f ca="1">IF(AND($B$294=1,LEN($AD$163) * LEN($AD$162)&gt;0),$AD$163/$AD$162*100,HLOOKUP(INDIRECT(ADDRESS(2,COLUMN())),OFFSET($AT$2,0,0,ROW()-1,40),ROW()-1,FALSE))</f>
        <v>38.7915609</v>
      </c>
      <c r="AE7">
        <f ca="1">IF(AND($B$294=1,LEN($AE$163) * LEN($AE$162)&gt;0),$AE$163/$AE$162*100,HLOOKUP(INDIRECT(ADDRESS(2,COLUMN())),OFFSET($AT$2,0,0,ROW()-1,40),ROW()-1,FALSE))</f>
        <v>36.663050220000002</v>
      </c>
      <c r="AF7">
        <f ca="1">IF(AND($B$294=1,LEN($AF$163) * LEN($AF$162)&gt;0),$AF$163/$AF$162*100,HLOOKUP(INDIRECT(ADDRESS(2,COLUMN())),OFFSET($AT$2,0,0,ROW()-1,40),ROW()-1,FALSE))</f>
        <v>34.98045467</v>
      </c>
      <c r="AG7">
        <f ca="1">IF(AND($B$294=1,LEN($AG$163) * LEN($AG$162)&gt;0),$AG$163/$AG$162*100,HLOOKUP(INDIRECT(ADDRESS(2,COLUMN())),OFFSET($AT$2,0,0,ROW()-1,40),ROW()-1,FALSE))</f>
        <v>36.988106260000002</v>
      </c>
      <c r="AH7">
        <f ca="1">IF(AND($B$294=1,LEN($AH$163) * LEN($AH$162)&gt;0),$AH$163/$AH$162*100,HLOOKUP(INDIRECT(ADDRESS(2,COLUMN())),OFFSET($AT$2,0,0,ROW()-1,40),ROW()-1,FALSE))</f>
        <v>35.324015250000002</v>
      </c>
      <c r="AI7">
        <f ca="1">IF(AND($B$294=1,LEN($AI$163) * LEN($AI$162)&gt;0),$AI$163/$AI$162*100,HLOOKUP(INDIRECT(ADDRESS(2,COLUMN())),OFFSET($AT$2,0,0,ROW()-1,40),ROW()-1,FALSE))</f>
        <v>35.796552519999999</v>
      </c>
      <c r="AJ7">
        <f ca="1">IF(AND($B$294=1,LEN($AJ$163) * LEN($AJ$162)&gt;0),$AJ$163/$AJ$162*100,HLOOKUP(INDIRECT(ADDRESS(2,COLUMN())),OFFSET($AT$2,0,0,ROW()-1,40),ROW()-1,FALSE))</f>
        <v>31.872255490000001</v>
      </c>
      <c r="AK7">
        <f ca="1">IF(AND($B$294=1,LEN($AK$163) * LEN($AK$162)&gt;0),$AK$163/$AK$162*100,HLOOKUP(INDIRECT(ADDRESS(2,COLUMN())),OFFSET($AT$2,0,0,ROW()-1,40),ROW()-1,FALSE))</f>
        <v>32.293898280000001</v>
      </c>
      <c r="AL7">
        <f ca="1">IF(AND($B$294=1,LEN($AL$163) * LEN($AL$162)&gt;0),$AL$163/$AL$162*100,HLOOKUP(INDIRECT(ADDRESS(2,COLUMN())),OFFSET($AT$2,0,0,ROW()-1,40),ROW()-1,FALSE))</f>
        <v>36.829234530000001</v>
      </c>
      <c r="AM7">
        <f ca="1">IF(AND($B$294=1,LEN($AM$163) * LEN($AM$162)&gt;0),$AM$163/$AM$162*100,HLOOKUP(INDIRECT(ADDRESS(2,COLUMN())),OFFSET($AT$2,0,0,ROW()-1,40),ROW()-1,FALSE))</f>
        <v>40.797922569999997</v>
      </c>
      <c r="AN7">
        <f ca="1">IF(AND($B$294=1,LEN($AN$163) * LEN($AN$162)&gt;0),$AN$163/$AN$162*100,HLOOKUP(INDIRECT(ADDRESS(2,COLUMN())),OFFSET($AT$2,0,0,ROW()-1,40),ROW()-1,FALSE))</f>
        <v>32.969616170000002</v>
      </c>
      <c r="AO7">
        <f ca="1">IF(AND($B$294=1,LEN($AO$163) * LEN($AO$162)&gt;0),$AO$163/$AO$162*100,HLOOKUP(INDIRECT(ADDRESS(2,COLUMN())),OFFSET($AT$2,0,0,ROW()-1,40),ROW()-1,FALSE))</f>
        <v>31.58485799</v>
      </c>
      <c r="AP7">
        <f ca="1">IF(AND($B$294=1,LEN($AP$163) * LEN($AP$162)&gt;0),$AP$163/$AP$162*100,HLOOKUP(INDIRECT(ADDRESS(2,COLUMN())),OFFSET($AT$2,0,0,ROW()-1,40),ROW()-1,FALSE))</f>
        <v>34.73950876</v>
      </c>
      <c r="AQ7">
        <f ca="1">IF(AND($B$294=1,LEN($AQ$163) * LEN($AQ$162)&gt;0),$AQ$163/$AQ$162*100,HLOOKUP(INDIRECT(ADDRESS(2,COLUMN())),OFFSET($AT$2,0,0,ROW()-1,40),ROW()-1,FALSE))</f>
        <v>33.311499570000002</v>
      </c>
      <c r="AR7">
        <f ca="1">IF(AND($B$294=1,LEN($AR$163) * LEN($AR$162)&gt;0),$AR$163/$AR$162*100,HLOOKUP(INDIRECT(ADDRESS(2,COLUMN())),OFFSET($AT$2,0,0,ROW()-1,40),ROW()-1,FALSE))</f>
        <v>33.761452540000001</v>
      </c>
      <c r="AS7">
        <f ca="1">IF(AND($B$294=1,LEN($AS$163) * LEN($AS$162)&gt;0),$AS$163/$AS$162*100,HLOOKUP(INDIRECT(ADDRESS(2,COLUMN())),OFFSET($AT$2,0,0,ROW()-1,40),ROW()-1,FALSE))</f>
        <v>32.253527130000002</v>
      </c>
      <c r="AT7">
        <f>33.537744</f>
        <v>33.537744000000004</v>
      </c>
      <c r="AU7">
        <f>38.14203762</f>
        <v>38.142037620000004</v>
      </c>
      <c r="AV7">
        <f>32.64693661</f>
        <v>32.646936609999997</v>
      </c>
      <c r="AW7">
        <f>35.49961861</f>
        <v>35.499618609999999</v>
      </c>
      <c r="AX7">
        <f>34.79967515</f>
        <v>34.799675149999999</v>
      </c>
      <c r="AY7">
        <f>39.60561497</f>
        <v>39.605614969999998</v>
      </c>
      <c r="AZ7">
        <f>34.69251337</f>
        <v>34.69251337</v>
      </c>
      <c r="BA7">
        <f>34.31134946</f>
        <v>34.311349460000002</v>
      </c>
      <c r="BB7">
        <f>37.12488892</f>
        <v>37.124888919999997</v>
      </c>
      <c r="BC7">
        <f>36.96307196</f>
        <v>36.963071960000001</v>
      </c>
      <c r="BD7">
        <f>28.68674754</f>
        <v>28.686747539999999</v>
      </c>
      <c r="BE7">
        <f>37.56464504</f>
        <v>37.564645040000002</v>
      </c>
      <c r="BF7">
        <f>31.35129275</f>
        <v>31.351292749999999</v>
      </c>
      <c r="BG7">
        <f>33.57926121</f>
        <v>33.579261209999999</v>
      </c>
      <c r="BH7">
        <f>36.06340819</f>
        <v>36.063408189999997</v>
      </c>
      <c r="BI7">
        <f>34.41665249</f>
        <v>34.416652489999997</v>
      </c>
      <c r="BJ7">
        <f>35.36849551</f>
        <v>35.368495510000002</v>
      </c>
      <c r="BK7">
        <f>39.35371659</f>
        <v>39.353716589999998</v>
      </c>
      <c r="BL7">
        <f>36.97483013</f>
        <v>36.974830130000001</v>
      </c>
      <c r="BM7">
        <f>41.40534262</f>
        <v>41.405342619999999</v>
      </c>
      <c r="BN7">
        <f>39.40563881</f>
        <v>39.405638809999999</v>
      </c>
      <c r="BO7">
        <f>42.28409384</f>
        <v>42.284093839999997</v>
      </c>
      <c r="BP7">
        <f>31.48989017</f>
        <v>31.489890169999999</v>
      </c>
      <c r="BQ7">
        <f>44.30699426</f>
        <v>44.306994260000003</v>
      </c>
      <c r="BR7">
        <f>38.7915609</f>
        <v>38.7915609</v>
      </c>
      <c r="BS7">
        <f>36.66305022</f>
        <v>36.663050220000002</v>
      </c>
      <c r="BT7">
        <f>34.98045467</f>
        <v>34.98045467</v>
      </c>
      <c r="BU7">
        <f>36.98810626</f>
        <v>36.988106260000002</v>
      </c>
      <c r="BV7">
        <f>35.32401525</f>
        <v>35.324015250000002</v>
      </c>
      <c r="BW7">
        <f>35.79655252</f>
        <v>35.796552519999999</v>
      </c>
      <c r="BX7">
        <f>31.87225549</f>
        <v>31.872255490000001</v>
      </c>
      <c r="BY7">
        <f>32.29389828</f>
        <v>32.293898280000001</v>
      </c>
      <c r="BZ7">
        <f>36.82923453</f>
        <v>36.829234530000001</v>
      </c>
      <c r="CA7">
        <f>40.79792257</f>
        <v>40.797922569999997</v>
      </c>
      <c r="CB7">
        <f>32.96961617</f>
        <v>32.969616170000002</v>
      </c>
      <c r="CC7">
        <f>31.58485799</f>
        <v>31.58485799</v>
      </c>
      <c r="CD7">
        <f>34.73950876</f>
        <v>34.73950876</v>
      </c>
      <c r="CE7">
        <f>33.31149957</f>
        <v>33.311499570000002</v>
      </c>
      <c r="CF7">
        <f>33.76145254</f>
        <v>33.761452540000001</v>
      </c>
      <c r="CG7">
        <f>32.25352713</f>
        <v>32.253527130000002</v>
      </c>
    </row>
    <row r="8" spans="1:85" x14ac:dyDescent="0.25">
      <c r="A8" t="str">
        <f>"        Western Star"</f>
        <v xml:space="preserve">        Western Star</v>
      </c>
      <c r="B8" t="str">
        <f>"DAI GR Equity"</f>
        <v>DAI GR Equity</v>
      </c>
      <c r="E8" t="str">
        <f>"Expression"</f>
        <v>Expression</v>
      </c>
      <c r="F8">
        <f ca="1">IF(AND($B$294=1,LEN($F$164) * LEN($F$162)&gt;0),$F$164/$F$162*100,HLOOKUP(INDIRECT(ADDRESS(2,COLUMN())),OFFSET($AT$2,0,0,ROW()-1,40),ROW()-1,FALSE))</f>
        <v>2.5997581620000001</v>
      </c>
      <c r="G8">
        <f ca="1">IF(AND($B$294=1,LEN($G$164) * LEN($G$162)&gt;0),$G$164/$G$162*100,HLOOKUP(INDIRECT(ADDRESS(2,COLUMN())),OFFSET($AT$2,0,0,ROW()-1,40),ROW()-1,FALSE))</f>
        <v>2.8727709340000001</v>
      </c>
      <c r="H8">
        <f ca="1">IF(AND($B$294=1,LEN($H$164) * LEN($H$162)&gt;0),$H$164/$H$162*100,HLOOKUP(INDIRECT(ADDRESS(2,COLUMN())),OFFSET($AT$2,0,0,ROW()-1,40),ROW()-1,FALSE))</f>
        <v>3.2180617759999999</v>
      </c>
      <c r="I8">
        <f ca="1">IF(AND($B$294=1,LEN($I$164) * LEN($I$162)&gt;0),$I$164/$I$162*100,HLOOKUP(INDIRECT(ADDRESS(2,COLUMN())),OFFSET($AT$2,0,0,ROW()-1,40),ROW()-1,FALSE))</f>
        <v>3.4019832189999999</v>
      </c>
      <c r="J8">
        <f ca="1">IF(AND($B$294=1,LEN($J$164) * LEN($J$162)&gt;0),$J$164/$J$162*100,HLOOKUP(INDIRECT(ADDRESS(2,COLUMN())),OFFSET($AT$2,0,0,ROW()-1,40),ROW()-1,FALSE))</f>
        <v>3.5778740299999998</v>
      </c>
      <c r="K8">
        <f ca="1">IF(AND($B$294=1,LEN($K$164) * LEN($K$162)&gt;0),$K$164/$K$162*100,HLOOKUP(INDIRECT(ADDRESS(2,COLUMN())),OFFSET($AT$2,0,0,ROW()-1,40),ROW()-1,FALSE))</f>
        <v>2.945951108</v>
      </c>
      <c r="L8">
        <f ca="1">IF(AND($B$294=1,LEN($L$164) * LEN($L$162)&gt;0),$L$164/$L$162*100,HLOOKUP(INDIRECT(ADDRESS(2,COLUMN())),OFFSET($AT$2,0,0,ROW()-1,40),ROW()-1,FALSE))</f>
        <v>3.4425133689999998</v>
      </c>
      <c r="M8">
        <f ca="1">IF(AND($B$294=1,LEN($M$164) * LEN($M$162)&gt;0),$M$164/$M$162*100,HLOOKUP(INDIRECT(ADDRESS(2,COLUMN())),OFFSET($AT$2,0,0,ROW()-1,40),ROW()-1,FALSE))</f>
        <v>3.2898468520000002</v>
      </c>
      <c r="N8">
        <f ca="1">IF(AND($B$294=1,LEN($N$164) * LEN($N$162)&gt;0),$N$164/$N$162*100,HLOOKUP(INDIRECT(ADDRESS(2,COLUMN())),OFFSET($AT$2,0,0,ROW()-1,40),ROW()-1,FALSE))</f>
        <v>2.8026522659999999</v>
      </c>
      <c r="O8">
        <f ca="1">IF(AND($B$294=1,LEN($O$164) * LEN($O$162)&gt;0),$O$164/$O$162*100,HLOOKUP(INDIRECT(ADDRESS(2,COLUMN())),OFFSET($AT$2,0,0,ROW()-1,40),ROW()-1,FALSE))</f>
        <v>2.7328147989999998</v>
      </c>
      <c r="P8">
        <f ca="1">IF(AND($B$294=1,LEN($P$164) * LEN($P$162)&gt;0),$P$164/$P$162*100,HLOOKUP(INDIRECT(ADDRESS(2,COLUMN())),OFFSET($AT$2,0,0,ROW()-1,40),ROW()-1,FALSE))</f>
        <v>3.2658332950000002</v>
      </c>
      <c r="Q8">
        <f ca="1">IF(AND($B$294=1,LEN($Q$164) * LEN($Q$162)&gt;0),$Q$164/$Q$162*100,HLOOKUP(INDIRECT(ADDRESS(2,COLUMN())),OFFSET($AT$2,0,0,ROW()-1,40),ROW()-1,FALSE))</f>
        <v>3.1395288090000002</v>
      </c>
      <c r="R8">
        <f ca="1">IF(AND($B$294=1,LEN($R$164) * LEN($R$162)&gt;0),$R$164/$R$162*100,HLOOKUP(INDIRECT(ADDRESS(2,COLUMN())),OFFSET($AT$2,0,0,ROW()-1,40),ROW()-1,FALSE))</f>
        <v>2.542143206</v>
      </c>
      <c r="S8">
        <f ca="1">IF(AND($B$294=1,LEN($S$164) * LEN($S$162)&gt;0),$S$164/$S$162*100,HLOOKUP(INDIRECT(ADDRESS(2,COLUMN())),OFFSET($AT$2,0,0,ROW()-1,40),ROW()-1,FALSE))</f>
        <v>2.8450149069999999</v>
      </c>
      <c r="T8">
        <f ca="1">IF(AND($B$294=1,LEN($T$164) * LEN($T$162)&gt;0),$T$164/$T$162*100,HLOOKUP(INDIRECT(ADDRESS(2,COLUMN())),OFFSET($AT$2,0,0,ROW()-1,40),ROW()-1,FALSE))</f>
        <v>2.7643231080000001</v>
      </c>
      <c r="U8">
        <f ca="1">IF(AND($B$294=1,LEN($U$164) * LEN($U$162)&gt;0),$U$164/$U$162*100,HLOOKUP(INDIRECT(ADDRESS(2,COLUMN())),OFFSET($AT$2,0,0,ROW()-1,40),ROW()-1,FALSE))</f>
        <v>3.1762236970000002</v>
      </c>
      <c r="V8">
        <f ca="1">IF(AND($B$294=1,LEN($V$164) * LEN($V$162)&gt;0),$V$164/$V$162*100,HLOOKUP(INDIRECT(ADDRESS(2,COLUMN())),OFFSET($AT$2,0,0,ROW()-1,40),ROW()-1,FALSE))</f>
        <v>3.227375216</v>
      </c>
      <c r="W8">
        <f ca="1">IF(AND($B$294=1,LEN($W$164) * LEN($W$162)&gt;0),$W$164/$W$162*100,HLOOKUP(INDIRECT(ADDRESS(2,COLUMN())),OFFSET($AT$2,0,0,ROW()-1,40),ROW()-1,FALSE))</f>
        <v>3.3366898570000001</v>
      </c>
      <c r="X8">
        <f ca="1">IF(AND($B$294=1,LEN($X$164) * LEN($X$162)&gt;0),$X$164/$X$162*100,HLOOKUP(INDIRECT(ADDRESS(2,COLUMN())),OFFSET($AT$2,0,0,ROW()-1,40),ROW()-1,FALSE))</f>
        <v>3.3017513639999998</v>
      </c>
      <c r="Y8">
        <f ca="1">IF(AND($B$294=1,LEN($Y$164) * LEN($Y$162)&gt;0),$Y$164/$Y$162*100,HLOOKUP(INDIRECT(ADDRESS(2,COLUMN())),OFFSET($AT$2,0,0,ROW()-1,40),ROW()-1,FALSE))</f>
        <v>2.6713124270000002</v>
      </c>
      <c r="Z8">
        <f ca="1">IF(AND($B$294=1,LEN($Z$164) * LEN($Z$162)&gt;0),$Z$164/$Z$162*100,HLOOKUP(INDIRECT(ADDRESS(2,COLUMN())),OFFSET($AT$2,0,0,ROW()-1,40),ROW()-1,FALSE))</f>
        <v>2.768605537</v>
      </c>
      <c r="AA8">
        <f ca="1">IF(AND($B$294=1,LEN($AA$164) * LEN($AA$162)&gt;0),$AA$164/$AA$162*100,HLOOKUP(INDIRECT(ADDRESS(2,COLUMN())),OFFSET($AT$2,0,0,ROW()-1,40),ROW()-1,FALSE))</f>
        <v>2.6759474089999999</v>
      </c>
      <c r="AB8">
        <f ca="1">IF(AND($B$294=1,LEN($AB$164) * LEN($AB$162)&gt;0),$AB$164/$AB$162*100,HLOOKUP(INDIRECT(ADDRESS(2,COLUMN())),OFFSET($AT$2,0,0,ROW()-1,40),ROW()-1,FALSE))</f>
        <v>3.1513175769999999</v>
      </c>
      <c r="AC8">
        <f ca="1">IF(AND($B$294=1,LEN($AC$164) * LEN($AC$162)&gt;0),$AC$164/$AC$162*100,HLOOKUP(INDIRECT(ADDRESS(2,COLUMN())),OFFSET($AT$2,0,0,ROW()-1,40),ROW()-1,FALSE))</f>
        <v>2.5811146310000002</v>
      </c>
      <c r="AD8">
        <f ca="1">IF(AND($B$294=1,LEN($AD$164) * LEN($AD$162)&gt;0),$AD$164/$AD$162*100,HLOOKUP(INDIRECT(ADDRESS(2,COLUMN())),OFFSET($AT$2,0,0,ROW()-1,40),ROW()-1,FALSE))</f>
        <v>2.542549207</v>
      </c>
      <c r="AE8">
        <f ca="1">IF(AND($B$294=1,LEN($AE$164) * LEN($AE$162)&gt;0),$AE$164/$AE$162*100,HLOOKUP(INDIRECT(ADDRESS(2,COLUMN())),OFFSET($AT$2,0,0,ROW()-1,40),ROW()-1,FALSE))</f>
        <v>2.5379727220000001</v>
      </c>
      <c r="AF8">
        <f ca="1">IF(AND($B$294=1,LEN($AF$164) * LEN($AF$162)&gt;0),$AF$164/$AF$162*100,HLOOKUP(INDIRECT(ADDRESS(2,COLUMN())),OFFSET($AT$2,0,0,ROW()-1,40),ROW()-1,FALSE))</f>
        <v>2.0683896919999998</v>
      </c>
      <c r="AG8">
        <f ca="1">IF(AND($B$294=1,LEN($AG$164) * LEN($AG$162)&gt;0),$AG$164/$AG$162*100,HLOOKUP(INDIRECT(ADDRESS(2,COLUMN())),OFFSET($AT$2,0,0,ROW()-1,40),ROW()-1,FALSE))</f>
        <v>1.9122569620000001</v>
      </c>
      <c r="AH8">
        <f ca="1">IF(AND($B$294=1,LEN($AH$164) * LEN($AH$162)&gt;0),$AH$164/$AH$162*100,HLOOKUP(INDIRECT(ADDRESS(2,COLUMN())),OFFSET($AT$2,0,0,ROW()-1,40),ROW()-1,FALSE))</f>
        <v>2.6650170530000001</v>
      </c>
      <c r="AI8">
        <f ca="1">IF(AND($B$294=1,LEN($AI$164) * LEN($AI$162)&gt;0),$AI$164/$AI$162*100,HLOOKUP(INDIRECT(ADDRESS(2,COLUMN())),OFFSET($AT$2,0,0,ROW()-1,40),ROW()-1,FALSE))</f>
        <v>2.3382546190000002</v>
      </c>
      <c r="AJ8">
        <f ca="1">IF(AND($B$294=1,LEN($AJ$164) * LEN($AJ$162)&gt;0),$AJ$164/$AJ$162*100,HLOOKUP(INDIRECT(ADDRESS(2,COLUMN())),OFFSET($AT$2,0,0,ROW()-1,40),ROW()-1,FALSE))</f>
        <v>2.231536926</v>
      </c>
      <c r="AK8">
        <f ca="1">IF(AND($B$294=1,LEN($AK$164) * LEN($AK$162)&gt;0),$AK$164/$AK$162*100,HLOOKUP(INDIRECT(ADDRESS(2,COLUMN())),OFFSET($AT$2,0,0,ROW()-1,40),ROW()-1,FALSE))</f>
        <v>2.4160914070000001</v>
      </c>
      <c r="AL8">
        <f ca="1">IF(AND($B$294=1,LEN($AL$164) * LEN($AL$162)&gt;0),$AL$164/$AL$162*100,HLOOKUP(INDIRECT(ADDRESS(2,COLUMN())),OFFSET($AT$2,0,0,ROW()-1,40),ROW()-1,FALSE))</f>
        <v>2.219351267</v>
      </c>
      <c r="AM8">
        <f ca="1">IF(AND($B$294=1,LEN($AM$164) * LEN($AM$162)&gt;0),$AM$164/$AM$162*100,HLOOKUP(INDIRECT(ADDRESS(2,COLUMN())),OFFSET($AT$2,0,0,ROW()-1,40),ROW()-1,FALSE))</f>
        <v>2.360717658</v>
      </c>
      <c r="AN8">
        <f ca="1">IF(AND($B$294=1,LEN($AN$164) * LEN($AN$162)&gt;0),$AN$164/$AN$162*100,HLOOKUP(INDIRECT(ADDRESS(2,COLUMN())),OFFSET($AT$2,0,0,ROW()-1,40),ROW()-1,FALSE))</f>
        <v>3.2453862889999998</v>
      </c>
      <c r="AO8">
        <f ca="1">IF(AND($B$294=1,LEN($AO$164) * LEN($AO$162)&gt;0),$AO$164/$AO$162*100,HLOOKUP(INDIRECT(ADDRESS(2,COLUMN())),OFFSET($AT$2,0,0,ROW()-1,40),ROW()-1,FALSE))</f>
        <v>2.414486922</v>
      </c>
      <c r="AP8">
        <f ca="1">IF(AND($B$294=1,LEN($AP$164) * LEN($AP$162)&gt;0),$AP$164/$AP$162*100,HLOOKUP(INDIRECT(ADDRESS(2,COLUMN())),OFFSET($AT$2,0,0,ROW()-1,40),ROW()-1,FALSE))</f>
        <v>2.2028857799999999</v>
      </c>
      <c r="AQ8">
        <f ca="1">IF(AND($B$294=1,LEN($AQ$164) * LEN($AQ$162)&gt;0),$AQ$164/$AQ$162*100,HLOOKUP(INDIRECT(ADDRESS(2,COLUMN())),OFFSET($AT$2,0,0,ROW()-1,40),ROW()-1,FALSE))</f>
        <v>1.9322880419999999</v>
      </c>
      <c r="AR8">
        <f ca="1">IF(AND($B$294=1,LEN($AR$164) * LEN($AR$162)&gt;0),$AR$164/$AR$162*100,HLOOKUP(INDIRECT(ADDRESS(2,COLUMN())),OFFSET($AT$2,0,0,ROW()-1,40),ROW()-1,FALSE))</f>
        <v>2.346985734</v>
      </c>
      <c r="AS8">
        <f ca="1">IF(AND($B$294=1,LEN($AS$164) * LEN($AS$162)&gt;0),$AS$164/$AS$162*100,HLOOKUP(INDIRECT(ADDRESS(2,COLUMN())),OFFSET($AT$2,0,0,ROW()-1,40),ROW()-1,FALSE))</f>
        <v>1.8157793790000001</v>
      </c>
      <c r="AT8">
        <f>2.599758162</f>
        <v>2.5997581620000001</v>
      </c>
      <c r="AU8">
        <f>2.872770934</f>
        <v>2.8727709340000001</v>
      </c>
      <c r="AV8">
        <f>3.218061776</f>
        <v>3.2180617759999999</v>
      </c>
      <c r="AW8">
        <f>3.401983219</f>
        <v>3.4019832189999999</v>
      </c>
      <c r="AX8">
        <f>3.57787403</f>
        <v>3.5778740299999998</v>
      </c>
      <c r="AY8">
        <f>2.945951108</f>
        <v>2.945951108</v>
      </c>
      <c r="AZ8">
        <f>3.442513369</f>
        <v>3.4425133689999998</v>
      </c>
      <c r="BA8">
        <f>3.289846852</f>
        <v>3.2898468520000002</v>
      </c>
      <c r="BB8">
        <f>2.802652266</f>
        <v>2.8026522659999999</v>
      </c>
      <c r="BC8">
        <f>2.732814799</f>
        <v>2.7328147989999998</v>
      </c>
      <c r="BD8">
        <f>3.265833295</f>
        <v>3.2658332950000002</v>
      </c>
      <c r="BE8">
        <f>3.139528809</f>
        <v>3.1395288090000002</v>
      </c>
      <c r="BF8">
        <f>2.542143206</f>
        <v>2.542143206</v>
      </c>
      <c r="BG8">
        <f>2.845014907</f>
        <v>2.8450149069999999</v>
      </c>
      <c r="BH8">
        <f>2.764323108</f>
        <v>2.7643231080000001</v>
      </c>
      <c r="BI8">
        <f>3.176223697</f>
        <v>3.1762236970000002</v>
      </c>
      <c r="BJ8">
        <f>3.227375216</f>
        <v>3.227375216</v>
      </c>
      <c r="BK8">
        <f>3.336689857</f>
        <v>3.3366898570000001</v>
      </c>
      <c r="BL8">
        <f>3.301751364</f>
        <v>3.3017513639999998</v>
      </c>
      <c r="BM8">
        <f>2.671312427</f>
        <v>2.6713124270000002</v>
      </c>
      <c r="BN8">
        <f>2.768605537</f>
        <v>2.768605537</v>
      </c>
      <c r="BO8">
        <f>2.675947409</f>
        <v>2.6759474089999999</v>
      </c>
      <c r="BP8">
        <f>3.151317577</f>
        <v>3.1513175769999999</v>
      </c>
      <c r="BQ8">
        <f>2.581114631</f>
        <v>2.5811146310000002</v>
      </c>
      <c r="BR8">
        <f>2.542549207</f>
        <v>2.542549207</v>
      </c>
      <c r="BS8">
        <f>2.537972722</f>
        <v>2.5379727220000001</v>
      </c>
      <c r="BT8">
        <f>2.068389692</f>
        <v>2.0683896919999998</v>
      </c>
      <c r="BU8">
        <f>1.912256962</f>
        <v>1.9122569620000001</v>
      </c>
      <c r="BV8">
        <f>2.665017053</f>
        <v>2.6650170530000001</v>
      </c>
      <c r="BW8">
        <f>2.338254619</f>
        <v>2.3382546190000002</v>
      </c>
      <c r="BX8">
        <f>2.231536926</f>
        <v>2.231536926</v>
      </c>
      <c r="BY8">
        <f>2.416091407</f>
        <v>2.4160914070000001</v>
      </c>
      <c r="BZ8">
        <f>2.219351267</f>
        <v>2.219351267</v>
      </c>
      <c r="CA8">
        <f>2.360717658</f>
        <v>2.360717658</v>
      </c>
      <c r="CB8">
        <f>3.245386289</f>
        <v>3.2453862889999998</v>
      </c>
      <c r="CC8">
        <f>2.414486922</f>
        <v>2.414486922</v>
      </c>
      <c r="CD8">
        <f>2.20288578</f>
        <v>2.2028857799999999</v>
      </c>
      <c r="CE8">
        <f>1.932288042</f>
        <v>1.9322880419999999</v>
      </c>
      <c r="CF8">
        <f>2.346985734</f>
        <v>2.346985734</v>
      </c>
      <c r="CG8">
        <f>1.815779379</f>
        <v>1.8157793790000001</v>
      </c>
    </row>
    <row r="9" spans="1:85" x14ac:dyDescent="0.25">
      <c r="A9" t="str">
        <f>"        Sterling"</f>
        <v xml:space="preserve">        Sterling</v>
      </c>
      <c r="B9" t="str">
        <f>""</f>
        <v/>
      </c>
      <c r="E9" t="str">
        <f>"Expression"</f>
        <v>Expression</v>
      </c>
      <c r="F9" t="str">
        <f ca="1">IF(AND($B$294=1,LEN($F$165) * LEN($F$162)&gt;0),$F$165/$F$162*100,HLOOKUP(INDIRECT(ADDRESS(2,COLUMN())),OFFSET($AT$2,0,0,ROW()-1,40),ROW()-1,FALSE))</f>
        <v/>
      </c>
      <c r="G9" t="str">
        <f ca="1">IF(AND($B$294=1,LEN($G$165) * LEN($G$162)&gt;0),$G$165/$G$162*100,HLOOKUP(INDIRECT(ADDRESS(2,COLUMN())),OFFSET($AT$2,0,0,ROW()-1,40),ROW()-1,FALSE))</f>
        <v/>
      </c>
      <c r="H9" t="str">
        <f ca="1">IF(AND($B$294=1,LEN($H$165) * LEN($H$162)&gt;0),$H$165/$H$162*100,HLOOKUP(INDIRECT(ADDRESS(2,COLUMN())),OFFSET($AT$2,0,0,ROW()-1,40),ROW()-1,FALSE))</f>
        <v/>
      </c>
      <c r="I9" t="str">
        <f ca="1">IF(AND($B$294=1,LEN($I$165) * LEN($I$162)&gt;0),$I$165/$I$162*100,HLOOKUP(INDIRECT(ADDRESS(2,COLUMN())),OFFSET($AT$2,0,0,ROW()-1,40),ROW()-1,FALSE))</f>
        <v/>
      </c>
      <c r="J9" t="str">
        <f ca="1">IF(AND($B$294=1,LEN($J$165) * LEN($J$162)&gt;0),$J$165/$J$162*100,HLOOKUP(INDIRECT(ADDRESS(2,COLUMN())),OFFSET($AT$2,0,0,ROW()-1,40),ROW()-1,FALSE))</f>
        <v/>
      </c>
      <c r="K9" t="str">
        <f ca="1">IF(AND($B$294=1,LEN($K$165) * LEN($K$162)&gt;0),$K$165/$K$162*100,HLOOKUP(INDIRECT(ADDRESS(2,COLUMN())),OFFSET($AT$2,0,0,ROW()-1,40),ROW()-1,FALSE))</f>
        <v/>
      </c>
      <c r="L9" t="str">
        <f ca="1">IF(AND($B$294=1,LEN($L$165) * LEN($L$162)&gt;0),$L$165/$L$162*100,HLOOKUP(INDIRECT(ADDRESS(2,COLUMN())),OFFSET($AT$2,0,0,ROW()-1,40),ROW()-1,FALSE))</f>
        <v/>
      </c>
      <c r="M9" t="str">
        <f ca="1">IF(AND($B$294=1,LEN($M$165) * LEN($M$162)&gt;0),$M$165/$M$162*100,HLOOKUP(INDIRECT(ADDRESS(2,COLUMN())),OFFSET($AT$2,0,0,ROW()-1,40),ROW()-1,FALSE))</f>
        <v/>
      </c>
      <c r="N9" t="str">
        <f ca="1">IF(AND($B$294=1,LEN($N$165) * LEN($N$162)&gt;0),$N$165/$N$162*100,HLOOKUP(INDIRECT(ADDRESS(2,COLUMN())),OFFSET($AT$2,0,0,ROW()-1,40),ROW()-1,FALSE))</f>
        <v/>
      </c>
      <c r="O9" t="str">
        <f ca="1">IF(AND($B$294=1,LEN($O$165) * LEN($O$162)&gt;0),$O$165/$O$162*100,HLOOKUP(INDIRECT(ADDRESS(2,COLUMN())),OFFSET($AT$2,0,0,ROW()-1,40),ROW()-1,FALSE))</f>
        <v/>
      </c>
      <c r="P9" t="str">
        <f ca="1">IF(AND($B$294=1,LEN($P$165) * LEN($P$162)&gt;0),$P$165/$P$162*100,HLOOKUP(INDIRECT(ADDRESS(2,COLUMN())),OFFSET($AT$2,0,0,ROW()-1,40),ROW()-1,FALSE))</f>
        <v/>
      </c>
      <c r="Q9" t="str">
        <f ca="1">IF(AND($B$294=1,LEN($Q$165) * LEN($Q$162)&gt;0),$Q$165/$Q$162*100,HLOOKUP(INDIRECT(ADDRESS(2,COLUMN())),OFFSET($AT$2,0,0,ROW()-1,40),ROW()-1,FALSE))</f>
        <v/>
      </c>
      <c r="R9" t="str">
        <f ca="1">IF(AND($B$294=1,LEN($R$165) * LEN($R$162)&gt;0),$R$165/$R$162*100,HLOOKUP(INDIRECT(ADDRESS(2,COLUMN())),OFFSET($AT$2,0,0,ROW()-1,40),ROW()-1,FALSE))</f>
        <v/>
      </c>
      <c r="S9" t="str">
        <f ca="1">IF(AND($B$294=1,LEN($S$165) * LEN($S$162)&gt;0),$S$165/$S$162*100,HLOOKUP(INDIRECT(ADDRESS(2,COLUMN())),OFFSET($AT$2,0,0,ROW()-1,40),ROW()-1,FALSE))</f>
        <v/>
      </c>
      <c r="T9" t="str">
        <f ca="1">IF(AND($B$294=1,LEN($T$165) * LEN($T$162)&gt;0),$T$165/$T$162*100,HLOOKUP(INDIRECT(ADDRESS(2,COLUMN())),OFFSET($AT$2,0,0,ROW()-1,40),ROW()-1,FALSE))</f>
        <v/>
      </c>
      <c r="U9" t="str">
        <f ca="1">IF(AND($B$294=1,LEN($U$165) * LEN($U$162)&gt;0),$U$165/$U$162*100,HLOOKUP(INDIRECT(ADDRESS(2,COLUMN())),OFFSET($AT$2,0,0,ROW()-1,40),ROW()-1,FALSE))</f>
        <v/>
      </c>
      <c r="V9" t="str">
        <f ca="1">IF(AND($B$294=1,LEN($V$165) * LEN($V$162)&gt;0),$V$165/$V$162*100,HLOOKUP(INDIRECT(ADDRESS(2,COLUMN())),OFFSET($AT$2,0,0,ROW()-1,40),ROW()-1,FALSE))</f>
        <v/>
      </c>
      <c r="W9" t="str">
        <f ca="1">IF(AND($B$294=1,LEN($W$165) * LEN($W$162)&gt;0),$W$165/$W$162*100,HLOOKUP(INDIRECT(ADDRESS(2,COLUMN())),OFFSET($AT$2,0,0,ROW()-1,40),ROW()-1,FALSE))</f>
        <v/>
      </c>
      <c r="X9" t="str">
        <f ca="1">IF(AND($B$294=1,LEN($X$165) * LEN($X$162)&gt;0),$X$165/$X$162*100,HLOOKUP(INDIRECT(ADDRESS(2,COLUMN())),OFFSET($AT$2,0,0,ROW()-1,40),ROW()-1,FALSE))</f>
        <v/>
      </c>
      <c r="Y9" t="str">
        <f ca="1">IF(AND($B$294=1,LEN($Y$165) * LEN($Y$162)&gt;0),$Y$165/$Y$162*100,HLOOKUP(INDIRECT(ADDRESS(2,COLUMN())),OFFSET($AT$2,0,0,ROW()-1,40),ROW()-1,FALSE))</f>
        <v/>
      </c>
      <c r="Z9" t="str">
        <f ca="1">IF(AND($B$294=1,LEN($Z$165) * LEN($Z$162)&gt;0),$Z$165/$Z$162*100,HLOOKUP(INDIRECT(ADDRESS(2,COLUMN())),OFFSET($AT$2,0,0,ROW()-1,40),ROW()-1,FALSE))</f>
        <v/>
      </c>
      <c r="AA9" t="str">
        <f ca="1">IF(AND($B$294=1,LEN($AA$165) * LEN($AA$162)&gt;0),$AA$165/$AA$162*100,HLOOKUP(INDIRECT(ADDRESS(2,COLUMN())),OFFSET($AT$2,0,0,ROW()-1,40),ROW()-1,FALSE))</f>
        <v/>
      </c>
      <c r="AB9" t="str">
        <f ca="1">IF(AND($B$294=1,LEN($AB$165) * LEN($AB$162)&gt;0),$AB$165/$AB$162*100,HLOOKUP(INDIRECT(ADDRESS(2,COLUMN())),OFFSET($AT$2,0,0,ROW()-1,40),ROW()-1,FALSE))</f>
        <v/>
      </c>
      <c r="AC9" t="str">
        <f ca="1">IF(AND($B$294=1,LEN($AC$165) * LEN($AC$162)&gt;0),$AC$165/$AC$162*100,HLOOKUP(INDIRECT(ADDRESS(2,COLUMN())),OFFSET($AT$2,0,0,ROW()-1,40),ROW()-1,FALSE))</f>
        <v/>
      </c>
      <c r="AD9" t="str">
        <f ca="1">IF(AND($B$294=1,LEN($AD$165) * LEN($AD$162)&gt;0),$AD$165/$AD$162*100,HLOOKUP(INDIRECT(ADDRESS(2,COLUMN())),OFFSET($AT$2,0,0,ROW()-1,40),ROW()-1,FALSE))</f>
        <v/>
      </c>
      <c r="AE9" t="str">
        <f ca="1">IF(AND($B$294=1,LEN($AE$165) * LEN($AE$162)&gt;0),$AE$165/$AE$162*100,HLOOKUP(INDIRECT(ADDRESS(2,COLUMN())),OFFSET($AT$2,0,0,ROW()-1,40),ROW()-1,FALSE))</f>
        <v/>
      </c>
      <c r="AF9" t="str">
        <f ca="1">IF(AND($B$294=1,LEN($AF$165) * LEN($AF$162)&gt;0),$AF$165/$AF$162*100,HLOOKUP(INDIRECT(ADDRESS(2,COLUMN())),OFFSET($AT$2,0,0,ROW()-1,40),ROW()-1,FALSE))</f>
        <v/>
      </c>
      <c r="AG9" t="str">
        <f ca="1">IF(AND($B$294=1,LEN($AG$165) * LEN($AG$162)&gt;0),$AG$165/$AG$162*100,HLOOKUP(INDIRECT(ADDRESS(2,COLUMN())),OFFSET($AT$2,0,0,ROW()-1,40),ROW()-1,FALSE))</f>
        <v/>
      </c>
      <c r="AH9" t="str">
        <f ca="1">IF(AND($B$294=1,LEN($AH$165) * LEN($AH$162)&gt;0),$AH$165/$AH$162*100,HLOOKUP(INDIRECT(ADDRESS(2,COLUMN())),OFFSET($AT$2,0,0,ROW()-1,40),ROW()-1,FALSE))</f>
        <v/>
      </c>
      <c r="AI9" t="str">
        <f ca="1">IF(AND($B$294=1,LEN($AI$165) * LEN($AI$162)&gt;0),$AI$165/$AI$162*100,HLOOKUP(INDIRECT(ADDRESS(2,COLUMN())),OFFSET($AT$2,0,0,ROW()-1,40),ROW()-1,FALSE))</f>
        <v/>
      </c>
      <c r="AJ9" t="str">
        <f ca="1">IF(AND($B$294=1,LEN($AJ$165) * LEN($AJ$162)&gt;0),$AJ$165/$AJ$162*100,HLOOKUP(INDIRECT(ADDRESS(2,COLUMN())),OFFSET($AT$2,0,0,ROW()-1,40),ROW()-1,FALSE))</f>
        <v/>
      </c>
      <c r="AK9" t="str">
        <f ca="1">IF(AND($B$294=1,LEN($AK$165) * LEN($AK$162)&gt;0),$AK$165/$AK$162*100,HLOOKUP(INDIRECT(ADDRESS(2,COLUMN())),OFFSET($AT$2,0,0,ROW()-1,40),ROW()-1,FALSE))</f>
        <v/>
      </c>
      <c r="AL9" t="str">
        <f ca="1">IF(AND($B$294=1,LEN($AL$165) * LEN($AL$162)&gt;0),$AL$165/$AL$162*100,HLOOKUP(INDIRECT(ADDRESS(2,COLUMN())),OFFSET($AT$2,0,0,ROW()-1,40),ROW()-1,FALSE))</f>
        <v/>
      </c>
      <c r="AM9" t="str">
        <f ca="1">IF(AND($B$294=1,LEN($AM$165) * LEN($AM$162)&gt;0),$AM$165/$AM$162*100,HLOOKUP(INDIRECT(ADDRESS(2,COLUMN())),OFFSET($AT$2,0,0,ROW()-1,40),ROW()-1,FALSE))</f>
        <v/>
      </c>
      <c r="AN9" t="str">
        <f ca="1">IF(AND($B$294=1,LEN($AN$165) * LEN($AN$162)&gt;0),$AN$165/$AN$162*100,HLOOKUP(INDIRECT(ADDRESS(2,COLUMN())),OFFSET($AT$2,0,0,ROW()-1,40),ROW()-1,FALSE))</f>
        <v/>
      </c>
      <c r="AO9" t="str">
        <f ca="1">IF(AND($B$294=1,LEN($AO$165) * LEN($AO$162)&gt;0),$AO$165/$AO$162*100,HLOOKUP(INDIRECT(ADDRESS(2,COLUMN())),OFFSET($AT$2,0,0,ROW()-1,40),ROW()-1,FALSE))</f>
        <v/>
      </c>
      <c r="AP9" t="str">
        <f ca="1">IF(AND($B$294=1,LEN($AP$165) * LEN($AP$162)&gt;0),$AP$165/$AP$162*100,HLOOKUP(INDIRECT(ADDRESS(2,COLUMN())),OFFSET($AT$2,0,0,ROW()-1,40),ROW()-1,FALSE))</f>
        <v/>
      </c>
      <c r="AQ9" t="str">
        <f ca="1">IF(AND($B$294=1,LEN($AQ$165) * LEN($AQ$162)&gt;0),$AQ$165/$AQ$162*100,HLOOKUP(INDIRECT(ADDRESS(2,COLUMN())),OFFSET($AT$2,0,0,ROW()-1,40),ROW()-1,FALSE))</f>
        <v/>
      </c>
      <c r="AR9" t="str">
        <f ca="1">IF(AND($B$294=1,LEN($AR$165) * LEN($AR$162)&gt;0),$AR$165/$AR$162*100,HLOOKUP(INDIRECT(ADDRESS(2,COLUMN())),OFFSET($AT$2,0,0,ROW()-1,40),ROW()-1,FALSE))</f>
        <v/>
      </c>
      <c r="AS9" t="str">
        <f ca="1">IF(AND($B$294=1,LEN($AS$165) * LEN($AS$162)&gt;0),$AS$165/$AS$162*100,HLOOKUP(INDIRECT(ADDRESS(2,COLUMN())),OFFSET($AT$2,0,0,ROW()-1,40),ROW()-1,FALSE))</f>
        <v/>
      </c>
      <c r="AT9" t="str">
        <f>""</f>
        <v/>
      </c>
      <c r="AU9" t="str">
        <f>""</f>
        <v/>
      </c>
      <c r="AV9" t="str">
        <f>""</f>
        <v/>
      </c>
      <c r="AW9" t="str">
        <f>""</f>
        <v/>
      </c>
      <c r="AX9" t="str">
        <f>""</f>
        <v/>
      </c>
      <c r="AY9" t="str">
        <f>""</f>
        <v/>
      </c>
      <c r="AZ9" t="str">
        <f>""</f>
        <v/>
      </c>
      <c r="BA9" t="str">
        <f>""</f>
        <v/>
      </c>
      <c r="BB9" t="str">
        <f>""</f>
        <v/>
      </c>
      <c r="BC9" t="str">
        <f>""</f>
        <v/>
      </c>
      <c r="BD9" t="str">
        <f>""</f>
        <v/>
      </c>
      <c r="BE9" t="str">
        <f>""</f>
        <v/>
      </c>
      <c r="BF9" t="str">
        <f>""</f>
        <v/>
      </c>
      <c r="BG9" t="str">
        <f>""</f>
        <v/>
      </c>
      <c r="BH9" t="str">
        <f>""</f>
        <v/>
      </c>
      <c r="BI9" t="str">
        <f>""</f>
        <v/>
      </c>
      <c r="BJ9" t="str">
        <f>""</f>
        <v/>
      </c>
      <c r="BK9" t="str">
        <f>""</f>
        <v/>
      </c>
      <c r="BL9" t="str">
        <f>""</f>
        <v/>
      </c>
      <c r="BM9" t="str">
        <f>""</f>
        <v/>
      </c>
      <c r="BN9" t="str">
        <f>""</f>
        <v/>
      </c>
      <c r="BO9" t="str">
        <f>""</f>
        <v/>
      </c>
      <c r="BP9" t="str">
        <f>""</f>
        <v/>
      </c>
      <c r="BQ9" t="str">
        <f>""</f>
        <v/>
      </c>
      <c r="BR9" t="str">
        <f>""</f>
        <v/>
      </c>
      <c r="BS9" t="str">
        <f>""</f>
        <v/>
      </c>
      <c r="BT9" t="str">
        <f>""</f>
        <v/>
      </c>
      <c r="BU9" t="str">
        <f>""</f>
        <v/>
      </c>
      <c r="BV9" t="str">
        <f>""</f>
        <v/>
      </c>
      <c r="BW9" t="str">
        <f>""</f>
        <v/>
      </c>
      <c r="BX9" t="str">
        <f>""</f>
        <v/>
      </c>
      <c r="BY9" t="str">
        <f>""</f>
        <v/>
      </c>
      <c r="BZ9" t="str">
        <f>""</f>
        <v/>
      </c>
      <c r="CA9" t="str">
        <f>""</f>
        <v/>
      </c>
      <c r="CB9" t="str">
        <f>""</f>
        <v/>
      </c>
      <c r="CC9" t="str">
        <f>""</f>
        <v/>
      </c>
      <c r="CD9" t="str">
        <f>""</f>
        <v/>
      </c>
      <c r="CE9" t="str">
        <f>""</f>
        <v/>
      </c>
      <c r="CF9" t="str">
        <f>""</f>
        <v/>
      </c>
      <c r="CG9" t="str">
        <f>""</f>
        <v/>
      </c>
    </row>
    <row r="10" spans="1:85" x14ac:dyDescent="0.25">
      <c r="A10" t="str">
        <f>"        Mercedes-Benz"</f>
        <v xml:space="preserve">        Mercedes-Benz</v>
      </c>
      <c r="B10" t="str">
        <f>""</f>
        <v/>
      </c>
      <c r="E10" t="str">
        <f>"Expression"</f>
        <v>Expression</v>
      </c>
      <c r="F10" t="str">
        <f ca="1">IF(AND($B$294=1,LEN($F$166) * LEN($F$162)&gt;0),$F$166/$F$162*100,HLOOKUP(INDIRECT(ADDRESS(2,COLUMN())),OFFSET($AT$2,0,0,ROW()-1,40),ROW()-1,FALSE))</f>
        <v/>
      </c>
      <c r="G10" t="str">
        <f ca="1">IF(AND($B$294=1,LEN($G$166) * LEN($G$162)&gt;0),$G$166/$G$162*100,HLOOKUP(INDIRECT(ADDRESS(2,COLUMN())),OFFSET($AT$2,0,0,ROW()-1,40),ROW()-1,FALSE))</f>
        <v/>
      </c>
      <c r="H10" t="str">
        <f ca="1">IF(AND($B$294=1,LEN($H$166) * LEN($H$162)&gt;0),$H$166/$H$162*100,HLOOKUP(INDIRECT(ADDRESS(2,COLUMN())),OFFSET($AT$2,0,0,ROW()-1,40),ROW()-1,FALSE))</f>
        <v/>
      </c>
      <c r="I10" t="str">
        <f ca="1">IF(AND($B$294=1,LEN($I$166) * LEN($I$162)&gt;0),$I$166/$I$162*100,HLOOKUP(INDIRECT(ADDRESS(2,COLUMN())),OFFSET($AT$2,0,0,ROW()-1,40),ROW()-1,FALSE))</f>
        <v/>
      </c>
      <c r="J10" t="str">
        <f ca="1">IF(AND($B$294=1,LEN($J$166) * LEN($J$162)&gt;0),$J$166/$J$162*100,HLOOKUP(INDIRECT(ADDRESS(2,COLUMN())),OFFSET($AT$2,0,0,ROW()-1,40),ROW()-1,FALSE))</f>
        <v/>
      </c>
      <c r="K10" t="str">
        <f ca="1">IF(AND($B$294=1,LEN($K$166) * LEN($K$162)&gt;0),$K$166/$K$162*100,HLOOKUP(INDIRECT(ADDRESS(2,COLUMN())),OFFSET($AT$2,0,0,ROW()-1,40),ROW()-1,FALSE))</f>
        <v/>
      </c>
      <c r="L10" t="str">
        <f ca="1">IF(AND($B$294=1,LEN($L$166) * LEN($L$162)&gt;0),$L$166/$L$162*100,HLOOKUP(INDIRECT(ADDRESS(2,COLUMN())),OFFSET($AT$2,0,0,ROW()-1,40),ROW()-1,FALSE))</f>
        <v/>
      </c>
      <c r="M10" t="str">
        <f ca="1">IF(AND($B$294=1,LEN($M$166) * LEN($M$162)&gt;0),$M$166/$M$162*100,HLOOKUP(INDIRECT(ADDRESS(2,COLUMN())),OFFSET($AT$2,0,0,ROW()-1,40),ROW()-1,FALSE))</f>
        <v/>
      </c>
      <c r="N10" t="str">
        <f ca="1">IF(AND($B$294=1,LEN($N$166) * LEN($N$162)&gt;0),$N$166/$N$162*100,HLOOKUP(INDIRECT(ADDRESS(2,COLUMN())),OFFSET($AT$2,0,0,ROW()-1,40),ROW()-1,FALSE))</f>
        <v/>
      </c>
      <c r="O10" t="str">
        <f ca="1">IF(AND($B$294=1,LEN($O$166) * LEN($O$162)&gt;0),$O$166/$O$162*100,HLOOKUP(INDIRECT(ADDRESS(2,COLUMN())),OFFSET($AT$2,0,0,ROW()-1,40),ROW()-1,FALSE))</f>
        <v/>
      </c>
      <c r="P10">
        <f ca="1">IF(AND($B$294=1,LEN($P$166) * LEN($P$162)&gt;0),$P$166/$P$162*100,HLOOKUP(INDIRECT(ADDRESS(2,COLUMN())),OFFSET($AT$2,0,0,ROW()-1,40),ROW()-1,FALSE))</f>
        <v>0.59965865600000001</v>
      </c>
      <c r="Q10">
        <f ca="1">IF(AND($B$294=1,LEN($Q$166) * LEN($Q$162)&gt;0),$Q$166/$Q$162*100,HLOOKUP(INDIRECT(ADDRESS(2,COLUMN())),OFFSET($AT$2,0,0,ROW()-1,40),ROW()-1,FALSE))</f>
        <v>0.50671263600000005</v>
      </c>
      <c r="R10">
        <f ca="1">IF(AND($B$294=1,LEN($R$166) * LEN($R$162)&gt;0),$R$166/$R$162*100,HLOOKUP(INDIRECT(ADDRESS(2,COLUMN())),OFFSET($AT$2,0,0,ROW()-1,40),ROW()-1,FALSE))</f>
        <v>0.48783131899999999</v>
      </c>
      <c r="S10">
        <f ca="1">IF(AND($B$294=1,LEN($S$166) * LEN($S$162)&gt;0),$S$166/$S$162*100,HLOOKUP(INDIRECT(ADDRESS(2,COLUMN())),OFFSET($AT$2,0,0,ROW()-1,40),ROW()-1,FALSE))</f>
        <v>0.42953155799999998</v>
      </c>
      <c r="T10">
        <f ca="1">IF(AND($B$294=1,LEN($T$166) * LEN($T$162)&gt;0),$T$166/$T$162*100,HLOOKUP(INDIRECT(ADDRESS(2,COLUMN())),OFFSET($AT$2,0,0,ROW()-1,40),ROW()-1,FALSE))</f>
        <v>0.34248250899999999</v>
      </c>
      <c r="U10">
        <f ca="1">IF(AND($B$294=1,LEN($U$166) * LEN($U$162)&gt;0),$U$166/$U$162*100,HLOOKUP(INDIRECT(ADDRESS(2,COLUMN())),OFFSET($AT$2,0,0,ROW()-1,40),ROW()-1,FALSE))</f>
        <v>0.33463785400000001</v>
      </c>
      <c r="V10">
        <f ca="1">IF(AND($B$294=1,LEN($V$166) * LEN($V$162)&gt;0),$V$166/$V$162*100,HLOOKUP(INDIRECT(ADDRESS(2,COLUMN())),OFFSET($AT$2,0,0,ROW()-1,40),ROW()-1,FALSE))</f>
        <v>0.30063221200000001</v>
      </c>
      <c r="W10">
        <f ca="1">IF(AND($B$294=1,LEN($W$166) * LEN($W$162)&gt;0),$W$166/$W$162*100,HLOOKUP(INDIRECT(ADDRESS(2,COLUMN())),OFFSET($AT$2,0,0,ROW()-1,40),ROW()-1,FALSE))</f>
        <v>0.36158916200000002</v>
      </c>
      <c r="X10">
        <f ca="1">IF(AND($B$294=1,LEN($X$166) * LEN($X$162)&gt;0),$X$166/$X$162*100,HLOOKUP(INDIRECT(ADDRESS(2,COLUMN())),OFFSET($AT$2,0,0,ROW()-1,40),ROW()-1,FALSE))</f>
        <v>0.36367116500000002</v>
      </c>
      <c r="Y10">
        <f ca="1">IF(AND($B$294=1,LEN($Y$166) * LEN($Y$162)&gt;0),$Y$166/$Y$162*100,HLOOKUP(INDIRECT(ADDRESS(2,COLUMN())),OFFSET($AT$2,0,0,ROW()-1,40),ROW()-1,FALSE))</f>
        <v>0.28206404499999999</v>
      </c>
      <c r="Z10">
        <f ca="1">IF(AND($B$294=1,LEN($Z$166) * LEN($Z$162)&gt;0),$Z$166/$Z$162*100,HLOOKUP(INDIRECT(ADDRESS(2,COLUMN())),OFFSET($AT$2,0,0,ROW()-1,40),ROW()-1,FALSE))</f>
        <v>0.26416052800000001</v>
      </c>
      <c r="AA10">
        <f ca="1">IF(AND($B$294=1,LEN($AA$166) * LEN($AA$162)&gt;0),$AA$166/$AA$162*100,HLOOKUP(INDIRECT(ADDRESS(2,COLUMN())),OFFSET($AT$2,0,0,ROW()-1,40),ROW()-1,FALSE))</f>
        <v>0.386697603</v>
      </c>
      <c r="AB10">
        <f ca="1">IF(AND($B$294=1,LEN($AB$166) * LEN($AB$162)&gt;0),$AB$166/$AB$162*100,HLOOKUP(INDIRECT(ADDRESS(2,COLUMN())),OFFSET($AT$2,0,0,ROW()-1,40),ROW()-1,FALSE))</f>
        <v>0.66363953899999995</v>
      </c>
      <c r="AC10">
        <f ca="1">IF(AND($B$294=1,LEN($AC$166) * LEN($AC$162)&gt;0),$AC$166/$AC$162*100,HLOOKUP(INDIRECT(ADDRESS(2,COLUMN())),OFFSET($AT$2,0,0,ROW()-1,40),ROW()-1,FALSE))</f>
        <v>0.58642239500000004</v>
      </c>
      <c r="AD10">
        <f ca="1">IF(AND($B$294=1,LEN($AD$166) * LEN($AD$162)&gt;0),$AD$166/$AD$162*100,HLOOKUP(INDIRECT(ADDRESS(2,COLUMN())),OFFSET($AT$2,0,0,ROW()-1,40),ROW()-1,FALSE))</f>
        <v>0.53264533300000005</v>
      </c>
      <c r="AE10">
        <f ca="1">IF(AND($B$294=1,LEN($AE$166) * LEN($AE$162)&gt;0),$AE$166/$AE$162*100,HLOOKUP(INDIRECT(ADDRESS(2,COLUMN())),OFFSET($AT$2,0,0,ROW()-1,40),ROW()-1,FALSE))</f>
        <v>0.46109733400000003</v>
      </c>
      <c r="AF10">
        <f ca="1">IF(AND($B$294=1,LEN($AF$166) * LEN($AF$162)&gt;0),$AF$166/$AF$162*100,HLOOKUP(INDIRECT(ADDRESS(2,COLUMN())),OFFSET($AT$2,0,0,ROW()-1,40),ROW()-1,FALSE))</f>
        <v>0.45163004299999998</v>
      </c>
      <c r="AG10">
        <f ca="1">IF(AND($B$294=1,LEN($AG$166) * LEN($AG$162)&gt;0),$AG$166/$AG$162*100,HLOOKUP(INDIRECT(ADDRESS(2,COLUMN())),OFFSET($AT$2,0,0,ROW()-1,40),ROW()-1,FALSE))</f>
        <v>0.47361299099999998</v>
      </c>
      <c r="AH10">
        <f ca="1">IF(AND($B$294=1,LEN($AH$166) * LEN($AH$162)&gt;0),$AH$166/$AH$162*100,HLOOKUP(INDIRECT(ADDRESS(2,COLUMN())),OFFSET($AT$2,0,0,ROW()-1,40),ROW()-1,FALSE))</f>
        <v>0.157159099</v>
      </c>
      <c r="AI10">
        <f ca="1">IF(AND($B$294=1,LEN($AI$166) * LEN($AI$162)&gt;0),$AI$166/$AI$162*100,HLOOKUP(INDIRECT(ADDRESS(2,COLUMN())),OFFSET($AT$2,0,0,ROW()-1,40),ROW()-1,FALSE))</f>
        <v>0.10435185900000001</v>
      </c>
      <c r="AJ10">
        <f ca="1">IF(AND($B$294=1,LEN($AJ$166) * LEN($AJ$162)&gt;0),$AJ$166/$AJ$162*100,HLOOKUP(INDIRECT(ADDRESS(2,COLUMN())),OFFSET($AT$2,0,0,ROW()-1,40),ROW()-1,FALSE))</f>
        <v>9.9800398999999998E-2</v>
      </c>
      <c r="AK10">
        <f ca="1">IF(AND($B$294=1,LEN($AK$166) * LEN($AK$162)&gt;0),$AK$166/$AK$162*100,HLOOKUP(INDIRECT(ADDRESS(2,COLUMN())),OFFSET($AT$2,0,0,ROW()-1,40),ROW()-1,FALSE))</f>
        <v>7.9346190000000004E-3</v>
      </c>
      <c r="AL10">
        <f ca="1">IF(AND($B$294=1,LEN($AL$166) * LEN($AL$162)&gt;0),$AL$166/$AL$162*100,HLOOKUP(INDIRECT(ADDRESS(2,COLUMN())),OFFSET($AT$2,0,0,ROW()-1,40),ROW()-1,FALSE))</f>
        <v>2.7684215000000002E-2</v>
      </c>
      <c r="AM10">
        <f ca="1">IF(AND($B$294=1,LEN($AM$166) * LEN($AM$162)&gt;0),$AM$166/$AM$162*100,HLOOKUP(INDIRECT(ADDRESS(2,COLUMN())),OFFSET($AT$2,0,0,ROW()-1,40),ROW()-1,FALSE))</f>
        <v>0.321057602</v>
      </c>
      <c r="AN10">
        <f ca="1">IF(AND($B$294=1,LEN($AN$166) * LEN($AN$162)&gt;0),$AN$166/$AN$162*100,HLOOKUP(INDIRECT(ADDRESS(2,COLUMN())),OFFSET($AT$2,0,0,ROW()-1,40),ROW()-1,FALSE))</f>
        <v>0.76135008100000001</v>
      </c>
      <c r="AO10">
        <f ca="1">IF(AND($B$294=1,LEN($AO$166) * LEN($AO$162)&gt;0),$AO$166/$AO$162*100,HLOOKUP(INDIRECT(ADDRESS(2,COLUMN())),OFFSET($AT$2,0,0,ROW()-1,40),ROW()-1,FALSE))</f>
        <v>0.95456459699999996</v>
      </c>
      <c r="AP10">
        <f ca="1">IF(AND($B$294=1,LEN($AP$166) * LEN($AP$162)&gt;0),$AP$166/$AP$162*100,HLOOKUP(INDIRECT(ADDRESS(2,COLUMN())),OFFSET($AT$2,0,0,ROW()-1,40),ROW()-1,FALSE))</f>
        <v>0.75632411799999999</v>
      </c>
      <c r="AQ10">
        <f ca="1">IF(AND($B$294=1,LEN($AQ$166) * LEN($AQ$162)&gt;0),$AQ$166/$AQ$162*100,HLOOKUP(INDIRECT(ADDRESS(2,COLUMN())),OFFSET($AT$2,0,0,ROW()-1,40),ROW()-1,FALSE))</f>
        <v>0.27838048100000001</v>
      </c>
      <c r="AR10">
        <f ca="1">IF(AND($B$294=1,LEN($AR$166) * LEN($AR$162)&gt;0),$AR$166/$AR$162*100,HLOOKUP(INDIRECT(ADDRESS(2,COLUMN())),OFFSET($AT$2,0,0,ROW()-1,40),ROW()-1,FALSE))</f>
        <v>0.38488892600000002</v>
      </c>
      <c r="AS10">
        <f ca="1">IF(AND($B$294=1,LEN($AS$166) * LEN($AS$162)&gt;0),$AS$166/$AS$162*100,HLOOKUP(INDIRECT(ADDRESS(2,COLUMN())),OFFSET($AT$2,0,0,ROW()-1,40),ROW()-1,FALSE))</f>
        <v>6.8198286999999996E-2</v>
      </c>
      <c r="AT10" t="str">
        <f>""</f>
        <v/>
      </c>
      <c r="AU10" t="str">
        <f>""</f>
        <v/>
      </c>
      <c r="AV10" t="str">
        <f>""</f>
        <v/>
      </c>
      <c r="AW10" t="str">
        <f>""</f>
        <v/>
      </c>
      <c r="AX10" t="str">
        <f>""</f>
        <v/>
      </c>
      <c r="AY10" t="str">
        <f>""</f>
        <v/>
      </c>
      <c r="AZ10" t="str">
        <f>""</f>
        <v/>
      </c>
      <c r="BA10" t="str">
        <f>""</f>
        <v/>
      </c>
      <c r="BB10" t="str">
        <f>""</f>
        <v/>
      </c>
      <c r="BC10" t="str">
        <f>""</f>
        <v/>
      </c>
      <c r="BD10">
        <f>0.599658656</f>
        <v>0.59965865600000001</v>
      </c>
      <c r="BE10">
        <f>0.506712636</f>
        <v>0.50671263600000005</v>
      </c>
      <c r="BF10">
        <f>0.487831319</f>
        <v>0.48783131899999999</v>
      </c>
      <c r="BG10">
        <f>0.429531558</f>
        <v>0.42953155799999998</v>
      </c>
      <c r="BH10">
        <f>0.342482509</f>
        <v>0.34248250899999999</v>
      </c>
      <c r="BI10">
        <f>0.334637854</f>
        <v>0.33463785400000001</v>
      </c>
      <c r="BJ10">
        <f>0.300632212</f>
        <v>0.30063221200000001</v>
      </c>
      <c r="BK10">
        <f>0.361589162</f>
        <v>0.36158916200000002</v>
      </c>
      <c r="BL10">
        <f>0.363671165</f>
        <v>0.36367116500000002</v>
      </c>
      <c r="BM10">
        <f>0.282064045</f>
        <v>0.28206404499999999</v>
      </c>
      <c r="BN10">
        <f>0.264160528</f>
        <v>0.26416052800000001</v>
      </c>
      <c r="BO10">
        <f>0.386697603</f>
        <v>0.386697603</v>
      </c>
      <c r="BP10">
        <f>0.663639539</f>
        <v>0.66363953899999995</v>
      </c>
      <c r="BQ10">
        <f>0.586422395</f>
        <v>0.58642239500000004</v>
      </c>
      <c r="BR10">
        <f>0.532645333</f>
        <v>0.53264533300000005</v>
      </c>
      <c r="BS10">
        <f>0.461097334</f>
        <v>0.46109733400000003</v>
      </c>
      <c r="BT10">
        <f>0.451630043</f>
        <v>0.45163004299999998</v>
      </c>
      <c r="BU10">
        <f>0.473612991</f>
        <v>0.47361299099999998</v>
      </c>
      <c r="BV10">
        <f>0.157159099</f>
        <v>0.157159099</v>
      </c>
      <c r="BW10">
        <f>0.104351859</f>
        <v>0.10435185900000001</v>
      </c>
      <c r="BX10">
        <f>0.099800399</f>
        <v>9.9800398999999998E-2</v>
      </c>
      <c r="BY10">
        <f>0.007934619</f>
        <v>7.9346190000000004E-3</v>
      </c>
      <c r="BZ10">
        <f>0.027684215</f>
        <v>2.7684215000000002E-2</v>
      </c>
      <c r="CA10">
        <f>0.321057602</f>
        <v>0.321057602</v>
      </c>
      <c r="CB10">
        <f>0.761350081</f>
        <v>0.76135008100000001</v>
      </c>
      <c r="CC10">
        <f>0.954564597</f>
        <v>0.95456459699999996</v>
      </c>
      <c r="CD10">
        <f>0.756324118</f>
        <v>0.75632411799999999</v>
      </c>
      <c r="CE10">
        <f>0.278380481</f>
        <v>0.27838048100000001</v>
      </c>
      <c r="CF10">
        <f>0.384888926</f>
        <v>0.38488892600000002</v>
      </c>
      <c r="CG10">
        <f>0.068198287</f>
        <v>6.8198286999999996E-2</v>
      </c>
    </row>
    <row r="11" spans="1:85" x14ac:dyDescent="0.25">
      <c r="A11" t="str">
        <f>"    PACCAR"</f>
        <v xml:space="preserve">    PACCAR</v>
      </c>
      <c r="B11" t="str">
        <f>""</f>
        <v/>
      </c>
      <c r="E11" t="str">
        <f>"Sum"</f>
        <v>Sum</v>
      </c>
      <c r="F11">
        <f ca="1">IF(ISERROR(IF(SUM($F$12:$F$13) = 0, "", SUM($F$12:$F$13))), "", (IF(SUM($F$12:$F$13) = 0, "", SUM($F$12:$F$13))))</f>
        <v>31.430298839999999</v>
      </c>
      <c r="G11">
        <f ca="1">IF(ISERROR(IF(SUM($G$12:$G$13) = 0, "", SUM($G$12:$G$13))), "", (IF(SUM($G$12:$G$13) = 0, "", SUM($G$12:$G$13))))</f>
        <v>30.030684389999998</v>
      </c>
      <c r="H11">
        <f ca="1">IF(ISERROR(IF(SUM($H$12:$H$13) = 0, "", SUM($H$12:$H$13))), "", (IF(SUM($H$12:$H$13) = 0, "", SUM($H$12:$H$13))))</f>
        <v>30.80012928</v>
      </c>
      <c r="I11">
        <f ca="1">IF(ISERROR(IF(SUM($I$12:$I$13) = 0, "", SUM($I$12:$I$13))), "", (IF(SUM($I$12:$I$13) = 0, "", SUM($I$12:$I$13))))</f>
        <v>33.012967200000006</v>
      </c>
      <c r="J11">
        <f ca="1">IF(ISERROR(IF(SUM($J$12:$J$13) = 0, "", SUM($J$12:$J$13))), "", (IF(SUM($J$12:$J$13) = 0, "", SUM($J$12:$J$13))))</f>
        <v>30.450279729999998</v>
      </c>
      <c r="K11">
        <f ca="1">IF(ISERROR(IF(SUM($K$12:$K$13) = 0, "", SUM($K$12:$K$13))), "", (IF(SUM($K$12:$K$13) = 0, "", SUM($K$12:$K$13))))</f>
        <v>30.12796028</v>
      </c>
      <c r="L11">
        <f ca="1">IF(ISERROR(IF(SUM($L$12:$L$13) = 0, "", SUM($L$12:$L$13))), "", (IF(SUM($L$12:$L$13) = 0, "", SUM($L$12:$L$13))))</f>
        <v>31.929590019999999</v>
      </c>
      <c r="M11">
        <f ca="1">IF(ISERROR(IF(SUM($M$12:$M$13) = 0, "", SUM($M$12:$M$13))), "", (IF(SUM($M$12:$M$13) = 0, "", SUM($M$12:$M$13))))</f>
        <v>29.062032700000003</v>
      </c>
      <c r="N11">
        <f ca="1">IF(ISERROR(IF(SUM($N$12:$N$13) = 0, "", SUM($N$12:$N$13))), "", (IF(SUM($N$12:$N$13) = 0, "", SUM($N$12:$N$13))))</f>
        <v>28.491352800000001</v>
      </c>
      <c r="O11">
        <f ca="1">IF(ISERROR(IF(SUM($O$12:$O$13) = 0, "", SUM($O$12:$O$13))), "", (IF(SUM($O$12:$O$13) = 0, "", SUM($O$12:$O$13))))</f>
        <v>27.033844860000002</v>
      </c>
      <c r="P11">
        <f ca="1">IF(ISERROR(IF(SUM($P$12:$P$13) = 0, "", SUM($P$12:$P$13))), "", (IF(SUM($P$12:$P$13) = 0, "", SUM($P$12:$P$13))))</f>
        <v>33.50246782</v>
      </c>
      <c r="Q11">
        <f ca="1">IF(ISERROR(IF(SUM($Q$12:$Q$13) = 0, "", SUM($Q$12:$Q$13))), "", (IF(SUM($Q$12:$Q$13) = 0, "", SUM($Q$12:$Q$13))))</f>
        <v>29.53037664</v>
      </c>
      <c r="R11">
        <f ca="1">IF(ISERROR(IF(SUM($R$12:$R$13) = 0, "", SUM($R$12:$R$13))), "", (IF(SUM($R$12:$R$13) = 0, "", SUM($R$12:$R$13))))</f>
        <v>30.24012141</v>
      </c>
      <c r="S11">
        <f ca="1">IF(ISERROR(IF(SUM($S$12:$S$13) = 0, "", SUM($S$12:$S$13))), "", (IF(SUM($S$12:$S$13) = 0, "", SUM($S$12:$S$13))))</f>
        <v>32.118853900000005</v>
      </c>
      <c r="T11">
        <f ca="1">IF(ISERROR(IF(SUM($T$12:$T$13) = 0, "", SUM($T$12:$T$13))), "", (IF(SUM($T$12:$T$13) = 0, "", SUM($T$12:$T$13))))</f>
        <v>30.094427320000001</v>
      </c>
      <c r="U11">
        <f ca="1">IF(ISERROR(IF(SUM($U$12:$U$13) = 0, "", SUM($U$12:$U$13))), "", (IF(SUM($U$12:$U$13) = 0, "", SUM($U$12:$U$13))))</f>
        <v>31.881345359999997</v>
      </c>
      <c r="V11">
        <f ca="1">IF(ISERROR(IF(SUM($V$12:$V$13) = 0, "", SUM($V$12:$V$13))), "", (IF(SUM($V$12:$V$13) = 0, "", SUM($V$12:$V$13))))</f>
        <v>28.330164910000001</v>
      </c>
      <c r="W11">
        <f ca="1">IF(ISERROR(IF(SUM($W$12:$W$13) = 0, "", SUM($W$12:$W$13))), "", (IF(SUM($W$12:$W$13) = 0, "", SUM($W$12:$W$13))))</f>
        <v>27.35261809</v>
      </c>
      <c r="X11">
        <f ca="1">IF(ISERROR(IF(SUM($X$12:$X$13) = 0, "", SUM($X$12:$X$13))), "", (IF(SUM($X$12:$X$13) = 0, "", SUM($X$12:$X$13))))</f>
        <v>28.4524835</v>
      </c>
      <c r="Y11">
        <f ca="1">IF(ISERROR(IF(SUM($Y$12:$Y$13) = 0, "", SUM($Y$12:$Y$13))), "", (IF(SUM($Y$12:$Y$13) = 0, "", SUM($Y$12:$Y$13))))</f>
        <v>26.609424260000004</v>
      </c>
      <c r="Z11">
        <f ca="1">IF(ISERROR(IF(SUM($Z$12:$Z$13) = 0, "", SUM($Z$12:$Z$13))), "", (IF(SUM($Z$12:$Z$13) = 0, "", SUM($Z$12:$Z$13))))</f>
        <v>27.919735840000001</v>
      </c>
      <c r="AA11">
        <f ca="1">IF(ISERROR(IF(SUM($AA$12:$AA$13) = 0, "", SUM($AA$12:$AA$13))), "", (IF(SUM($AA$12:$AA$13) = 0, "", SUM($AA$12:$AA$13))))</f>
        <v>22.8564063</v>
      </c>
      <c r="AB11">
        <f ca="1">IF(ISERROR(IF(SUM($AB$12:$AB$13) = 0, "", SUM($AB$12:$AB$13))), "", (IF(SUM($AB$12:$AB$13) = 0, "", SUM($AB$12:$AB$13))))</f>
        <v>27.35281561</v>
      </c>
      <c r="AC11">
        <f ca="1">IF(ISERROR(IF(SUM($AC$12:$AC$13) = 0, "", SUM($AC$12:$AC$13))), "", (IF(SUM($AC$12:$AC$13) = 0, "", SUM($AC$12:$AC$13))))</f>
        <v>24.539851036000002</v>
      </c>
      <c r="AD11">
        <f ca="1">IF(ISERROR(IF(SUM($AD$12:$AD$13) = 0, "", SUM($AD$12:$AD$13))), "", (IF(SUM($AD$12:$AD$13) = 0, "", SUM($AD$12:$AD$13))))</f>
        <v>26.906911900000001</v>
      </c>
      <c r="AE11">
        <f ca="1">IF(ISERROR(IF(SUM($AE$12:$AE$13) = 0, "", SUM($AE$12:$AE$13))), "", (IF(SUM($AE$12:$AE$13) = 0, "", SUM($AE$12:$AE$13))))</f>
        <v>29.26611904</v>
      </c>
      <c r="AF11">
        <f ca="1">IF(ISERROR(IF(SUM($AF$12:$AF$13) = 0, "", SUM($AF$12:$AF$13))), "", (IF(SUM($AF$12:$AF$13) = 0, "", SUM($AF$12:$AF$13))))</f>
        <v>31.056207059999998</v>
      </c>
      <c r="AG11">
        <f ca="1">IF(ISERROR(IF(SUM($AG$12:$AG$13) = 0, "", SUM($AG$12:$AG$13))), "", (IF(SUM($AG$12:$AG$13) = 0, "", SUM($AG$12:$AG$13))))</f>
        <v>28.50224343</v>
      </c>
      <c r="AH11">
        <f ca="1">IF(ISERROR(IF(SUM($AH$12:$AH$13) = 0, "", SUM($AH$12:$AH$13))), "", (IF(SUM($AH$12:$AH$13) = 0, "", SUM($AH$12:$AH$13))))</f>
        <v>26.890924890000001</v>
      </c>
      <c r="AI11">
        <f ca="1">IF(ISERROR(IF(SUM($AI$12:$AI$13) = 0, "", SUM($AI$12:$AI$13))), "", (IF(SUM($AI$12:$AI$13) = 0, "", SUM($AI$12:$AI$13))))</f>
        <v>28.375975879999999</v>
      </c>
      <c r="AJ11">
        <f ca="1">IF(ISERROR(IF(SUM($AJ$12:$AJ$13) = 0, "", SUM($AJ$12:$AJ$13))), "", (IF(SUM($AJ$12:$AJ$13) = 0, "", SUM($AJ$12:$AJ$13))))</f>
        <v>31.489021960000002</v>
      </c>
      <c r="AK11">
        <f ca="1">IF(ISERROR(IF(SUM($AK$12:$AK$13) = 0, "", SUM($AK$12:$AK$13))), "", (IF(SUM($AK$12:$AK$13) = 0, "", SUM($AK$12:$AK$13))))</f>
        <v>28.39403317</v>
      </c>
      <c r="AL11">
        <f ca="1">IF(ISERROR(IF(SUM($AL$12:$AL$13) = 0, "", SUM($AL$12:$AL$13))), "", (IF(SUM($AL$12:$AL$13) = 0, "", SUM($AL$12:$AL$13))))</f>
        <v>29.617496419999998</v>
      </c>
      <c r="AM11">
        <f ca="1">IF(ISERROR(IF(SUM($AM$12:$AM$13) = 0, "", SUM($AM$12:$AM$13))), "", (IF(SUM($AM$12:$AM$13) = 0, "", SUM($AM$12:$AM$13))))</f>
        <v>26.671388100000001</v>
      </c>
      <c r="AN11">
        <f ca="1">IF(ISERROR(IF(SUM($AN$12:$AN$13) = 0, "", SUM($AN$12:$AN$13))), "", (IF(SUM($AN$12:$AN$13) = 0, "", SUM($AN$12:$AN$13))))</f>
        <v>28.503262929999998</v>
      </c>
      <c r="AO11">
        <f ca="1">IF(ISERROR(IF(SUM($AO$12:$AO$13) = 0, "", SUM($AO$12:$AO$13))), "", (IF(SUM($AO$12:$AO$13) = 0, "", SUM($AO$12:$AO$13))))</f>
        <v>32.085536480000002</v>
      </c>
      <c r="AP11">
        <f ca="1">IF(ISERROR(IF(SUM($AP$12:$AP$13) = 0, "", SUM($AP$12:$AP$13))), "", (IF(SUM($AP$12:$AP$13) = 0, "", SUM($AP$12:$AP$13))))</f>
        <v>28.497999050000001</v>
      </c>
      <c r="AQ11">
        <f ca="1">IF(ISERROR(IF(SUM($AQ$12:$AQ$13) = 0, "", SUM($AQ$12:$AQ$13))), "", (IF(SUM($AQ$12:$AQ$13) = 0, "", SUM($AQ$12:$AQ$13))))</f>
        <v>28.996602119999999</v>
      </c>
      <c r="AR11">
        <f ca="1">IF(ISERROR(IF(SUM($AR$12:$AR$13) = 0, "", SUM($AR$12:$AR$13))), "", (IF(SUM($AR$12:$AR$13) = 0, "", SUM($AR$12:$AR$13))))</f>
        <v>28.21403171</v>
      </c>
      <c r="AS11">
        <f ca="1">IF(ISERROR(IF(SUM($AS$12:$AS$13) = 0, "", SUM($AS$12:$AS$13))), "", (IF(SUM($AS$12:$AS$13) = 0, "", SUM($AS$12:$AS$13))))</f>
        <v>28.336388050000004</v>
      </c>
      <c r="AT11">
        <f>31.43029884</f>
        <v>31.430298839999999</v>
      </c>
      <c r="AU11">
        <f>30.0306844</f>
        <v>30.030684399999998</v>
      </c>
      <c r="AV11">
        <f>30.80012928</f>
        <v>30.80012928</v>
      </c>
      <c r="AW11">
        <f>33.0129672</f>
        <v>33.012967199999999</v>
      </c>
      <c r="AX11">
        <f>30.45027973</f>
        <v>30.450279729999998</v>
      </c>
      <c r="AY11">
        <f>30.12796028</f>
        <v>30.12796028</v>
      </c>
      <c r="AZ11">
        <f>31.92959002</f>
        <v>31.929590019999999</v>
      </c>
      <c r="BA11">
        <f>29.06203269</f>
        <v>29.062032689999999</v>
      </c>
      <c r="BB11">
        <f>28.49135279</f>
        <v>28.491352790000001</v>
      </c>
      <c r="BC11">
        <f>27.03384486</f>
        <v>27.033844859999999</v>
      </c>
      <c r="BD11">
        <f>33.50246783</f>
        <v>33.502467830000001</v>
      </c>
      <c r="BE11">
        <f>29.53037664</f>
        <v>29.53037664</v>
      </c>
      <c r="BF11">
        <f>30.24012142</f>
        <v>30.240121420000001</v>
      </c>
      <c r="BG11">
        <f>32.11885391</f>
        <v>32.118853909999999</v>
      </c>
      <c r="BH11">
        <f>30.09442732</f>
        <v>30.094427320000001</v>
      </c>
      <c r="BI11">
        <f>31.88134536</f>
        <v>31.881345360000001</v>
      </c>
      <c r="BJ11">
        <f>28.33016491</f>
        <v>28.330164910000001</v>
      </c>
      <c r="BK11">
        <f>27.35261809</f>
        <v>27.35261809</v>
      </c>
      <c r="BL11">
        <f>28.45248349</f>
        <v>28.452483489999999</v>
      </c>
      <c r="BM11">
        <f>26.60942426</f>
        <v>26.609424260000001</v>
      </c>
      <c r="BN11">
        <f>27.91973584</f>
        <v>27.919735840000001</v>
      </c>
      <c r="BO11">
        <f>22.85640629</f>
        <v>22.856406289999999</v>
      </c>
      <c r="BP11">
        <f>27.35281562</f>
        <v>27.352815620000001</v>
      </c>
      <c r="BQ11">
        <f>24.53985104</f>
        <v>24.539851039999999</v>
      </c>
      <c r="BR11">
        <f>26.90691191</f>
        <v>26.906911910000002</v>
      </c>
      <c r="BS11">
        <f>29.26611903</f>
        <v>29.266119029999999</v>
      </c>
      <c r="BT11">
        <f>31.05620707</f>
        <v>31.056207069999999</v>
      </c>
      <c r="BU11">
        <f>28.50224343</f>
        <v>28.50224343</v>
      </c>
      <c r="BV11">
        <f>26.8909249</f>
        <v>26.890924900000002</v>
      </c>
      <c r="BW11">
        <f>28.37597588</f>
        <v>28.375975879999999</v>
      </c>
      <c r="BX11">
        <f>31.48902196</f>
        <v>31.489021959999999</v>
      </c>
      <c r="BY11">
        <f>28.39403317</f>
        <v>28.39403317</v>
      </c>
      <c r="BZ11">
        <f>29.61749642</f>
        <v>29.617496419999998</v>
      </c>
      <c r="CA11">
        <f>26.6713881</f>
        <v>26.671388100000001</v>
      </c>
      <c r="CB11">
        <f>28.50326293</f>
        <v>28.503262930000002</v>
      </c>
      <c r="CC11">
        <f>32.08553647</f>
        <v>32.085536470000001</v>
      </c>
      <c r="CD11">
        <f>28.49799905</f>
        <v>28.497999050000001</v>
      </c>
      <c r="CE11">
        <f>28.99660212</f>
        <v>28.996602119999999</v>
      </c>
      <c r="CF11">
        <f>28.21403171</f>
        <v>28.21403171</v>
      </c>
      <c r="CG11">
        <f>28.33638805</f>
        <v>28.33638805</v>
      </c>
    </row>
    <row r="12" spans="1:85" x14ac:dyDescent="0.25">
      <c r="A12" t="str">
        <f>"        Kenworth"</f>
        <v xml:space="preserve">        Kenworth</v>
      </c>
      <c r="B12" t="str">
        <f>""</f>
        <v/>
      </c>
      <c r="E12" t="str">
        <f>"Expression"</f>
        <v>Expression</v>
      </c>
      <c r="F12">
        <f ca="1">IF(AND($B$294=1,LEN($F$167) * LEN($F$162)&gt;0),$F$167/$F$162*100,HLOOKUP(INDIRECT(ADDRESS(2,COLUMN())),OFFSET($AT$2,0,0,ROW()-1,40),ROW()-1,FALSE))</f>
        <v>17.049576779999999</v>
      </c>
      <c r="G12">
        <f ca="1">IF(AND($B$294=1,LEN($G$167) * LEN($G$162)&gt;0),$G$167/$G$162*100,HLOOKUP(INDIRECT(ADDRESS(2,COLUMN())),OFFSET($AT$2,0,0,ROW()-1,40),ROW()-1,FALSE))</f>
        <v>17.338906919999999</v>
      </c>
      <c r="H12">
        <f ca="1">IF(AND($B$294=1,LEN($H$167) * LEN($H$162)&gt;0),$H$167/$H$162*100,HLOOKUP(INDIRECT(ADDRESS(2,COLUMN())),OFFSET($AT$2,0,0,ROW()-1,40),ROW()-1,FALSE))</f>
        <v>16.787478650000001</v>
      </c>
      <c r="I12">
        <f ca="1">IF(AND($B$294=1,LEN($I$167) * LEN($I$162)&gt;0),$I$167/$I$162*100,HLOOKUP(INDIRECT(ADDRESS(2,COLUMN())),OFFSET($AT$2,0,0,ROW()-1,40),ROW()-1,FALSE))</f>
        <v>18.479532160000002</v>
      </c>
      <c r="J12">
        <f ca="1">IF(AND($B$294=1,LEN($J$167) * LEN($J$162)&gt;0),$J$167/$J$162*100,HLOOKUP(INDIRECT(ADDRESS(2,COLUMN())),OFFSET($AT$2,0,0,ROW()-1,40),ROW()-1,FALSE))</f>
        <v>16.67569031</v>
      </c>
      <c r="K12">
        <f ca="1">IF(AND($B$294=1,LEN($K$167) * LEN($K$162)&gt;0),$K$167/$K$162*100,HLOOKUP(INDIRECT(ADDRESS(2,COLUMN())),OFFSET($AT$2,0,0,ROW()-1,40),ROW()-1,FALSE))</f>
        <v>16.992933539999999</v>
      </c>
      <c r="L12">
        <f ca="1">IF(AND($B$294=1,LEN($L$167) * LEN($L$162)&gt;0),$L$167/$L$162*100,HLOOKUP(INDIRECT(ADDRESS(2,COLUMN())),OFFSET($AT$2,0,0,ROW()-1,40),ROW()-1,FALSE))</f>
        <v>17.94786096</v>
      </c>
      <c r="M12">
        <f ca="1">IF(AND($B$294=1,LEN($M$167) * LEN($M$162)&gt;0),$M$167/$M$162*100,HLOOKUP(INDIRECT(ADDRESS(2,COLUMN())),OFFSET($AT$2,0,0,ROW()-1,40),ROW()-1,FALSE))</f>
        <v>16.521425260000001</v>
      </c>
      <c r="N12">
        <f ca="1">IF(AND($B$294=1,LEN($N$167) * LEN($N$162)&gt;0),$N$167/$N$162*100,HLOOKUP(INDIRECT(ADDRESS(2,COLUMN())),OFFSET($AT$2,0,0,ROW()-1,40),ROW()-1,FALSE))</f>
        <v>14.642149160000001</v>
      </c>
      <c r="O12">
        <f ca="1">IF(AND($B$294=1,LEN($O$167) * LEN($O$162)&gt;0),$O$167/$O$162*100,HLOOKUP(INDIRECT(ADDRESS(2,COLUMN())),OFFSET($AT$2,0,0,ROW()-1,40),ROW()-1,FALSE))</f>
        <v>12.93532338</v>
      </c>
      <c r="P12">
        <f ca="1">IF(AND($B$294=1,LEN($P$167) * LEN($P$162)&gt;0),$P$167/$P$162*100,HLOOKUP(INDIRECT(ADDRESS(2,COLUMN())),OFFSET($AT$2,0,0,ROW()-1,40),ROW()-1,FALSE))</f>
        <v>22.7778034</v>
      </c>
      <c r="Q12">
        <f ca="1">IF(AND($B$294=1,LEN($Q$167) * LEN($Q$162)&gt;0),$Q$167/$Q$162*100,HLOOKUP(INDIRECT(ADDRESS(2,COLUMN())),OFFSET($AT$2,0,0,ROW()-1,40),ROW()-1,FALSE))</f>
        <v>17.698375389999999</v>
      </c>
      <c r="R12">
        <f ca="1">IF(AND($B$294=1,LEN($R$167) * LEN($R$162)&gt;0),$R$167/$R$162*100,HLOOKUP(INDIRECT(ADDRESS(2,COLUMN())),OFFSET($AT$2,0,0,ROW()-1,40),ROW()-1,FALSE))</f>
        <v>17.72995826</v>
      </c>
      <c r="S12">
        <f ca="1">IF(AND($B$294=1,LEN($S$167) * LEN($S$162)&gt;0),$S$167/$S$162*100,HLOOKUP(INDIRECT(ADDRESS(2,COLUMN())),OFFSET($AT$2,0,0,ROW()-1,40),ROW()-1,FALSE))</f>
        <v>20.334529280000002</v>
      </c>
      <c r="T12">
        <f ca="1">IF(AND($B$294=1,LEN($T$167) * LEN($T$162)&gt;0),$T$167/$T$162*100,HLOOKUP(INDIRECT(ADDRESS(2,COLUMN())),OFFSET($AT$2,0,0,ROW()-1,40),ROW()-1,FALSE))</f>
        <v>17.877586969999999</v>
      </c>
      <c r="U12">
        <f ca="1">IF(AND($B$294=1,LEN($U$167) * LEN($U$162)&gt;0),$U$167/$U$162*100,HLOOKUP(INDIRECT(ADDRESS(2,COLUMN())),OFFSET($AT$2,0,0,ROW()-1,40),ROW()-1,FALSE))</f>
        <v>18.06477228</v>
      </c>
      <c r="V12">
        <f ca="1">IF(AND($B$294=1,LEN($V$167) * LEN($V$162)&gt;0),$V$167/$V$162*100,HLOOKUP(INDIRECT(ADDRESS(2,COLUMN())),OFFSET($AT$2,0,0,ROW()-1,40),ROW()-1,FALSE))</f>
        <v>16.910561919999999</v>
      </c>
      <c r="W12">
        <f ca="1">IF(AND($B$294=1,LEN($W$167) * LEN($W$162)&gt;0),$W$167/$W$162*100,HLOOKUP(INDIRECT(ADDRESS(2,COLUMN())),OFFSET($AT$2,0,0,ROW()-1,40),ROW()-1,FALSE))</f>
        <v>15.64902966</v>
      </c>
      <c r="X12">
        <f ca="1">IF(AND($B$294=1,LEN($X$167) * LEN($X$162)&gt;0),$X$167/$X$162*100,HLOOKUP(INDIRECT(ADDRESS(2,COLUMN())),OFFSET($AT$2,0,0,ROW()-1,40),ROW()-1,FALSE))</f>
        <v>16.436979619999999</v>
      </c>
      <c r="Y12">
        <f ca="1">IF(AND($B$294=1,LEN($Y$167) * LEN($Y$162)&gt;0),$Y$167/$Y$162*100,HLOOKUP(INDIRECT(ADDRESS(2,COLUMN())),OFFSET($AT$2,0,0,ROW()-1,40),ROW()-1,FALSE))</f>
        <v>16.222830600000002</v>
      </c>
      <c r="Z12">
        <f ca="1">IF(AND($B$294=1,LEN($Z$167) * LEN($Z$162)&gt;0),$Z$167/$Z$162*100,HLOOKUP(INDIRECT(ADDRESS(2,COLUMN())),OFFSET($AT$2,0,0,ROW()-1,40),ROW()-1,FALSE))</f>
        <v>16.2001524</v>
      </c>
      <c r="AA12">
        <f ca="1">IF(AND($B$294=1,LEN($AA$167) * LEN($AA$162)&gt;0),$AA$167/$AA$162*100,HLOOKUP(INDIRECT(ADDRESS(2,COLUMN())),OFFSET($AT$2,0,0,ROW()-1,40),ROW()-1,FALSE))</f>
        <v>11.126579019999999</v>
      </c>
      <c r="AB12">
        <f ca="1">IF(AND($B$294=1,LEN($AB$167) * LEN($AB$162)&gt;0),$AB$167/$AB$162*100,HLOOKUP(INDIRECT(ADDRESS(2,COLUMN())),OFFSET($AT$2,0,0,ROW()-1,40),ROW()-1,FALSE))</f>
        <v>17.165366550000002</v>
      </c>
      <c r="AC12">
        <f ca="1">IF(AND($B$294=1,LEN($AC$167) * LEN($AC$162)&gt;0),$AC$167/$AC$162*100,HLOOKUP(INDIRECT(ADDRESS(2,COLUMN())),OFFSET($AT$2,0,0,ROW()-1,40),ROW()-1,FALSE))</f>
        <v>15.68358873</v>
      </c>
      <c r="AD12">
        <f ca="1">IF(AND($B$294=1,LEN($AD$167) * LEN($AD$162)&gt;0),$AD$167/$AD$162*100,HLOOKUP(INDIRECT(ADDRESS(2,COLUMN())),OFFSET($AT$2,0,0,ROW()-1,40),ROW()-1,FALSE))</f>
        <v>16.78248928</v>
      </c>
      <c r="AE12">
        <f ca="1">IF(AND($B$294=1,LEN($AE$167) * LEN($AE$162)&gt;0),$AE$167/$AE$162*100,HLOOKUP(INDIRECT(ADDRESS(2,COLUMN())),OFFSET($AT$2,0,0,ROW()-1,40),ROW()-1,FALSE))</f>
        <v>17.335709860000001</v>
      </c>
      <c r="AF12">
        <f ca="1">IF(AND($B$294=1,LEN($AF$167) * LEN($AF$162)&gt;0),$AF$167/$AF$162*100,HLOOKUP(INDIRECT(ADDRESS(2,COLUMN())),OFFSET($AT$2,0,0,ROW()-1,40),ROW()-1,FALSE))</f>
        <v>18.47508444</v>
      </c>
      <c r="AG12">
        <f ca="1">IF(AND($B$294=1,LEN($AG$167) * LEN($AG$162)&gt;0),$AG$167/$AG$162*100,HLOOKUP(INDIRECT(ADDRESS(2,COLUMN())),OFFSET($AT$2,0,0,ROW()-1,40),ROW()-1,FALSE))</f>
        <v>16.352111669999999</v>
      </c>
      <c r="AH12">
        <f ca="1">IF(AND($B$294=1,LEN($AH$167) * LEN($AH$162)&gt;0),$AH$167/$AH$162*100,HLOOKUP(INDIRECT(ADDRESS(2,COLUMN())),OFFSET($AT$2,0,0,ROW()-1,40),ROW()-1,FALSE))</f>
        <v>16.117167120000001</v>
      </c>
      <c r="AI12">
        <f ca="1">IF(AND($B$294=1,LEN($AI$167) * LEN($AI$162)&gt;0),$AI$167/$AI$162*100,HLOOKUP(INDIRECT(ADDRESS(2,COLUMN())),OFFSET($AT$2,0,0,ROW()-1,40),ROW()-1,FALSE))</f>
        <v>15.965834429999999</v>
      </c>
      <c r="AJ12">
        <f ca="1">IF(AND($B$294=1,LEN($AJ$167) * LEN($AJ$162)&gt;0),$AJ$167/$AJ$162*100,HLOOKUP(INDIRECT(ADDRESS(2,COLUMN())),OFFSET($AT$2,0,0,ROW()-1,40),ROW()-1,FALSE))</f>
        <v>18.279441120000001</v>
      </c>
      <c r="AK12">
        <f ca="1">IF(AND($B$294=1,LEN($AK$167) * LEN($AK$162)&gt;0),$AK$167/$AK$162*100,HLOOKUP(INDIRECT(ADDRESS(2,COLUMN())),OFFSET($AT$2,0,0,ROW()-1,40),ROW()-1,FALSE))</f>
        <v>16.210426089999999</v>
      </c>
      <c r="AL12">
        <f ca="1">IF(AND($B$294=1,LEN($AL$167) * LEN($AL$162)&gt;0),$AL$167/$AL$162*100,HLOOKUP(INDIRECT(ADDRESS(2,COLUMN())),OFFSET($AT$2,0,0,ROW()-1,40),ROW()-1,FALSE))</f>
        <v>17.408757439999999</v>
      </c>
      <c r="AM12">
        <f ca="1">IF(AND($B$294=1,LEN($AM$167) * LEN($AM$162)&gt;0),$AM$167/$AM$162*100,HLOOKUP(INDIRECT(ADDRESS(2,COLUMN())),OFFSET($AT$2,0,0,ROW()-1,40),ROW()-1,FALSE))</f>
        <v>14.881964119999999</v>
      </c>
      <c r="AN12">
        <f ca="1">IF(AND($B$294=1,LEN($AN$167) * LEN($AN$162)&gt;0),$AN$167/$AN$162*100,HLOOKUP(INDIRECT(ADDRESS(2,COLUMN())),OFFSET($AT$2,0,0,ROW()-1,40),ROW()-1,FALSE))</f>
        <v>17.219844219999999</v>
      </c>
      <c r="AO12">
        <f ca="1">IF(AND($B$294=1,LEN($AO$167) * LEN($AO$162)&gt;0),$AO$167/$AO$162*100,HLOOKUP(INDIRECT(ADDRESS(2,COLUMN())),OFFSET($AT$2,0,0,ROW()-1,40),ROW()-1,FALSE))</f>
        <v>18.01506715</v>
      </c>
      <c r="AP12">
        <f ca="1">IF(AND($B$294=1,LEN($AP$167) * LEN($AP$162)&gt;0),$AP$167/$AP$162*100,HLOOKUP(INDIRECT(ADDRESS(2,COLUMN())),OFFSET($AT$2,0,0,ROW()-1,40),ROW()-1,FALSE))</f>
        <v>15.879135</v>
      </c>
      <c r="AQ12">
        <f ca="1">IF(AND($B$294=1,LEN($AQ$167) * LEN($AQ$162)&gt;0),$AQ$167/$AQ$162*100,HLOOKUP(INDIRECT(ADDRESS(2,COLUMN())),OFFSET($AT$2,0,0,ROW()-1,40),ROW()-1,FALSE))</f>
        <v>16.215662999999999</v>
      </c>
      <c r="AR12">
        <f ca="1">IF(AND($B$294=1,LEN($AR$167) * LEN($AR$162)&gt;0),$AR$167/$AR$162*100,HLOOKUP(INDIRECT(ADDRESS(2,COLUMN())),OFFSET($AT$2,0,0,ROW()-1,40),ROW()-1,FALSE))</f>
        <v>15.893402500000001</v>
      </c>
      <c r="AS12">
        <f ca="1">IF(AND($B$294=1,LEN($AS$167) * LEN($AS$162)&gt;0),$AS$167/$AS$162*100,HLOOKUP(INDIRECT(ADDRESS(2,COLUMN())),OFFSET($AT$2,0,0,ROW()-1,40),ROW()-1,FALSE))</f>
        <v>16.128894760000001</v>
      </c>
      <c r="AT12">
        <f>17.04957678</f>
        <v>17.049576779999999</v>
      </c>
      <c r="AU12">
        <f>17.33890692</f>
        <v>17.338906919999999</v>
      </c>
      <c r="AV12">
        <f>16.78747865</f>
        <v>16.787478650000001</v>
      </c>
      <c r="AW12">
        <f>18.47953216</f>
        <v>18.479532160000002</v>
      </c>
      <c r="AX12">
        <f>16.67569031</f>
        <v>16.67569031</v>
      </c>
      <c r="AY12">
        <f>16.99293354</f>
        <v>16.992933539999999</v>
      </c>
      <c r="AZ12">
        <f>17.94786096</f>
        <v>17.94786096</v>
      </c>
      <c r="BA12">
        <f>16.52142526</f>
        <v>16.521425260000001</v>
      </c>
      <c r="BB12">
        <f>14.64214916</f>
        <v>14.642149160000001</v>
      </c>
      <c r="BC12">
        <f>12.93532338</f>
        <v>12.93532338</v>
      </c>
      <c r="BD12">
        <f>22.7778034</f>
        <v>22.7778034</v>
      </c>
      <c r="BE12">
        <f>17.69837539</f>
        <v>17.698375389999999</v>
      </c>
      <c r="BF12">
        <f>17.72995826</f>
        <v>17.72995826</v>
      </c>
      <c r="BG12">
        <f>20.33452928</f>
        <v>20.334529280000002</v>
      </c>
      <c r="BH12">
        <f>17.87758697</f>
        <v>17.877586969999999</v>
      </c>
      <c r="BI12">
        <f>18.06477228</f>
        <v>18.06477228</v>
      </c>
      <c r="BJ12">
        <f>16.91056192</f>
        <v>16.910561919999999</v>
      </c>
      <c r="BK12">
        <f>15.64902966</f>
        <v>15.64902966</v>
      </c>
      <c r="BL12">
        <f>16.43697962</f>
        <v>16.436979619999999</v>
      </c>
      <c r="BM12">
        <f>16.2228306</f>
        <v>16.222830600000002</v>
      </c>
      <c r="BN12">
        <f>16.2001524</f>
        <v>16.2001524</v>
      </c>
      <c r="BO12">
        <f>11.12657902</f>
        <v>11.126579019999999</v>
      </c>
      <c r="BP12">
        <f>17.16536655</f>
        <v>17.165366550000002</v>
      </c>
      <c r="BQ12">
        <f>15.68358873</f>
        <v>15.68358873</v>
      </c>
      <c r="BR12">
        <f>16.78248928</f>
        <v>16.78248928</v>
      </c>
      <c r="BS12">
        <f>17.33570986</f>
        <v>17.335709860000001</v>
      </c>
      <c r="BT12">
        <f>18.47508444</f>
        <v>18.47508444</v>
      </c>
      <c r="BU12">
        <f>16.35211167</f>
        <v>16.352111669999999</v>
      </c>
      <c r="BV12">
        <f>16.11716712</f>
        <v>16.117167120000001</v>
      </c>
      <c r="BW12">
        <f>15.96583443</f>
        <v>15.965834429999999</v>
      </c>
      <c r="BX12">
        <f>18.27944112</f>
        <v>18.279441120000001</v>
      </c>
      <c r="BY12">
        <f>16.21042609</f>
        <v>16.210426089999999</v>
      </c>
      <c r="BZ12">
        <f>17.40875744</f>
        <v>17.408757439999999</v>
      </c>
      <c r="CA12">
        <f>14.88196412</f>
        <v>14.881964119999999</v>
      </c>
      <c r="CB12">
        <f>17.21984422</f>
        <v>17.219844219999999</v>
      </c>
      <c r="CC12">
        <f>18.01506715</f>
        <v>18.01506715</v>
      </c>
      <c r="CD12">
        <f>15.879135</f>
        <v>15.879135</v>
      </c>
      <c r="CE12">
        <f>16.215663</f>
        <v>16.215662999999999</v>
      </c>
      <c r="CF12">
        <f>15.8934025</f>
        <v>15.893402500000001</v>
      </c>
      <c r="CG12">
        <f>16.12889476</f>
        <v>16.128894760000001</v>
      </c>
    </row>
    <row r="13" spans="1:85" x14ac:dyDescent="0.25">
      <c r="A13" t="str">
        <f>"        Peterbilt"</f>
        <v xml:space="preserve">        Peterbilt</v>
      </c>
      <c r="B13" t="str">
        <f>""</f>
        <v/>
      </c>
      <c r="E13" t="str">
        <f>"Expression"</f>
        <v>Expression</v>
      </c>
      <c r="F13">
        <f ca="1">IF(AND($B$294=1,LEN($F$168) * LEN($F$162)&gt;0),$F$168/$F$162*100,HLOOKUP(INDIRECT(ADDRESS(2,COLUMN())),OFFSET($AT$2,0,0,ROW()-1,40),ROW()-1,FALSE))</f>
        <v>14.38072206</v>
      </c>
      <c r="G13">
        <f ca="1">IF(AND($B$294=1,LEN($G$168) * LEN($G$162)&gt;0),$G$168/$G$162*100,HLOOKUP(INDIRECT(ADDRESS(2,COLUMN())),OFFSET($AT$2,0,0,ROW()-1,40),ROW()-1,FALSE))</f>
        <v>12.69177747</v>
      </c>
      <c r="H13">
        <f ca="1">IF(AND($B$294=1,LEN($H$168) * LEN($H$162)&gt;0),$H$168/$H$162*100,HLOOKUP(INDIRECT(ADDRESS(2,COLUMN())),OFFSET($AT$2,0,0,ROW()-1,40),ROW()-1,FALSE))</f>
        <v>14.01265063</v>
      </c>
      <c r="I13">
        <f ca="1">IF(AND($B$294=1,LEN($I$168) * LEN($I$162)&gt;0),$I$168/$I$162*100,HLOOKUP(INDIRECT(ADDRESS(2,COLUMN())),OFFSET($AT$2,0,0,ROW()-1,40),ROW()-1,FALSE))</f>
        <v>14.533435040000001</v>
      </c>
      <c r="J13">
        <f ca="1">IF(AND($B$294=1,LEN($J$168) * LEN($J$162)&gt;0),$J$168/$J$162*100,HLOOKUP(INDIRECT(ADDRESS(2,COLUMN())),OFFSET($AT$2,0,0,ROW()-1,40),ROW()-1,FALSE))</f>
        <v>13.77458942</v>
      </c>
      <c r="K13">
        <f ca="1">IF(AND($B$294=1,LEN($K$168) * LEN($K$162)&gt;0),$K$168/$K$162*100,HLOOKUP(INDIRECT(ADDRESS(2,COLUMN())),OFFSET($AT$2,0,0,ROW()-1,40),ROW()-1,FALSE))</f>
        <v>13.135026740000001</v>
      </c>
      <c r="L13">
        <f ca="1">IF(AND($B$294=1,LEN($L$168) * LEN($L$162)&gt;0),$L$168/$L$162*100,HLOOKUP(INDIRECT(ADDRESS(2,COLUMN())),OFFSET($AT$2,0,0,ROW()-1,40),ROW()-1,FALSE))</f>
        <v>13.981729059999999</v>
      </c>
      <c r="M13">
        <f ca="1">IF(AND($B$294=1,LEN($M$168) * LEN($M$162)&gt;0),$M$168/$M$162*100,HLOOKUP(INDIRECT(ADDRESS(2,COLUMN())),OFFSET($AT$2,0,0,ROW()-1,40),ROW()-1,FALSE))</f>
        <v>12.54060744</v>
      </c>
      <c r="N13">
        <f ca="1">IF(AND($B$294=1,LEN($N$168) * LEN($N$162)&gt;0),$N$168/$N$162*100,HLOOKUP(INDIRECT(ADDRESS(2,COLUMN())),OFFSET($AT$2,0,0,ROW()-1,40),ROW()-1,FALSE))</f>
        <v>13.849203640000001</v>
      </c>
      <c r="O13">
        <f ca="1">IF(AND($B$294=1,LEN($O$168) * LEN($O$162)&gt;0),$O$168/$O$162*100,HLOOKUP(INDIRECT(ADDRESS(2,COLUMN())),OFFSET($AT$2,0,0,ROW()-1,40),ROW()-1,FALSE))</f>
        <v>14.09852148</v>
      </c>
      <c r="P13">
        <f ca="1">IF(AND($B$294=1,LEN($P$168) * LEN($P$162)&gt;0),$P$168/$P$162*100,HLOOKUP(INDIRECT(ADDRESS(2,COLUMN())),OFFSET($AT$2,0,0,ROW()-1,40),ROW()-1,FALSE))</f>
        <v>10.72466442</v>
      </c>
      <c r="Q13">
        <f ca="1">IF(AND($B$294=1,LEN($Q$168) * LEN($Q$162)&gt;0),$Q$168/$Q$162*100,HLOOKUP(INDIRECT(ADDRESS(2,COLUMN())),OFFSET($AT$2,0,0,ROW()-1,40),ROW()-1,FALSE))</f>
        <v>11.832001249999999</v>
      </c>
      <c r="R13">
        <f ca="1">IF(AND($B$294=1,LEN($R$168) * LEN($R$162)&gt;0),$R$168/$R$162*100,HLOOKUP(INDIRECT(ADDRESS(2,COLUMN())),OFFSET($AT$2,0,0,ROW()-1,40),ROW()-1,FALSE))</f>
        <v>12.51016315</v>
      </c>
      <c r="S13">
        <f ca="1">IF(AND($B$294=1,LEN($S$168) * LEN($S$162)&gt;0),$S$168/$S$162*100,HLOOKUP(INDIRECT(ADDRESS(2,COLUMN())),OFFSET($AT$2,0,0,ROW()-1,40),ROW()-1,FALSE))</f>
        <v>11.78432462</v>
      </c>
      <c r="T13">
        <f ca="1">IF(AND($B$294=1,LEN($T$168) * LEN($T$162)&gt;0),$T$168/$T$162*100,HLOOKUP(INDIRECT(ADDRESS(2,COLUMN())),OFFSET($AT$2,0,0,ROW()-1,40),ROW()-1,FALSE))</f>
        <v>12.21684035</v>
      </c>
      <c r="U13">
        <f ca="1">IF(AND($B$294=1,LEN($U$168) * LEN($U$162)&gt;0),$U$168/$U$162*100,HLOOKUP(INDIRECT(ADDRESS(2,COLUMN())),OFFSET($AT$2,0,0,ROW()-1,40),ROW()-1,FALSE))</f>
        <v>13.81657308</v>
      </c>
      <c r="V13">
        <f ca="1">IF(AND($B$294=1,LEN($V$168) * LEN($V$162)&gt;0),$V$168/$V$162*100,HLOOKUP(INDIRECT(ADDRESS(2,COLUMN())),OFFSET($AT$2,0,0,ROW()-1,40),ROW()-1,FALSE))</f>
        <v>11.41960299</v>
      </c>
      <c r="W13">
        <f ca="1">IF(AND($B$294=1,LEN($W$168) * LEN($W$162)&gt;0),$W$168/$W$162*100,HLOOKUP(INDIRECT(ADDRESS(2,COLUMN())),OFFSET($AT$2,0,0,ROW()-1,40),ROW()-1,FALSE))</f>
        <v>11.70358843</v>
      </c>
      <c r="X13">
        <f ca="1">IF(AND($B$294=1,LEN($X$168) * LEN($X$162)&gt;0),$X$168/$X$162*100,HLOOKUP(INDIRECT(ADDRESS(2,COLUMN())),OFFSET($AT$2,0,0,ROW()-1,40),ROW()-1,FALSE))</f>
        <v>12.015503880000001</v>
      </c>
      <c r="Y13">
        <f ca="1">IF(AND($B$294=1,LEN($Y$168) * LEN($Y$162)&gt;0),$Y$168/$Y$162*100,HLOOKUP(INDIRECT(ADDRESS(2,COLUMN())),OFFSET($AT$2,0,0,ROW()-1,40),ROW()-1,FALSE))</f>
        <v>10.386593660000001</v>
      </c>
      <c r="Z13">
        <f ca="1">IF(AND($B$294=1,LEN($Z$168) * LEN($Z$162)&gt;0),$Z$168/$Z$162*100,HLOOKUP(INDIRECT(ADDRESS(2,COLUMN())),OFFSET($AT$2,0,0,ROW()-1,40),ROW()-1,FALSE))</f>
        <v>11.719583439999999</v>
      </c>
      <c r="AA13">
        <f ca="1">IF(AND($B$294=1,LEN($AA$168) * LEN($AA$162)&gt;0),$AA$168/$AA$162*100,HLOOKUP(INDIRECT(ADDRESS(2,COLUMN())),OFFSET($AT$2,0,0,ROW()-1,40),ROW()-1,FALSE))</f>
        <v>11.72982728</v>
      </c>
      <c r="AB13">
        <f ca="1">IF(AND($B$294=1,LEN($AB$168) * LEN($AB$162)&gt;0),$AB$168/$AB$162*100,HLOOKUP(INDIRECT(ADDRESS(2,COLUMN())),OFFSET($AT$2,0,0,ROW()-1,40),ROW()-1,FALSE))</f>
        <v>10.187449060000001</v>
      </c>
      <c r="AC13">
        <f ca="1">IF(AND($B$294=1,LEN($AC$168) * LEN($AC$162)&gt;0),$AC$168/$AC$162*100,HLOOKUP(INDIRECT(ADDRESS(2,COLUMN())),OFFSET($AT$2,0,0,ROW()-1,40),ROW()-1,FALSE))</f>
        <v>8.8562623059999996</v>
      </c>
      <c r="AD13">
        <f ca="1">IF(AND($B$294=1,LEN($AD$168) * LEN($AD$162)&gt;0),$AD$168/$AD$162*100,HLOOKUP(INDIRECT(ADDRESS(2,COLUMN())),OFFSET($AT$2,0,0,ROW()-1,40),ROW()-1,FALSE))</f>
        <v>10.124422620000001</v>
      </c>
      <c r="AE13">
        <f ca="1">IF(AND($B$294=1,LEN($AE$168) * LEN($AE$162)&gt;0),$AE$168/$AE$162*100,HLOOKUP(INDIRECT(ADDRESS(2,COLUMN())),OFFSET($AT$2,0,0,ROW()-1,40),ROW()-1,FALSE))</f>
        <v>11.93040918</v>
      </c>
      <c r="AF13">
        <f ca="1">IF(AND($B$294=1,LEN($AF$168) * LEN($AF$162)&gt;0),$AF$168/$AF$162*100,HLOOKUP(INDIRECT(ADDRESS(2,COLUMN())),OFFSET($AT$2,0,0,ROW()-1,40),ROW()-1,FALSE))</f>
        <v>12.58112262</v>
      </c>
      <c r="AG13">
        <f ca="1">IF(AND($B$294=1,LEN($AG$168) * LEN($AG$162)&gt;0),$AG$168/$AG$162*100,HLOOKUP(INDIRECT(ADDRESS(2,COLUMN())),OFFSET($AT$2,0,0,ROW()-1,40),ROW()-1,FALSE))</f>
        <v>12.150131760000001</v>
      </c>
      <c r="AH13">
        <f ca="1">IF(AND($B$294=1,LEN($AH$168) * LEN($AH$162)&gt;0),$AH$168/$AH$162*100,HLOOKUP(INDIRECT(ADDRESS(2,COLUMN())),OFFSET($AT$2,0,0,ROW()-1,40),ROW()-1,FALSE))</f>
        <v>10.77375777</v>
      </c>
      <c r="AI13">
        <f ca="1">IF(AND($B$294=1,LEN($AI$168) * LEN($AI$162)&gt;0),$AI$168/$AI$162*100,HLOOKUP(INDIRECT(ADDRESS(2,COLUMN())),OFFSET($AT$2,0,0,ROW()-1,40),ROW()-1,FALSE))</f>
        <v>12.410141449999999</v>
      </c>
      <c r="AJ13">
        <f ca="1">IF(AND($B$294=1,LEN($AJ$168) * LEN($AJ$162)&gt;0),$AJ$168/$AJ$162*100,HLOOKUP(INDIRECT(ADDRESS(2,COLUMN())),OFFSET($AT$2,0,0,ROW()-1,40),ROW()-1,FALSE))</f>
        <v>13.209580839999999</v>
      </c>
      <c r="AK13">
        <f ca="1">IF(AND($B$294=1,LEN($AK$168) * LEN($AK$162)&gt;0),$AK$168/$AK$162*100,HLOOKUP(INDIRECT(ADDRESS(2,COLUMN())),OFFSET($AT$2,0,0,ROW()-1,40),ROW()-1,FALSE))</f>
        <v>12.18360708</v>
      </c>
      <c r="AL13">
        <f ca="1">IF(AND($B$294=1,LEN($AL$168) * LEN($AL$162)&gt;0),$AL$168/$AL$162*100,HLOOKUP(INDIRECT(ADDRESS(2,COLUMN())),OFFSET($AT$2,0,0,ROW()-1,40),ROW()-1,FALSE))</f>
        <v>12.20873898</v>
      </c>
      <c r="AM13">
        <f ca="1">IF(AND($B$294=1,LEN($AM$168) * LEN($AM$162)&gt;0),$AM$168/$AM$162*100,HLOOKUP(INDIRECT(ADDRESS(2,COLUMN())),OFFSET($AT$2,0,0,ROW()-1,40),ROW()-1,FALSE))</f>
        <v>11.78942398</v>
      </c>
      <c r="AN13">
        <f ca="1">IF(AND($B$294=1,LEN($AN$168) * LEN($AN$162)&gt;0),$AN$168/$AN$162*100,HLOOKUP(INDIRECT(ADDRESS(2,COLUMN())),OFFSET($AT$2,0,0,ROW()-1,40),ROW()-1,FALSE))</f>
        <v>11.283418709999999</v>
      </c>
      <c r="AO13">
        <f ca="1">IF(AND($B$294=1,LEN($AO$168) * LEN($AO$162)&gt;0),$AO$168/$AO$162*100,HLOOKUP(INDIRECT(ADDRESS(2,COLUMN())),OFFSET($AT$2,0,0,ROW()-1,40),ROW()-1,FALSE))</f>
        <v>14.07046933</v>
      </c>
      <c r="AP13">
        <f ca="1">IF(AND($B$294=1,LEN($AP$168) * LEN($AP$162)&gt;0),$AP$168/$AP$162*100,HLOOKUP(INDIRECT(ADDRESS(2,COLUMN())),OFFSET($AT$2,0,0,ROW()-1,40),ROW()-1,FALSE))</f>
        <v>12.618864050000001</v>
      </c>
      <c r="AQ13">
        <f ca="1">IF(AND($B$294=1,LEN($AQ$168) * LEN($AQ$162)&gt;0),$AQ$168/$AQ$162*100,HLOOKUP(INDIRECT(ADDRESS(2,COLUMN())),OFFSET($AT$2,0,0,ROW()-1,40),ROW()-1,FALSE))</f>
        <v>12.780939119999999</v>
      </c>
      <c r="AR13">
        <f ca="1">IF(AND($B$294=1,LEN($AR$168) * LEN($AR$162)&gt;0),$AR$168/$AR$162*100,HLOOKUP(INDIRECT(ADDRESS(2,COLUMN())),OFFSET($AT$2,0,0,ROW()-1,40),ROW()-1,FALSE))</f>
        <v>12.32062921</v>
      </c>
      <c r="AS13">
        <f ca="1">IF(AND($B$294=1,LEN($AS$168) * LEN($AS$162)&gt;0),$AS$168/$AS$162*100,HLOOKUP(INDIRECT(ADDRESS(2,COLUMN())),OFFSET($AT$2,0,0,ROW()-1,40),ROW()-1,FALSE))</f>
        <v>12.20749329</v>
      </c>
      <c r="AT13">
        <f>14.38072206</f>
        <v>14.38072206</v>
      </c>
      <c r="AU13">
        <f>12.69177747</f>
        <v>12.69177747</v>
      </c>
      <c r="AV13">
        <f>14.01265063</f>
        <v>14.01265063</v>
      </c>
      <c r="AW13">
        <f>14.53343504</f>
        <v>14.533435040000001</v>
      </c>
      <c r="AX13">
        <f>13.77458942</f>
        <v>13.77458942</v>
      </c>
      <c r="AY13">
        <f>13.13502674</f>
        <v>13.135026740000001</v>
      </c>
      <c r="AZ13">
        <f>13.98172906</f>
        <v>13.981729059999999</v>
      </c>
      <c r="BA13">
        <f>12.54060744</f>
        <v>12.54060744</v>
      </c>
      <c r="BB13">
        <f>13.84920364</f>
        <v>13.849203640000001</v>
      </c>
      <c r="BC13">
        <f>14.09852148</f>
        <v>14.09852148</v>
      </c>
      <c r="BD13">
        <f>10.72466442</f>
        <v>10.72466442</v>
      </c>
      <c r="BE13">
        <f>11.83200125</f>
        <v>11.832001249999999</v>
      </c>
      <c r="BF13">
        <f>12.51016315</f>
        <v>12.51016315</v>
      </c>
      <c r="BG13">
        <f>11.78432462</f>
        <v>11.78432462</v>
      </c>
      <c r="BH13">
        <f>12.21684035</f>
        <v>12.21684035</v>
      </c>
      <c r="BI13">
        <f>13.81657308</f>
        <v>13.81657308</v>
      </c>
      <c r="BJ13">
        <f>11.41960299</f>
        <v>11.41960299</v>
      </c>
      <c r="BK13">
        <f>11.70358843</f>
        <v>11.70358843</v>
      </c>
      <c r="BL13">
        <f>12.01550388</f>
        <v>12.015503880000001</v>
      </c>
      <c r="BM13">
        <f>10.38659366</f>
        <v>10.386593660000001</v>
      </c>
      <c r="BN13">
        <f>11.71958344</f>
        <v>11.719583439999999</v>
      </c>
      <c r="BO13">
        <f>11.72982728</f>
        <v>11.72982728</v>
      </c>
      <c r="BP13">
        <f>10.18744906</f>
        <v>10.187449060000001</v>
      </c>
      <c r="BQ13">
        <f>8.856262306</f>
        <v>8.8562623059999996</v>
      </c>
      <c r="BR13">
        <f>10.12442262</f>
        <v>10.124422620000001</v>
      </c>
      <c r="BS13">
        <f>11.93040918</f>
        <v>11.93040918</v>
      </c>
      <c r="BT13">
        <f>12.58112262</f>
        <v>12.58112262</v>
      </c>
      <c r="BU13">
        <f>12.15013176</f>
        <v>12.150131760000001</v>
      </c>
      <c r="BV13">
        <f>10.77375777</f>
        <v>10.77375777</v>
      </c>
      <c r="BW13">
        <f>12.41014145</f>
        <v>12.410141449999999</v>
      </c>
      <c r="BX13">
        <f>13.20958084</f>
        <v>13.209580839999999</v>
      </c>
      <c r="BY13">
        <f>12.18360708</f>
        <v>12.18360708</v>
      </c>
      <c r="BZ13">
        <f>12.20873898</f>
        <v>12.20873898</v>
      </c>
      <c r="CA13">
        <f>11.78942398</f>
        <v>11.78942398</v>
      </c>
      <c r="CB13">
        <f>11.28341871</f>
        <v>11.283418709999999</v>
      </c>
      <c r="CC13">
        <f>14.07046933</f>
        <v>14.07046933</v>
      </c>
      <c r="CD13">
        <f>12.61886405</f>
        <v>12.618864050000001</v>
      </c>
      <c r="CE13">
        <f>12.78093912</f>
        <v>12.780939119999999</v>
      </c>
      <c r="CF13">
        <f>12.32062921</f>
        <v>12.32062921</v>
      </c>
      <c r="CG13">
        <f>12.20749329</f>
        <v>12.20749329</v>
      </c>
    </row>
    <row r="14" spans="1:85" x14ac:dyDescent="0.25">
      <c r="A14" t="str">
        <f>"    Navistar"</f>
        <v xml:space="preserve">    Navistar</v>
      </c>
      <c r="B14" t="str">
        <f>""</f>
        <v/>
      </c>
      <c r="E14" t="str">
        <f>"Sum"</f>
        <v>Sum</v>
      </c>
      <c r="F14">
        <f ca="1">IF(ISERROR(IF(SUM($F$15:$F$15) = 0, "", SUM($F$15:$F$15))), "", (IF(SUM($F$15:$F$15) = 0, "", SUM($F$15:$F$15))))</f>
        <v>17.770772149999999</v>
      </c>
      <c r="G14">
        <f ca="1">IF(ISERROR(IF(SUM($G$15:$G$15) = 0, "", SUM($G$15:$G$15))), "", (IF(SUM($G$15:$G$15) = 0, "", SUM($G$15:$G$15))))</f>
        <v>12.20705296</v>
      </c>
      <c r="H14">
        <f ca="1">IF(ISERROR(IF(SUM($H$15:$H$15) = 0, "", SUM($H$15:$H$15))), "", (IF(SUM($H$15:$H$15) = 0, "", SUM($H$15:$H$15))))</f>
        <v>16.233436449999999</v>
      </c>
      <c r="I14">
        <f ca="1">IF(ISERROR(IF(SUM($I$15:$I$15) = 0, "", SUM($I$15:$I$15))), "", (IF(SUM($I$15:$I$15) = 0, "", SUM($I$15:$I$15))))</f>
        <v>11.914569029999999</v>
      </c>
      <c r="J14">
        <f ca="1">IF(ISERROR(IF(SUM($J$15:$J$15) = 0, "", SUM($J$15:$J$15))), "", (IF(SUM($J$15:$J$15) = 0, "", SUM($J$15:$J$15))))</f>
        <v>11.2524815</v>
      </c>
      <c r="K14">
        <f ca="1">IF(ISERROR(IF(SUM($K$15:$K$15) = 0, "", SUM($K$15:$K$15))), "", (IF(SUM($K$15:$K$15) = 0, "", SUM($K$15:$K$15))))</f>
        <v>10.695187170000001</v>
      </c>
      <c r="L14">
        <f ca="1">IF(ISERROR(IF(SUM($L$15:$L$15) = 0, "", SUM($L$15:$L$15))), "", (IF(SUM($L$15:$L$15) = 0, "", SUM($L$15:$L$15))))</f>
        <v>13.062611410000001</v>
      </c>
      <c r="M14">
        <f ca="1">IF(ISERROR(IF(SUM($M$15:$M$15) = 0, "", SUM($M$15:$M$15))), "", (IF(SUM($M$15:$M$15) = 0, "", SUM($M$15:$M$15))))</f>
        <v>11.045222499999999</v>
      </c>
      <c r="N14">
        <f ca="1">IF(ISERROR(IF(SUM($N$15:$N$15) = 0, "", SUM($N$15:$N$15))), "", (IF(SUM($N$15:$N$15) = 0, "", SUM($N$15:$N$15))))</f>
        <v>12.693964039999999</v>
      </c>
      <c r="O14">
        <f ca="1">IF(ISERROR(IF(SUM($O$15:$O$15) = 0, "", SUM($O$15:$O$15))), "", (IF(SUM($O$15:$O$15) = 0, "", SUM($O$15:$O$15))))</f>
        <v>13.734146170000001</v>
      </c>
      <c r="P14">
        <f ca="1">IF(ISERROR(IF(SUM($P$15:$P$15) = 0, "", SUM($P$15:$P$15))), "", (IF(SUM($P$15:$P$15) = 0, "", SUM($P$15:$P$15))))</f>
        <v>9.6545043590000006</v>
      </c>
      <c r="Q14">
        <f ca="1">IF(ISERROR(IF(SUM($Q$15:$Q$15) = 0, "", SUM($Q$15:$Q$15))), "", (IF(SUM($Q$15:$Q$15) = 0, "", SUM($Q$15:$Q$15))))</f>
        <v>12.24468474</v>
      </c>
      <c r="R14">
        <f ca="1">IF(ISERROR(IF(SUM($R$15:$R$15) = 0, "", SUM($R$15:$R$15))), "", (IF(SUM($R$15:$R$15) = 0, "", SUM($R$15:$R$15))))</f>
        <v>17.816683829999999</v>
      </c>
      <c r="S14">
        <f ca="1">IF(ISERROR(IF(SUM($S$15:$S$15) = 0, "", SUM($S$15:$S$15))), "", (IF(SUM($S$15:$S$15) = 0, "", SUM($S$15:$S$15))))</f>
        <v>12.567588049999999</v>
      </c>
      <c r="T14">
        <f ca="1">IF(ISERROR(IF(SUM($T$15:$T$15) = 0, "", SUM($T$15:$T$15))), "", (IF(SUM($T$15:$T$15) = 0, "", SUM($T$15:$T$15))))</f>
        <v>12.975194480000001</v>
      </c>
      <c r="U14">
        <f ca="1">IF(ISERROR(IF(SUM($U$15:$U$15) = 0, "", SUM($U$15:$U$15))), "", (IF(SUM($U$15:$U$15) = 0, "", SUM($U$15:$U$15))))</f>
        <v>10.65169304</v>
      </c>
      <c r="V14">
        <f ca="1">IF(ISERROR(IF(SUM($V$15:$V$15) = 0, "", SUM($V$15:$V$15))), "", (IF(SUM($V$15:$V$15) = 0, "", SUM($V$15:$V$15))))</f>
        <v>10.026968480000001</v>
      </c>
      <c r="W14">
        <f ca="1">IF(ISERROR(IF(SUM($W$15:$W$15) = 0, "", SUM($W$15:$W$15))), "", (IF(SUM($W$15:$W$15) = 0, "", SUM($W$15:$W$15))))</f>
        <v>11.41980959</v>
      </c>
      <c r="X14">
        <f ca="1">IF(ISERROR(IF(SUM($X$15:$X$15) = 0, "", SUM($X$15:$X$15))), "", (IF(SUM($X$15:$X$15) = 0, "", SUM($X$15:$X$15))))</f>
        <v>12.98210355</v>
      </c>
      <c r="Y14">
        <f ca="1">IF(ISERROR(IF(SUM($Y$15:$Y$15) = 0, "", SUM($Y$15:$Y$15))), "", (IF(SUM($Y$15:$Y$15) = 0, "", SUM($Y$15:$Y$15))))</f>
        <v>12.207565949999999</v>
      </c>
      <c r="Z14">
        <f ca="1">IF(ISERROR(IF(SUM($Z$15:$Z$15) = 0, "", SUM($Z$15:$Z$15))), "", (IF(SUM($Z$15:$Z$15) = 0, "", SUM($Z$15:$Z$15))))</f>
        <v>10.61722123</v>
      </c>
      <c r="AA14">
        <f ca="1">IF(ISERROR(IF(SUM($AA$15:$AA$15) = 0, "", SUM($AA$15:$AA$15))), "", (IF(SUM($AA$15:$AA$15) = 0, "", SUM($AA$15:$AA$15))))</f>
        <v>17.050786290000001</v>
      </c>
      <c r="AB14">
        <f ca="1">IF(ISERROR(IF(SUM($AB$15:$AB$15) = 0, "", SUM($AB$15:$AB$15))), "", (IF(SUM($AB$15:$AB$15) = 0, "", SUM($AB$15:$AB$15))))</f>
        <v>10.563899559999999</v>
      </c>
      <c r="AC14">
        <f ca="1">IF(ISERROR(IF(SUM($AC$15:$AC$15) = 0, "", SUM($AC$15:$AC$15))), "", (IF(SUM($AC$15:$AC$15) = 0, "", SUM($AC$15:$AC$15))))</f>
        <v>8.4367776729999999</v>
      </c>
      <c r="AD14">
        <f ca="1">IF(ISERROR(IF(SUM($AD$15:$AD$15) = 0, "", SUM($AD$15:$AD$15))), "", (IF(SUM($AD$15:$AD$15) = 0, "", SUM($AD$15:$AD$15))))</f>
        <v>13.15800424</v>
      </c>
      <c r="AE14">
        <f ca="1">IF(ISERROR(IF(SUM($AE$15:$AE$15) = 0, "", SUM($AE$15:$AE$15))), "", (IF(SUM($AE$15:$AE$15) = 0, "", SUM($AE$15:$AE$15))))</f>
        <v>11.988530689999999</v>
      </c>
      <c r="AF14">
        <f ca="1">IF(ISERROR(IF(SUM($AF$15:$AF$15) = 0, "", SUM($AF$15:$AF$15))), "", (IF(SUM($AF$15:$AF$15) = 0, "", SUM($AF$15:$AF$15))))</f>
        <v>12.36100042</v>
      </c>
      <c r="AG14">
        <f ca="1">IF(ISERROR(IF(SUM($AG$15:$AG$15) = 0, "", SUM($AG$15:$AG$15))), "", (IF(SUM($AG$15:$AG$15) = 0, "", SUM($AG$15:$AG$15))))</f>
        <v>13.314578729999999</v>
      </c>
      <c r="AH14">
        <f ca="1">IF(ISERROR(IF(SUM($AH$15:$AH$15) = 0, "", SUM($AH$15:$AH$15))), "", (IF(SUM($AH$15:$AH$15) = 0, "", SUM($AH$15:$AH$15))))</f>
        <v>13.686216809999999</v>
      </c>
      <c r="AI14">
        <f ca="1">IF(ISERROR(IF(SUM($AI$15:$AI$15) = 0, "", SUM($AI$15:$AI$15))), "", (IF(SUM($AI$15:$AI$15) = 0, "", SUM($AI$15:$AI$15))))</f>
        <v>12.085491230000001</v>
      </c>
      <c r="AJ14">
        <f ca="1">IF(ISERROR(IF(SUM($AJ$15:$AJ$15) = 0, "", SUM($AJ$15:$AJ$15))), "", (IF(SUM($AJ$15:$AJ$15) = 0, "", SUM($AJ$15:$AJ$15))))</f>
        <v>13.301397209999999</v>
      </c>
      <c r="AK14">
        <f ca="1">IF(ISERROR(IF(SUM($AK$15:$AK$15) = 0, "", SUM($AK$15:$AK$15))), "", (IF(SUM($AK$15:$AK$15) = 0, "", SUM($AK$15:$AK$15))))</f>
        <v>15.008331350000001</v>
      </c>
      <c r="AL14">
        <f ca="1">IF(ISERROR(IF(SUM($AL$15:$AL$15) = 0, "", SUM($AL$15:$AL$15))), "", (IF(SUM($AL$15:$AL$15) = 0, "", SUM($AL$15:$AL$15))))</f>
        <v>11.742721360000001</v>
      </c>
      <c r="AM14">
        <f ca="1">IF(ISERROR(IF(SUM($AM$15:$AM$15) = 0, "", SUM($AM$15:$AM$15))), "", (IF(SUM($AM$15:$AM$15) = 0, "", SUM($AM$15:$AM$15))))</f>
        <v>13.432483469999999</v>
      </c>
      <c r="AN14">
        <f ca="1">IF(ISERROR(IF(SUM($AN$15:$AN$15) = 0, "", SUM($AN$15:$AN$15))), "", (IF(SUM($AN$15:$AN$15) = 0, "", SUM($AN$15:$AN$15))))</f>
        <v>11.234299350000001</v>
      </c>
      <c r="AO14">
        <f ca="1">IF(ISERROR(IF(SUM($AO$15:$AO$15) = 0, "", SUM($AO$15:$AO$15))), "", (IF(SUM($AO$15:$AO$15) = 0, "", SUM($AO$15:$AO$15))))</f>
        <v>12.236207950000001</v>
      </c>
      <c r="AP14">
        <f ca="1">IF(ISERROR(IF(SUM($AP$15:$AP$15) = 0, "", SUM($AP$15:$AP$15))), "", (IF(SUM($AP$15:$AP$15) = 0, "", SUM($AP$15:$AP$15))))</f>
        <v>16.352755439999999</v>
      </c>
      <c r="AQ14">
        <f ca="1">IF(ISERROR(IF(SUM($AQ$15:$AQ$15) = 0, "", SUM($AQ$15:$AQ$15))), "", (IF(SUM($AQ$15:$AQ$15) = 0, "", SUM($AQ$15:$AQ$15))))</f>
        <v>14.979326159999999</v>
      </c>
      <c r="AR14">
        <f ca="1">IF(ISERROR(IF(SUM($AR$15:$AR$15) = 0, "", SUM($AR$15:$AR$15))), "", (IF(SUM($AR$15:$AR$15) = 0, "", SUM($AR$15:$AR$15))))</f>
        <v>14.680165669999999</v>
      </c>
      <c r="AS14">
        <f ca="1">IF(ISERROR(IF(SUM($AS$15:$AS$15) = 0, "", SUM($AS$15:$AS$15))), "", (IF(SUM($AS$15:$AS$15) = 0, "", SUM($AS$15:$AS$15))))</f>
        <v>17.774178419999998</v>
      </c>
      <c r="AT14">
        <f>17.77077215</f>
        <v>17.770772149999999</v>
      </c>
      <c r="AU14">
        <f>12.20705296</f>
        <v>12.20705296</v>
      </c>
      <c r="AV14">
        <f>16.23343645</f>
        <v>16.233436449999999</v>
      </c>
      <c r="AW14">
        <f>11.91456903</f>
        <v>11.914569029999999</v>
      </c>
      <c r="AX14">
        <f>11.2524815</f>
        <v>11.2524815</v>
      </c>
      <c r="AY14">
        <f>10.69518717</f>
        <v>10.695187170000001</v>
      </c>
      <c r="AZ14">
        <f>13.06261141</f>
        <v>13.062611410000001</v>
      </c>
      <c r="BA14">
        <f>11.0452225</f>
        <v>11.045222499999999</v>
      </c>
      <c r="BB14">
        <f>12.69396404</f>
        <v>12.693964039999999</v>
      </c>
      <c r="BC14">
        <f>13.73414617</f>
        <v>13.734146170000001</v>
      </c>
      <c r="BD14">
        <f>9.654504359</f>
        <v>9.6545043590000006</v>
      </c>
      <c r="BE14">
        <f>12.24468474</f>
        <v>12.24468474</v>
      </c>
      <c r="BF14">
        <f>17.81668383</f>
        <v>17.816683829999999</v>
      </c>
      <c r="BG14">
        <f>12.56758805</f>
        <v>12.567588049999999</v>
      </c>
      <c r="BH14">
        <f>12.97519448</f>
        <v>12.975194480000001</v>
      </c>
      <c r="BI14">
        <f>10.65169304</f>
        <v>10.65169304</v>
      </c>
      <c r="BJ14">
        <f>10.02696848</f>
        <v>10.026968480000001</v>
      </c>
      <c r="BK14">
        <f>11.41980959</f>
        <v>11.41980959</v>
      </c>
      <c r="BL14">
        <f>12.98210355</f>
        <v>12.98210355</v>
      </c>
      <c r="BM14">
        <f>12.20756595</f>
        <v>12.207565949999999</v>
      </c>
      <c r="BN14">
        <f>10.61722123</f>
        <v>10.61722123</v>
      </c>
      <c r="BO14">
        <f>17.05078629</f>
        <v>17.050786290000001</v>
      </c>
      <c r="BP14">
        <f>10.56389956</f>
        <v>10.563899559999999</v>
      </c>
      <c r="BQ14">
        <f>8.436777673</f>
        <v>8.4367776729999999</v>
      </c>
      <c r="BR14">
        <f>13.15800424</f>
        <v>13.15800424</v>
      </c>
      <c r="BS14">
        <f>11.98853069</f>
        <v>11.988530689999999</v>
      </c>
      <c r="BT14">
        <f>12.36100042</f>
        <v>12.36100042</v>
      </c>
      <c r="BU14">
        <f>13.31457873</f>
        <v>13.314578729999999</v>
      </c>
      <c r="BV14">
        <f>13.68621681</f>
        <v>13.686216809999999</v>
      </c>
      <c r="BW14">
        <f>12.08549123</f>
        <v>12.085491230000001</v>
      </c>
      <c r="BX14">
        <f>13.30139721</f>
        <v>13.301397209999999</v>
      </c>
      <c r="BY14">
        <f>15.00833135</f>
        <v>15.008331350000001</v>
      </c>
      <c r="BZ14">
        <f>11.74272136</f>
        <v>11.742721360000001</v>
      </c>
      <c r="CA14">
        <f>13.43248347</f>
        <v>13.432483469999999</v>
      </c>
      <c r="CB14">
        <f>11.23429935</f>
        <v>11.234299350000001</v>
      </c>
      <c r="CC14">
        <f>12.23620795</f>
        <v>12.236207950000001</v>
      </c>
      <c r="CD14">
        <f>16.35275544</f>
        <v>16.352755439999999</v>
      </c>
      <c r="CE14">
        <f>14.97932616</f>
        <v>14.979326159999999</v>
      </c>
      <c r="CF14">
        <f>14.68016567</f>
        <v>14.680165669999999</v>
      </c>
      <c r="CG14">
        <f>17.77417842</f>
        <v>17.774178419999998</v>
      </c>
    </row>
    <row r="15" spans="1:85" x14ac:dyDescent="0.25">
      <c r="A15" t="str">
        <f>"        International"</f>
        <v xml:space="preserve">        International</v>
      </c>
      <c r="B15" t="str">
        <f>""</f>
        <v/>
      </c>
      <c r="E15" t="str">
        <f>"Expression"</f>
        <v>Expression</v>
      </c>
      <c r="F15">
        <f ca="1">IF(AND($B$294=1,LEN($F$169) * LEN($F$162)&gt;0),$F$169/$F$162*100,HLOOKUP(INDIRECT(ADDRESS(2,COLUMN())),OFFSET($AT$2,0,0,ROW()-1,40),ROW()-1,FALSE))</f>
        <v>17.770772149999999</v>
      </c>
      <c r="G15">
        <f ca="1">IF(AND($B$294=1,LEN($G$169) * LEN($G$162)&gt;0),$G$169/$G$162*100,HLOOKUP(INDIRECT(ADDRESS(2,COLUMN())),OFFSET($AT$2,0,0,ROW()-1,40),ROW()-1,FALSE))</f>
        <v>12.20705296</v>
      </c>
      <c r="H15">
        <f ca="1">IF(AND($B$294=1,LEN($H$169) * LEN($H$162)&gt;0),$H$169/$H$162*100,HLOOKUP(INDIRECT(ADDRESS(2,COLUMN())),OFFSET($AT$2,0,0,ROW()-1,40),ROW()-1,FALSE))</f>
        <v>16.233436449999999</v>
      </c>
      <c r="I15">
        <f ca="1">IF(AND($B$294=1,LEN($I$169) * LEN($I$162)&gt;0),$I$169/$I$162*100,HLOOKUP(INDIRECT(ADDRESS(2,COLUMN())),OFFSET($AT$2,0,0,ROW()-1,40),ROW()-1,FALSE))</f>
        <v>11.914569029999999</v>
      </c>
      <c r="J15">
        <f ca="1">IF(AND($B$294=1,LEN($J$169) * LEN($J$162)&gt;0),$J$169/$J$162*100,HLOOKUP(INDIRECT(ADDRESS(2,COLUMN())),OFFSET($AT$2,0,0,ROW()-1,40),ROW()-1,FALSE))</f>
        <v>11.2524815</v>
      </c>
      <c r="K15">
        <f ca="1">IF(AND($B$294=1,LEN($K$169) * LEN($K$162)&gt;0),$K$169/$K$162*100,HLOOKUP(INDIRECT(ADDRESS(2,COLUMN())),OFFSET($AT$2,0,0,ROW()-1,40),ROW()-1,FALSE))</f>
        <v>10.695187170000001</v>
      </c>
      <c r="L15">
        <f ca="1">IF(AND($B$294=1,LEN($L$169) * LEN($L$162)&gt;0),$L$169/$L$162*100,HLOOKUP(INDIRECT(ADDRESS(2,COLUMN())),OFFSET($AT$2,0,0,ROW()-1,40),ROW()-1,FALSE))</f>
        <v>13.062611410000001</v>
      </c>
      <c r="M15">
        <f ca="1">IF(AND($B$294=1,LEN($M$169) * LEN($M$162)&gt;0),$M$169/$M$162*100,HLOOKUP(INDIRECT(ADDRESS(2,COLUMN())),OFFSET($AT$2,0,0,ROW()-1,40),ROW()-1,FALSE))</f>
        <v>11.045222499999999</v>
      </c>
      <c r="N15">
        <f ca="1">IF(AND($B$294=1,LEN($N$169) * LEN($N$162)&gt;0),$N$169/$N$162*100,HLOOKUP(INDIRECT(ADDRESS(2,COLUMN())),OFFSET($AT$2,0,0,ROW()-1,40),ROW()-1,FALSE))</f>
        <v>12.693964039999999</v>
      </c>
      <c r="O15">
        <f ca="1">IF(AND($B$294=1,LEN($O$169) * LEN($O$162)&gt;0),$O$169/$O$162*100,HLOOKUP(INDIRECT(ADDRESS(2,COLUMN())),OFFSET($AT$2,0,0,ROW()-1,40),ROW()-1,FALSE))</f>
        <v>13.734146170000001</v>
      </c>
      <c r="P15">
        <f ca="1">IF(AND($B$294=1,LEN($P$169) * LEN($P$162)&gt;0),$P$169/$P$162*100,HLOOKUP(INDIRECT(ADDRESS(2,COLUMN())),OFFSET($AT$2,0,0,ROW()-1,40),ROW()-1,FALSE))</f>
        <v>9.6545043590000006</v>
      </c>
      <c r="Q15">
        <f ca="1">IF(AND($B$294=1,LEN($Q$169) * LEN($Q$162)&gt;0),$Q$169/$Q$162*100,HLOOKUP(INDIRECT(ADDRESS(2,COLUMN())),OFFSET($AT$2,0,0,ROW()-1,40),ROW()-1,FALSE))</f>
        <v>12.24468474</v>
      </c>
      <c r="R15">
        <f ca="1">IF(AND($B$294=1,LEN($R$169) * LEN($R$162)&gt;0),$R$169/$R$162*100,HLOOKUP(INDIRECT(ADDRESS(2,COLUMN())),OFFSET($AT$2,0,0,ROW()-1,40),ROW()-1,FALSE))</f>
        <v>17.816683829999999</v>
      </c>
      <c r="S15">
        <f ca="1">IF(AND($B$294=1,LEN($S$169) * LEN($S$162)&gt;0),$S$169/$S$162*100,HLOOKUP(INDIRECT(ADDRESS(2,COLUMN())),OFFSET($AT$2,0,0,ROW()-1,40),ROW()-1,FALSE))</f>
        <v>12.567588049999999</v>
      </c>
      <c r="T15">
        <f ca="1">IF(AND($B$294=1,LEN($T$169) * LEN($T$162)&gt;0),$T$169/$T$162*100,HLOOKUP(INDIRECT(ADDRESS(2,COLUMN())),OFFSET($AT$2,0,0,ROW()-1,40),ROW()-1,FALSE))</f>
        <v>12.975194480000001</v>
      </c>
      <c r="U15">
        <f ca="1">IF(AND($B$294=1,LEN($U$169) * LEN($U$162)&gt;0),$U$169/$U$162*100,HLOOKUP(INDIRECT(ADDRESS(2,COLUMN())),OFFSET($AT$2,0,0,ROW()-1,40),ROW()-1,FALSE))</f>
        <v>10.65169304</v>
      </c>
      <c r="V15">
        <f ca="1">IF(AND($B$294=1,LEN($V$169) * LEN($V$162)&gt;0),$V$169/$V$162*100,HLOOKUP(INDIRECT(ADDRESS(2,COLUMN())),OFFSET($AT$2,0,0,ROW()-1,40),ROW()-1,FALSE))</f>
        <v>10.026968480000001</v>
      </c>
      <c r="W15">
        <f ca="1">IF(AND($B$294=1,LEN($W$169) * LEN($W$162)&gt;0),$W$169/$W$162*100,HLOOKUP(INDIRECT(ADDRESS(2,COLUMN())),OFFSET($AT$2,0,0,ROW()-1,40),ROW()-1,FALSE))</f>
        <v>11.41980959</v>
      </c>
      <c r="X15">
        <f ca="1">IF(AND($B$294=1,LEN($X$169) * LEN($X$162)&gt;0),$X$169/$X$162*100,HLOOKUP(INDIRECT(ADDRESS(2,COLUMN())),OFFSET($AT$2,0,0,ROW()-1,40),ROW()-1,FALSE))</f>
        <v>12.98210355</v>
      </c>
      <c r="Y15">
        <f ca="1">IF(AND($B$294=1,LEN($Y$169) * LEN($Y$162)&gt;0),$Y$169/$Y$162*100,HLOOKUP(INDIRECT(ADDRESS(2,COLUMN())),OFFSET($AT$2,0,0,ROW()-1,40),ROW()-1,FALSE))</f>
        <v>12.207565949999999</v>
      </c>
      <c r="Z15">
        <f ca="1">IF(AND($B$294=1,LEN($Z$169) * LEN($Z$162)&gt;0),$Z$169/$Z$162*100,HLOOKUP(INDIRECT(ADDRESS(2,COLUMN())),OFFSET($AT$2,0,0,ROW()-1,40),ROW()-1,FALSE))</f>
        <v>10.61722123</v>
      </c>
      <c r="AA15">
        <f ca="1">IF(AND($B$294=1,LEN($AA$169) * LEN($AA$162)&gt;0),$AA$169/$AA$162*100,HLOOKUP(INDIRECT(ADDRESS(2,COLUMN())),OFFSET($AT$2,0,0,ROW()-1,40),ROW()-1,FALSE))</f>
        <v>17.050786290000001</v>
      </c>
      <c r="AB15">
        <f ca="1">IF(AND($B$294=1,LEN($AB$169) * LEN($AB$162)&gt;0),$AB$169/$AB$162*100,HLOOKUP(INDIRECT(ADDRESS(2,COLUMN())),OFFSET($AT$2,0,0,ROW()-1,40),ROW()-1,FALSE))</f>
        <v>10.563899559999999</v>
      </c>
      <c r="AC15">
        <f ca="1">IF(AND($B$294=1,LEN($AC$169) * LEN($AC$162)&gt;0),$AC$169/$AC$162*100,HLOOKUP(INDIRECT(ADDRESS(2,COLUMN())),OFFSET($AT$2,0,0,ROW()-1,40),ROW()-1,FALSE))</f>
        <v>8.4367776729999999</v>
      </c>
      <c r="AD15">
        <f ca="1">IF(AND($B$294=1,LEN($AD$169) * LEN($AD$162)&gt;0),$AD$169/$AD$162*100,HLOOKUP(INDIRECT(ADDRESS(2,COLUMN())),OFFSET($AT$2,0,0,ROW()-1,40),ROW()-1,FALSE))</f>
        <v>13.15800424</v>
      </c>
      <c r="AE15">
        <f ca="1">IF(AND($B$294=1,LEN($AE$169) * LEN($AE$162)&gt;0),$AE$169/$AE$162*100,HLOOKUP(INDIRECT(ADDRESS(2,COLUMN())),OFFSET($AT$2,0,0,ROW()-1,40),ROW()-1,FALSE))</f>
        <v>11.988530689999999</v>
      </c>
      <c r="AF15">
        <f ca="1">IF(AND($B$294=1,LEN($AF$169) * LEN($AF$162)&gt;0),$AF$169/$AF$162*100,HLOOKUP(INDIRECT(ADDRESS(2,COLUMN())),OFFSET($AT$2,0,0,ROW()-1,40),ROW()-1,FALSE))</f>
        <v>12.36100042</v>
      </c>
      <c r="AG15">
        <f ca="1">IF(AND($B$294=1,LEN($AG$169) * LEN($AG$162)&gt;0),$AG$169/$AG$162*100,HLOOKUP(INDIRECT(ADDRESS(2,COLUMN())),OFFSET($AT$2,0,0,ROW()-1,40),ROW()-1,FALSE))</f>
        <v>13.314578729999999</v>
      </c>
      <c r="AH15">
        <f ca="1">IF(AND($B$294=1,LEN($AH$169) * LEN($AH$162)&gt;0),$AH$169/$AH$162*100,HLOOKUP(INDIRECT(ADDRESS(2,COLUMN())),OFFSET($AT$2,0,0,ROW()-1,40),ROW()-1,FALSE))</f>
        <v>13.686216809999999</v>
      </c>
      <c r="AI15">
        <f ca="1">IF(AND($B$294=1,LEN($AI$169) * LEN($AI$162)&gt;0),$AI$169/$AI$162*100,HLOOKUP(INDIRECT(ADDRESS(2,COLUMN())),OFFSET($AT$2,0,0,ROW()-1,40),ROW()-1,FALSE))</f>
        <v>12.085491230000001</v>
      </c>
      <c r="AJ15">
        <f ca="1">IF(AND($B$294=1,LEN($AJ$169) * LEN($AJ$162)&gt;0),$AJ$169/$AJ$162*100,HLOOKUP(INDIRECT(ADDRESS(2,COLUMN())),OFFSET($AT$2,0,0,ROW()-1,40),ROW()-1,FALSE))</f>
        <v>13.301397209999999</v>
      </c>
      <c r="AK15">
        <f ca="1">IF(AND($B$294=1,LEN($AK$169) * LEN($AK$162)&gt;0),$AK$169/$AK$162*100,HLOOKUP(INDIRECT(ADDRESS(2,COLUMN())),OFFSET($AT$2,0,0,ROW()-1,40),ROW()-1,FALSE))</f>
        <v>15.008331350000001</v>
      </c>
      <c r="AL15">
        <f ca="1">IF(AND($B$294=1,LEN($AL$169) * LEN($AL$162)&gt;0),$AL$169/$AL$162*100,HLOOKUP(INDIRECT(ADDRESS(2,COLUMN())),OFFSET($AT$2,0,0,ROW()-1,40),ROW()-1,FALSE))</f>
        <v>11.742721360000001</v>
      </c>
      <c r="AM15">
        <f ca="1">IF(AND($B$294=1,LEN($AM$169) * LEN($AM$162)&gt;0),$AM$169/$AM$162*100,HLOOKUP(INDIRECT(ADDRESS(2,COLUMN())),OFFSET($AT$2,0,0,ROW()-1,40),ROW()-1,FALSE))</f>
        <v>13.432483469999999</v>
      </c>
      <c r="AN15">
        <f ca="1">IF(AND($B$294=1,LEN($AN$169) * LEN($AN$162)&gt;0),$AN$169/$AN$162*100,HLOOKUP(INDIRECT(ADDRESS(2,COLUMN())),OFFSET($AT$2,0,0,ROW()-1,40),ROW()-1,FALSE))</f>
        <v>11.234299350000001</v>
      </c>
      <c r="AO15">
        <f ca="1">IF(AND($B$294=1,LEN($AO$169) * LEN($AO$162)&gt;0),$AO$169/$AO$162*100,HLOOKUP(INDIRECT(ADDRESS(2,COLUMN())),OFFSET($AT$2,0,0,ROW()-1,40),ROW()-1,FALSE))</f>
        <v>12.236207950000001</v>
      </c>
      <c r="AP15">
        <f ca="1">IF(AND($B$294=1,LEN($AP$169) * LEN($AP$162)&gt;0),$AP$169/$AP$162*100,HLOOKUP(INDIRECT(ADDRESS(2,COLUMN())),OFFSET($AT$2,0,0,ROW()-1,40),ROW()-1,FALSE))</f>
        <v>16.352755439999999</v>
      </c>
      <c r="AQ15">
        <f ca="1">IF(AND($B$294=1,LEN($AQ$169) * LEN($AQ$162)&gt;0),$AQ$169/$AQ$162*100,HLOOKUP(INDIRECT(ADDRESS(2,COLUMN())),OFFSET($AT$2,0,0,ROW()-1,40),ROW()-1,FALSE))</f>
        <v>14.979326159999999</v>
      </c>
      <c r="AR15">
        <f ca="1">IF(AND($B$294=1,LEN($AR$169) * LEN($AR$162)&gt;0),$AR$169/$AR$162*100,HLOOKUP(INDIRECT(ADDRESS(2,COLUMN())),OFFSET($AT$2,0,0,ROW()-1,40),ROW()-1,FALSE))</f>
        <v>14.680165669999999</v>
      </c>
      <c r="AS15">
        <f ca="1">IF(AND($B$294=1,LEN($AS$169) * LEN($AS$162)&gt;0),$AS$169/$AS$162*100,HLOOKUP(INDIRECT(ADDRESS(2,COLUMN())),OFFSET($AT$2,0,0,ROW()-1,40),ROW()-1,FALSE))</f>
        <v>17.774178419999998</v>
      </c>
      <c r="AT15">
        <f>17.77077215</f>
        <v>17.770772149999999</v>
      </c>
      <c r="AU15">
        <f>12.20705296</f>
        <v>12.20705296</v>
      </c>
      <c r="AV15">
        <f>16.23343645</f>
        <v>16.233436449999999</v>
      </c>
      <c r="AW15">
        <f>11.91456903</f>
        <v>11.914569029999999</v>
      </c>
      <c r="AX15">
        <f>11.2524815</f>
        <v>11.2524815</v>
      </c>
      <c r="AY15">
        <f>10.69518717</f>
        <v>10.695187170000001</v>
      </c>
      <c r="AZ15">
        <f>13.06261141</f>
        <v>13.062611410000001</v>
      </c>
      <c r="BA15">
        <f>11.0452225</f>
        <v>11.045222499999999</v>
      </c>
      <c r="BB15">
        <f>12.69396404</f>
        <v>12.693964039999999</v>
      </c>
      <c r="BC15">
        <f>13.73414617</f>
        <v>13.734146170000001</v>
      </c>
      <c r="BD15">
        <f>9.654504359</f>
        <v>9.6545043590000006</v>
      </c>
      <c r="BE15">
        <f>12.24468474</f>
        <v>12.24468474</v>
      </c>
      <c r="BF15">
        <f>17.81668383</f>
        <v>17.816683829999999</v>
      </c>
      <c r="BG15">
        <f>12.56758805</f>
        <v>12.567588049999999</v>
      </c>
      <c r="BH15">
        <f>12.97519448</f>
        <v>12.975194480000001</v>
      </c>
      <c r="BI15">
        <f>10.65169304</f>
        <v>10.65169304</v>
      </c>
      <c r="BJ15">
        <f>10.02696848</f>
        <v>10.026968480000001</v>
      </c>
      <c r="BK15">
        <f>11.41980959</f>
        <v>11.41980959</v>
      </c>
      <c r="BL15">
        <f>12.98210355</f>
        <v>12.98210355</v>
      </c>
      <c r="BM15">
        <f>12.20756595</f>
        <v>12.207565949999999</v>
      </c>
      <c r="BN15">
        <f>10.61722123</f>
        <v>10.61722123</v>
      </c>
      <c r="BO15">
        <f>17.05078629</f>
        <v>17.050786290000001</v>
      </c>
      <c r="BP15">
        <f>10.56389956</f>
        <v>10.563899559999999</v>
      </c>
      <c r="BQ15">
        <f>8.436777673</f>
        <v>8.4367776729999999</v>
      </c>
      <c r="BR15">
        <f>13.15800424</f>
        <v>13.15800424</v>
      </c>
      <c r="BS15">
        <f>11.98853069</f>
        <v>11.988530689999999</v>
      </c>
      <c r="BT15">
        <f>12.36100042</f>
        <v>12.36100042</v>
      </c>
      <c r="BU15">
        <f>13.31457873</f>
        <v>13.314578729999999</v>
      </c>
      <c r="BV15">
        <f>13.68621681</f>
        <v>13.686216809999999</v>
      </c>
      <c r="BW15">
        <f>12.08549123</f>
        <v>12.085491230000001</v>
      </c>
      <c r="BX15">
        <f>13.30139721</f>
        <v>13.301397209999999</v>
      </c>
      <c r="BY15">
        <f>15.00833135</f>
        <v>15.008331350000001</v>
      </c>
      <c r="BZ15">
        <f>11.74272136</f>
        <v>11.742721360000001</v>
      </c>
      <c r="CA15">
        <f>13.43248347</f>
        <v>13.432483469999999</v>
      </c>
      <c r="CB15">
        <f>11.23429935</f>
        <v>11.234299350000001</v>
      </c>
      <c r="CC15">
        <f>12.23620795</f>
        <v>12.236207950000001</v>
      </c>
      <c r="CD15">
        <f>16.35275544</f>
        <v>16.352755439999999</v>
      </c>
      <c r="CE15">
        <f>14.97932616</f>
        <v>14.979326159999999</v>
      </c>
      <c r="CF15">
        <f>14.68016567</f>
        <v>14.680165669999999</v>
      </c>
      <c r="CG15">
        <f>17.77417842</f>
        <v>17.774178419999998</v>
      </c>
    </row>
    <row r="16" spans="1:85" x14ac:dyDescent="0.25">
      <c r="A16" t="str">
        <f>"    Volvo"</f>
        <v xml:space="preserve">    Volvo</v>
      </c>
      <c r="B16" t="str">
        <f>""</f>
        <v/>
      </c>
      <c r="E16" t="str">
        <f>"Sum"</f>
        <v>Sum</v>
      </c>
      <c r="F16">
        <f ca="1">IF(ISERROR(IF(SUM($F$17:$F$18) = 0, "", SUM($F$17:$F$18))), "", (IF(SUM($F$17:$F$18) = 0, "", SUM($F$17:$F$18))))</f>
        <v>12.968561063999999</v>
      </c>
      <c r="G16">
        <f ca="1">IF(ISERROR(IF(SUM($G$17:$G$18) = 0, "", SUM($G$17:$G$18))), "", (IF(SUM($G$17:$G$18) = 0, "", SUM($G$17:$G$18))))</f>
        <v>14.430559879</v>
      </c>
      <c r="H16">
        <f ca="1">IF(ISERROR(IF(SUM($H$17:$H$18) = 0, "", SUM($H$17:$H$18))), "", (IF(SUM($H$17:$H$18) = 0, "", SUM($H$17:$H$18))))</f>
        <v>15.485479477000002</v>
      </c>
      <c r="I16">
        <f ca="1">IF(ISERROR(IF(SUM($I$17:$I$18) = 0, "", SUM($I$17:$I$18))), "", (IF(SUM($I$17:$I$18) = 0, "", SUM($I$17:$I$18))))</f>
        <v>14.263920671000001</v>
      </c>
      <c r="J16">
        <f ca="1">IF(ISERROR(IF(SUM($J$17:$J$18) = 0, "", SUM($J$17:$J$18))), "", (IF(SUM($J$17:$J$18) = 0, "", SUM($J$17:$J$18))))</f>
        <v>17.632196354999998</v>
      </c>
      <c r="K16">
        <f ca="1">IF(ISERROR(IF(SUM($K$17:$K$18) = 0, "", SUM($K$17:$K$18))), "", (IF(SUM($K$17:$K$18) = 0, "", SUM($K$17:$K$18))))</f>
        <v>14.581741788</v>
      </c>
      <c r="L16">
        <f ca="1">IF(ISERROR(IF(SUM($L$17:$L$18) = 0, "", SUM($L$17:$L$18))), "", (IF(SUM($L$17:$L$18) = 0, "", SUM($L$17:$L$18))))</f>
        <v>14.661319073000001</v>
      </c>
      <c r="M16">
        <f ca="1">IF(ISERROR(IF(SUM($M$17:$M$18) = 0, "", SUM($M$17:$M$18))), "", (IF(SUM($M$17:$M$18) = 0, "", SUM($M$17:$M$18))))</f>
        <v>20.012375597000002</v>
      </c>
      <c r="N16">
        <f ca="1">IF(ISERROR(IF(SUM($N$17:$N$18) = 0, "", SUM($N$17:$N$18))), "", (IF(SUM($N$17:$N$18) = 0, "", SUM($N$17:$N$18))))</f>
        <v>17.273907991000002</v>
      </c>
      <c r="O16">
        <f ca="1">IF(ISERROR(IF(SUM($O$17:$O$18) = 0, "", SUM($O$17:$O$18))), "", (IF(SUM($O$17:$O$18) = 0, "", SUM($O$17:$O$18))))</f>
        <v>17.104617756</v>
      </c>
      <c r="P16">
        <f ca="1">IF(ISERROR(IF(SUM($P$17:$P$18) = 0, "", SUM($P$17:$P$18))), "", (IF(SUM($P$17:$P$18) = 0, "", SUM($P$17:$P$18))))</f>
        <v>22.519488907000003</v>
      </c>
      <c r="Q16">
        <f ca="1">IF(ISERROR(IF(SUM($Q$17:$Q$18) = 0, "", SUM($Q$17:$Q$18))), "", (IF(SUM($Q$17:$Q$18) = 0, "", SUM($Q$17:$Q$18))))</f>
        <v>15.499138066</v>
      </c>
      <c r="R16">
        <f ca="1">IF(ISERROR(IF(SUM($R$17:$R$18) = 0, "", SUM($R$17:$R$18))), "", (IF(SUM($R$17:$R$18) = 0, "", SUM($R$17:$R$18))))</f>
        <v>16.136375956000002</v>
      </c>
      <c r="S16">
        <f ca="1">IF(ISERROR(IF(SUM($S$17:$S$18) = 0, "", SUM($S$17:$S$18))), "", (IF(SUM($S$17:$S$18) = 0, "", SUM($S$17:$S$18))))</f>
        <v>17.090302694000002</v>
      </c>
      <c r="T16">
        <f ca="1">IF(ISERROR(IF(SUM($T$17:$T$18) = 0, "", SUM($T$17:$T$18))), "", (IF(SUM($T$17:$T$18) = 0, "", SUM($T$17:$T$18))))</f>
        <v>16.688683398999999</v>
      </c>
      <c r="U16">
        <f ca="1">IF(ISERROR(IF(SUM($U$17:$U$18) = 0, "", SUM($U$17:$U$18))), "", (IF(SUM($U$17:$U$18) = 0, "", SUM($U$17:$U$18))))</f>
        <v>18.501503034000002</v>
      </c>
      <c r="V16">
        <f ca="1">IF(ISERROR(IF(SUM($V$17:$V$18) = 0, "", SUM($V$17:$V$18))), "", (IF(SUM($V$17:$V$18) = 0, "", SUM($V$17:$V$18))))</f>
        <v>21.751624741999997</v>
      </c>
      <c r="W16">
        <f ca="1">IF(ISERROR(IF(SUM($W$17:$W$18) = 0, "", SUM($W$17:$W$18))), "", (IF(SUM($W$17:$W$18) = 0, "", SUM($W$17:$W$18))))</f>
        <v>17.095386305999998</v>
      </c>
      <c r="X16">
        <f ca="1">IF(ISERROR(IF(SUM($X$17:$X$18) = 0, "", SUM($X$17:$X$18))), "", (IF(SUM($X$17:$X$18) = 0, "", SUM($X$17:$X$18))))</f>
        <v>16.834146808</v>
      </c>
      <c r="Y16">
        <f ca="1">IF(ISERROR(IF(SUM($Y$17:$Y$18) = 0, "", SUM($Y$17:$Y$18))), "", (IF(SUM($Y$17:$Y$18) = 0, "", SUM($Y$17:$Y$18))))</f>
        <v>15.994690559</v>
      </c>
      <c r="Z16">
        <f ca="1">IF(ISERROR(IF(SUM($Z$17:$Z$18) = 0, "", SUM($Z$17:$Z$18))), "", (IF(SUM($Z$17:$Z$18) = 0, "", SUM($Z$17:$Z$18))))</f>
        <v>18.262636523000001</v>
      </c>
      <c r="AA16">
        <f ca="1">IF(ISERROR(IF(SUM($AA$17:$AA$18) = 0, "", SUM($AA$17:$AA$18))), "", (IF(SUM($AA$17:$AA$18) = 0, "", SUM($AA$17:$AA$18))))</f>
        <v>13.616911576</v>
      </c>
      <c r="AB16">
        <f ca="1">IF(ISERROR(IF(SUM($AB$17:$AB$18) = 0, "", SUM($AB$17:$AB$18))), "", (IF(SUM($AB$17:$AB$18) = 0, "", SUM($AB$17:$AB$18))))</f>
        <v>25.905227619999998</v>
      </c>
      <c r="AC16">
        <f ca="1">IF(ISERROR(IF(SUM($AC$17:$AC$18) = 0, "", SUM($AC$17:$AC$18))), "", (IF(SUM($AC$17:$AC$18) = 0, "", SUM($AC$17:$AC$18))))</f>
        <v>18.774077566999999</v>
      </c>
      <c r="AD16">
        <f ca="1">IF(ISERROR(IF(SUM($AD$17:$AD$18) = 0, "", SUM($AD$17:$AD$18))), "", (IF(SUM($AD$17:$AD$18) = 0, "", SUM($AD$17:$AD$18))))</f>
        <v>17.352586246000001</v>
      </c>
      <c r="AE16">
        <f ca="1">IF(ISERROR(IF(SUM($AE$17:$AE$18) = 0, "", SUM($AE$17:$AE$18))), "", (IF(SUM($AE$17:$AE$18) = 0, "", SUM($AE$17:$AE$18))))</f>
        <v>18.463267205999998</v>
      </c>
      <c r="AF16">
        <f ca="1">IF(ISERROR(IF(SUM($AF$17:$AF$18) = 0, "", SUM($AF$17:$AF$18))), "", (IF(SUM($AF$17:$AF$18) = 0, "", SUM($AF$17:$AF$18))))</f>
        <v>18.433337133999999</v>
      </c>
      <c r="AG16">
        <f ca="1">IF(ISERROR(IF(SUM($AG$17:$AG$18) = 0, "", SUM($AG$17:$AG$18))), "", (IF(SUM($AG$17:$AG$18) = 0, "", SUM($AG$17:$AG$18))))</f>
        <v>18.207392640999998</v>
      </c>
      <c r="AH16">
        <f ca="1">IF(ISERROR(IF(SUM($AH$17:$AH$18) = 0, "", SUM($AH$17:$AH$18))), "", (IF(SUM($AH$17:$AH$18) = 0, "", SUM($AH$17:$AH$18))))</f>
        <v>20.724938137999999</v>
      </c>
      <c r="AI16">
        <f ca="1">IF(ISERROR(IF(SUM($AI$17:$AI$18) = 0, "", SUM($AI$17:$AI$18))), "", (IF(SUM($AI$17:$AI$18) = 0, "", SUM($AI$17:$AI$18))))</f>
        <v>20.746695523</v>
      </c>
      <c r="AJ16">
        <f ca="1">IF(ISERROR(IF(SUM($AJ$17:$AJ$18) = 0, "", SUM($AJ$17:$AJ$18))), "", (IF(SUM($AJ$17:$AJ$18) = 0, "", SUM($AJ$17:$AJ$18))))</f>
        <v>20.451097802</v>
      </c>
      <c r="AK16">
        <f ca="1">IF(ISERROR(IF(SUM($AK$17:$AK$18) = 0, "", SUM($AK$17:$AK$18))), "", (IF(SUM($AK$17:$AK$18) = 0, "", SUM($AK$17:$AK$18))))</f>
        <v>21.189399344999998</v>
      </c>
      <c r="AL16">
        <f ca="1">IF(ISERROR(IF(SUM($AL$17:$AL$18) = 0, "", SUM($AL$17:$AL$18))), "", (IF(SUM($AL$17:$AL$18) = 0, "", SUM($AL$17:$AL$18))))</f>
        <v>18.811424352</v>
      </c>
      <c r="AM16">
        <f ca="1">IF(ISERROR(IF(SUM($AM$17:$AM$18) = 0, "", SUM($AM$17:$AM$18))), "", (IF(SUM($AM$17:$AM$18) = 0, "", SUM($AM$17:$AM$18))))</f>
        <v>15.585457979999999</v>
      </c>
      <c r="AN16">
        <f ca="1">IF(ISERROR(IF(SUM($AN$17:$AN$18) = 0, "", SUM($AN$17:$AN$18))), "", (IF(SUM($AN$17:$AN$18) = 0, "", SUM($AN$17:$AN$18))))</f>
        <v>22.503683949999999</v>
      </c>
      <c r="AO16">
        <f ca="1">IF(ISERROR(IF(SUM($AO$17:$AO$18) = 0, "", SUM($AO$17:$AO$18))), "", (IF(SUM($AO$17:$AO$18) = 0, "", SUM($AO$17:$AO$18))))</f>
        <v>19.760423003</v>
      </c>
      <c r="AP16">
        <f ca="1">IF(ISERROR(IF(SUM($AP$17:$AP$18) = 0, "", SUM($AP$17:$AP$18))), "", (IF(SUM($AP$17:$AP$18) = 0, "", SUM($AP$17:$AP$18))))</f>
        <v>16.697874218999999</v>
      </c>
      <c r="AQ16">
        <f ca="1">IF(ISERROR(IF(SUM($AQ$17:$AQ$18) = 0, "", SUM($AQ$17:$AQ$18))), "", (IF(SUM($AQ$17:$AQ$18) = 0, "", SUM($AQ$17:$AQ$18))))</f>
        <v>19.613542395</v>
      </c>
      <c r="AR16">
        <f ca="1">IF(ISERROR(IF(SUM($AR$17:$AR$18) = 0, "", SUM($AR$17:$AR$18))), "", (IF(SUM($AR$17:$AR$18) = 0, "", SUM($AR$17:$AR$18))))</f>
        <v>20.227586491</v>
      </c>
      <c r="AS16">
        <f ca="1">IF(ISERROR(IF(SUM($AS$17:$AS$18) = 0, "", SUM($AS$17:$AS$18))), "", (IF(SUM($AS$17:$AS$18) = 0, "", SUM($AS$17:$AS$18))))</f>
        <v>19.248966367000001</v>
      </c>
      <c r="AT16">
        <f>12.96856106</f>
        <v>12.968561060000001</v>
      </c>
      <c r="AU16">
        <f>14.43055988</f>
        <v>14.430559880000001</v>
      </c>
      <c r="AV16">
        <f>15.48547948</f>
        <v>15.48547948</v>
      </c>
      <c r="AW16">
        <f>14.26392067</f>
        <v>14.263920669999999</v>
      </c>
      <c r="AX16">
        <f>17.63219635</f>
        <v>17.632196350000001</v>
      </c>
      <c r="AY16">
        <f>14.58174179</f>
        <v>14.581741790000001</v>
      </c>
      <c r="AZ16">
        <f>14.66131907</f>
        <v>14.661319069999999</v>
      </c>
      <c r="BA16">
        <f>20.0123756</f>
        <v>20.012375599999999</v>
      </c>
      <c r="BB16">
        <f>17.27390799</f>
        <v>17.273907990000001</v>
      </c>
      <c r="BC16">
        <f>17.10461776</f>
        <v>17.10461776</v>
      </c>
      <c r="BD16">
        <f>22.51948891</f>
        <v>22.51948891</v>
      </c>
      <c r="BE16">
        <f>15.49913807</f>
        <v>15.499138070000001</v>
      </c>
      <c r="BF16">
        <f>16.13637596</f>
        <v>16.136375959999999</v>
      </c>
      <c r="BG16">
        <f>17.09030269</f>
        <v>17.090302690000001</v>
      </c>
      <c r="BH16">
        <f>16.6886834</f>
        <v>16.688683399999999</v>
      </c>
      <c r="BI16">
        <f>18.50150303</f>
        <v>18.501503029999999</v>
      </c>
      <c r="BJ16">
        <f>21.75162474</f>
        <v>21.75162474</v>
      </c>
      <c r="BK16">
        <f>17.09538631</f>
        <v>17.095386309999999</v>
      </c>
      <c r="BL16">
        <f>16.83414681</f>
        <v>16.83414681</v>
      </c>
      <c r="BM16">
        <f>15.99469056</f>
        <v>15.99469056</v>
      </c>
      <c r="BN16">
        <f>18.26263653</f>
        <v>18.262636530000002</v>
      </c>
      <c r="BO16">
        <f>13.61691158</f>
        <v>13.61691158</v>
      </c>
      <c r="BP16">
        <f>25.90522762</f>
        <v>25.905227620000002</v>
      </c>
      <c r="BQ16">
        <f>18.77407756</f>
        <v>18.774077559999998</v>
      </c>
      <c r="BR16">
        <f>17.35258624</f>
        <v>17.352586240000001</v>
      </c>
      <c r="BS16">
        <f>18.4632672</f>
        <v>18.463267200000001</v>
      </c>
      <c r="BT16">
        <f>18.43333713</f>
        <v>18.433337130000002</v>
      </c>
      <c r="BU16">
        <f>18.20739264</f>
        <v>18.207392639999998</v>
      </c>
      <c r="BV16">
        <f>20.72493814</f>
        <v>20.724938139999999</v>
      </c>
      <c r="BW16">
        <f>20.74669552</f>
        <v>20.746695519999999</v>
      </c>
      <c r="BX16">
        <f>20.4510978</f>
        <v>20.451097799999999</v>
      </c>
      <c r="BY16">
        <f>21.18939935</f>
        <v>21.189399349999999</v>
      </c>
      <c r="BZ16">
        <f>18.81142435</f>
        <v>18.811424349999999</v>
      </c>
      <c r="CA16">
        <f>15.58545798</f>
        <v>15.585457979999999</v>
      </c>
      <c r="CB16">
        <f>22.50368395</f>
        <v>22.503683949999999</v>
      </c>
      <c r="CC16">
        <f>19.760423</f>
        <v>19.760422999999999</v>
      </c>
      <c r="CD16">
        <f>16.69787422</f>
        <v>16.697874219999999</v>
      </c>
      <c r="CE16">
        <f>19.61354239</f>
        <v>19.613542389999999</v>
      </c>
      <c r="CF16">
        <f>20.2275865</f>
        <v>20.227586500000001</v>
      </c>
      <c r="CG16">
        <f>19.24896637</f>
        <v>19.248966370000002</v>
      </c>
    </row>
    <row r="17" spans="1:85" x14ac:dyDescent="0.25">
      <c r="A17" t="str">
        <f>"        Volvo Truck"</f>
        <v xml:space="preserve">        Volvo Truck</v>
      </c>
      <c r="B17" t="str">
        <f>""</f>
        <v/>
      </c>
      <c r="E17" t="str">
        <f>"Expression"</f>
        <v>Expression</v>
      </c>
      <c r="F17">
        <f ca="1">IF(AND($B$294=1,LEN($F$170) * LEN($F$162)&gt;0),$F$170/$F$162*100,HLOOKUP(INDIRECT(ADDRESS(2,COLUMN())),OFFSET($AT$2,0,0,ROW()-1,40),ROW()-1,FALSE))</f>
        <v>7.7517705990000003</v>
      </c>
      <c r="G17">
        <f ca="1">IF(AND($B$294=1,LEN($G$170) * LEN($G$162)&gt;0),$G$170/$G$162*100,HLOOKUP(INDIRECT(ADDRESS(2,COLUMN())),OFFSET($AT$2,0,0,ROW()-1,40),ROW()-1,FALSE))</f>
        <v>7.6933339260000002</v>
      </c>
      <c r="H17">
        <f ca="1">IF(AND($B$294=1,LEN($H$170) * LEN($H$162)&gt;0),$H$170/$H$162*100,HLOOKUP(INDIRECT(ADDRESS(2,COLUMN())),OFFSET($AT$2,0,0,ROW()-1,40),ROW()-1,FALSE))</f>
        <v>8.5091647810000008</v>
      </c>
      <c r="I17">
        <f ca="1">IF(AND($B$294=1,LEN($I$170) * LEN($I$162)&gt;0),$I$170/$I$162*100,HLOOKUP(INDIRECT(ADDRESS(2,COLUMN())),OFFSET($AT$2,0,0,ROW()-1,40),ROW()-1,FALSE))</f>
        <v>7.8159166029999998</v>
      </c>
      <c r="J17">
        <f ca="1">IF(AND($B$294=1,LEN($J$170) * LEN($J$162)&gt;0),$J$170/$J$162*100,HLOOKUP(INDIRECT(ADDRESS(2,COLUMN())),OFFSET($AT$2,0,0,ROW()-1,40),ROW()-1,FALSE))</f>
        <v>8.7303735790000001</v>
      </c>
      <c r="K17">
        <f ca="1">IF(AND($B$294=1,LEN($K$170) * LEN($K$162)&gt;0),$K$170/$K$162*100,HLOOKUP(INDIRECT(ADDRESS(2,COLUMN())),OFFSET($AT$2,0,0,ROW()-1,40),ROW()-1,FALSE))</f>
        <v>7.8924751720000001</v>
      </c>
      <c r="L17">
        <f ca="1">IF(AND($B$294=1,LEN($L$170) * LEN($L$162)&gt;0),$L$170/$L$162*100,HLOOKUP(INDIRECT(ADDRESS(2,COLUMN())),OFFSET($AT$2,0,0,ROW()-1,40),ROW()-1,FALSE))</f>
        <v>8.0770944740000008</v>
      </c>
      <c r="M17">
        <f ca="1">IF(AND($B$294=1,LEN($M$170) * LEN($M$162)&gt;0),$M$170/$M$162*100,HLOOKUP(INDIRECT(ADDRESS(2,COLUMN())),OFFSET($AT$2,0,0,ROW()-1,40),ROW()-1,FALSE))</f>
        <v>10.17377404</v>
      </c>
      <c r="N17">
        <f ca="1">IF(AND($B$294=1,LEN($N$170) * LEN($N$162)&gt;0),$N$170/$N$162*100,HLOOKUP(INDIRECT(ADDRESS(2,COLUMN())),OFFSET($AT$2,0,0,ROW()-1,40),ROW()-1,FALSE))</f>
        <v>8.8181010319999995</v>
      </c>
      <c r="O17">
        <f ca="1">IF(AND($B$294=1,LEN($O$170) * LEN($O$162)&gt;0),$O$170/$O$162*100,HLOOKUP(INDIRECT(ADDRESS(2,COLUMN())),OFFSET($AT$2,0,0,ROW()-1,40),ROW()-1,FALSE))</f>
        <v>9.0252960550000001</v>
      </c>
      <c r="P17">
        <f ca="1">IF(AND($B$294=1,LEN($P$170) * LEN($P$162)&gt;0),$P$170/$P$162*100,HLOOKUP(INDIRECT(ADDRESS(2,COLUMN())),OFFSET($AT$2,0,0,ROW()-1,40),ROW()-1,FALSE))</f>
        <v>12.77272937</v>
      </c>
      <c r="Q17">
        <f ca="1">IF(AND($B$294=1,LEN($Q$170) * LEN($Q$162)&gt;0),$Q$170/$Q$162*100,HLOOKUP(INDIRECT(ADDRESS(2,COLUMN())),OFFSET($AT$2,0,0,ROW()-1,40),ROW()-1,FALSE))</f>
        <v>9.1260512980000001</v>
      </c>
      <c r="R17">
        <f ca="1">IF(AND($B$294=1,LEN($R$170) * LEN($R$162)&gt;0),$R$170/$R$162*100,HLOOKUP(INDIRECT(ADDRESS(2,COLUMN())),OFFSET($AT$2,0,0,ROW()-1,40),ROW()-1,FALSE))</f>
        <v>9.2471136650000005</v>
      </c>
      <c r="S17">
        <f ca="1">IF(AND($B$294=1,LEN($S$170) * LEN($S$162)&gt;0),$S$170/$S$162*100,HLOOKUP(INDIRECT(ADDRESS(2,COLUMN())),OFFSET($AT$2,0,0,ROW()-1,40),ROW()-1,FALSE))</f>
        <v>9.3486280260000001</v>
      </c>
      <c r="T17">
        <f ca="1">IF(AND($B$294=1,LEN($T$170) * LEN($T$162)&gt;0),$T$170/$T$162*100,HLOOKUP(INDIRECT(ADDRESS(2,COLUMN())),OFFSET($AT$2,0,0,ROW()-1,40),ROW()-1,FALSE))</f>
        <v>9.7901071480000006</v>
      </c>
      <c r="U17">
        <f ca="1">IF(AND($B$294=1,LEN($U$170) * LEN($U$162)&gt;0),$U$170/$U$162*100,HLOOKUP(INDIRECT(ADDRESS(2,COLUMN())),OFFSET($AT$2,0,0,ROW()-1,40),ROW()-1,FALSE))</f>
        <v>9.8122624920000003</v>
      </c>
      <c r="V17">
        <f ca="1">IF(AND($B$294=1,LEN($V$170) * LEN($V$162)&gt;0),$V$170/$V$162*100,HLOOKUP(INDIRECT(ADDRESS(2,COLUMN())),OFFSET($AT$2,0,0,ROW()-1,40),ROW()-1,FALSE))</f>
        <v>11.852867059999999</v>
      </c>
      <c r="W17">
        <f ca="1">IF(AND($B$294=1,LEN($W$170) * LEN($W$162)&gt;0),$W$170/$W$162*100,HLOOKUP(INDIRECT(ADDRESS(2,COLUMN())),OFFSET($AT$2,0,0,ROW()-1,40),ROW()-1,FALSE))</f>
        <v>9.9322592459999992</v>
      </c>
      <c r="X17">
        <f ca="1">IF(AND($B$294=1,LEN($X$170) * LEN($X$162)&gt;0),$X$170/$X$162*100,HLOOKUP(INDIRECT(ADDRESS(2,COLUMN())),OFFSET($AT$2,0,0,ROW()-1,40),ROW()-1,FALSE))</f>
        <v>10.29285099</v>
      </c>
      <c r="Y17">
        <f ca="1">IF(AND($B$294=1,LEN($Y$170) * LEN($Y$162)&gt;0),$Y$170/$Y$162*100,HLOOKUP(INDIRECT(ADDRESS(2,COLUMN())),OFFSET($AT$2,0,0,ROW()-1,40),ROW()-1,FALSE))</f>
        <v>7.2382611580000003</v>
      </c>
      <c r="Z17">
        <f ca="1">IF(AND($B$294=1,LEN($Z$170) * LEN($Z$162)&gt;0),$Z$170/$Z$162*100,HLOOKUP(INDIRECT(ADDRESS(2,COLUMN())),OFFSET($AT$2,0,0,ROW()-1,40),ROW()-1,FALSE))</f>
        <v>11.17602235</v>
      </c>
      <c r="AA17">
        <f ca="1">IF(AND($B$294=1,LEN($AA$170) * LEN($AA$162)&gt;0),$AA$170/$AA$162*100,HLOOKUP(INDIRECT(ADDRESS(2,COLUMN())),OFFSET($AT$2,0,0,ROW()-1,40),ROW()-1,FALSE))</f>
        <v>6.8007218360000001</v>
      </c>
      <c r="AB17">
        <f ca="1">IF(AND($B$294=1,LEN($AB$170) * LEN($AB$162)&gt;0),$AB$170/$AB$162*100,HLOOKUP(INDIRECT(ADDRESS(2,COLUMN())),OFFSET($AT$2,0,0,ROW()-1,40),ROW()-1,FALSE))</f>
        <v>15.830325609999999</v>
      </c>
      <c r="AC17">
        <f ca="1">IF(AND($B$294=1,LEN($AC$170) * LEN($AC$162)&gt;0),$AC$170/$AC$162*100,HLOOKUP(INDIRECT(ADDRESS(2,COLUMN())),OFFSET($AT$2,0,0,ROW()-1,40),ROW()-1,FALSE))</f>
        <v>11.37317011</v>
      </c>
      <c r="AD17">
        <f ca="1">IF(AND($B$294=1,LEN($AD$170) * LEN($AD$162)&gt;0),$AD$170/$AD$162*100,HLOOKUP(INDIRECT(ADDRESS(2,COLUMN())),OFFSET($AT$2,0,0,ROW()-1,40),ROW()-1,FALSE))</f>
        <v>11.489326289999999</v>
      </c>
      <c r="AE17">
        <f ca="1">IF(AND($B$294=1,LEN($AE$170) * LEN($AE$162)&gt;0),$AE$170/$AE$162*100,HLOOKUP(INDIRECT(ADDRESS(2,COLUMN())),OFFSET($AT$2,0,0,ROW()-1,40),ROW()-1,FALSE))</f>
        <v>10.570365779999999</v>
      </c>
      <c r="AF17">
        <f ca="1">IF(AND($B$294=1,LEN($AF$170) * LEN($AF$162)&gt;0),$AF$170/$AF$162*100,HLOOKUP(INDIRECT(ADDRESS(2,COLUMN())),OFFSET($AT$2,0,0,ROW()-1,40),ROW()-1,FALSE))</f>
        <v>10.88845877</v>
      </c>
      <c r="AG17">
        <f ca="1">IF(AND($B$294=1,LEN($AG$170) * LEN($AG$162)&gt;0),$AG$170/$AG$162*100,HLOOKUP(INDIRECT(ADDRESS(2,COLUMN())),OFFSET($AT$2,0,0,ROW()-1,40),ROW()-1,FALSE))</f>
        <v>11.23851578</v>
      </c>
      <c r="AH17">
        <f ca="1">IF(AND($B$294=1,LEN($AH$170) * LEN($AH$162)&gt;0),$AH$170/$AH$162*100,HLOOKUP(INDIRECT(ADDRESS(2,COLUMN())),OFFSET($AT$2,0,0,ROW()-1,40),ROW()-1,FALSE))</f>
        <v>12.79676319</v>
      </c>
      <c r="AI17">
        <f ca="1">IF(AND($B$294=1,LEN($AI$170) * LEN($AI$162)&gt;0),$AI$170/$AI$162*100,HLOOKUP(INDIRECT(ADDRESS(2,COLUMN())),OFFSET($AT$2,0,0,ROW()-1,40),ROW()-1,FALSE))</f>
        <v>13.418876089999999</v>
      </c>
      <c r="AJ17">
        <f ca="1">IF(AND($B$294=1,LEN($AJ$170) * LEN($AJ$162)&gt;0),$AJ$170/$AJ$162*100,HLOOKUP(INDIRECT(ADDRESS(2,COLUMN())),OFFSET($AT$2,0,0,ROW()-1,40),ROW()-1,FALSE))</f>
        <v>12.69061876</v>
      </c>
      <c r="AK17">
        <f ca="1">IF(AND($B$294=1,LEN($AK$170) * LEN($AK$162)&gt;0),$AK$170/$AK$162*100,HLOOKUP(INDIRECT(ADDRESS(2,COLUMN())),OFFSET($AT$2,0,0,ROW()-1,40),ROW()-1,FALSE))</f>
        <v>13.342061409999999</v>
      </c>
      <c r="AL17">
        <f ca="1">IF(AND($B$294=1,LEN($AL$170) * LEN($AL$162)&gt;0),$AL$170/$AL$162*100,HLOOKUP(INDIRECT(ADDRESS(2,COLUMN())),OFFSET($AT$2,0,0,ROW()-1,40),ROW()-1,FALSE))</f>
        <v>12.605546070000001</v>
      </c>
      <c r="AM17">
        <f ca="1">IF(AND($B$294=1,LEN($AM$170) * LEN($AM$162)&gt;0),$AM$170/$AM$162*100,HLOOKUP(INDIRECT(ADDRESS(2,COLUMN())),OFFSET($AT$2,0,0,ROW()-1,40),ROW()-1,FALSE))</f>
        <v>9.9952785649999996</v>
      </c>
      <c r="AN17">
        <f ca="1">IF(AND($B$294=1,LEN($AN$170) * LEN($AN$162)&gt;0),$AN$170/$AN$162*100,HLOOKUP(INDIRECT(ADDRESS(2,COLUMN())),OFFSET($AT$2,0,0,ROW()-1,40),ROW()-1,FALSE))</f>
        <v>11.89390218</v>
      </c>
      <c r="AO17">
        <f ca="1">IF(AND($B$294=1,LEN($AO$170) * LEN($AO$162)&gt;0),$AO$170/$AO$162*100,HLOOKUP(INDIRECT(ADDRESS(2,COLUMN())),OFFSET($AT$2,0,0,ROW()-1,40),ROW()-1,FALSE))</f>
        <v>10.986851339999999</v>
      </c>
      <c r="AP17">
        <f ca="1">IF(AND($B$294=1,LEN($AP$170) * LEN($AP$162)&gt;0),$AP$170/$AP$162*100,HLOOKUP(INDIRECT(ADDRESS(2,COLUMN())),OFFSET($AT$2,0,0,ROW()-1,40),ROW()-1,FALSE))</f>
        <v>10.632595370000001</v>
      </c>
      <c r="AQ17">
        <f ca="1">IF(AND($B$294=1,LEN($AQ$170) * LEN($AQ$162)&gt;0),$AQ$170/$AQ$162*100,HLOOKUP(INDIRECT(ADDRESS(2,COLUMN())),OFFSET($AT$2,0,0,ROW()-1,40),ROW()-1,FALSE))</f>
        <v>11.900765549999999</v>
      </c>
      <c r="AR17">
        <f ca="1">IF(AND($B$294=1,LEN($AR$170) * LEN($AR$162)&gt;0),$AR$170/$AR$162*100,HLOOKUP(INDIRECT(ADDRESS(2,COLUMN())),OFFSET($AT$2,0,0,ROW()-1,40),ROW()-1,FALSE))</f>
        <v>11.580136380000001</v>
      </c>
      <c r="AS17">
        <f ca="1">IF(AND($B$294=1,LEN($AS$170) * LEN($AS$162)&gt;0),$AS$170/$AS$162*100,HLOOKUP(INDIRECT(ADDRESS(2,COLUMN())),OFFSET($AT$2,0,0,ROW()-1,40),ROW()-1,FALSE))</f>
        <v>10.178594260000001</v>
      </c>
      <c r="AT17">
        <f>7.751770599</f>
        <v>7.7517705990000003</v>
      </c>
      <c r="AU17">
        <f>7.693333926</f>
        <v>7.6933339260000002</v>
      </c>
      <c r="AV17">
        <f>8.509164781</f>
        <v>8.5091647810000008</v>
      </c>
      <c r="AW17">
        <f>7.815916603</f>
        <v>7.8159166029999998</v>
      </c>
      <c r="AX17">
        <f>8.730373579</f>
        <v>8.7303735790000001</v>
      </c>
      <c r="AY17">
        <f>7.892475172</f>
        <v>7.8924751720000001</v>
      </c>
      <c r="AZ17">
        <f>8.077094474</f>
        <v>8.0770944740000008</v>
      </c>
      <c r="BA17">
        <f>10.17377404</f>
        <v>10.17377404</v>
      </c>
      <c r="BB17">
        <f>8.818101032</f>
        <v>8.8181010319999995</v>
      </c>
      <c r="BC17">
        <f>9.025296055</f>
        <v>9.0252960550000001</v>
      </c>
      <c r="BD17">
        <f>12.77272937</f>
        <v>12.77272937</v>
      </c>
      <c r="BE17">
        <f>9.126051298</f>
        <v>9.1260512980000001</v>
      </c>
      <c r="BF17">
        <f>9.247113665</f>
        <v>9.2471136650000005</v>
      </c>
      <c r="BG17">
        <f>9.348628026</f>
        <v>9.3486280260000001</v>
      </c>
      <c r="BH17">
        <f>9.790107148</f>
        <v>9.7901071480000006</v>
      </c>
      <c r="BI17">
        <f>9.812262492</f>
        <v>9.8122624920000003</v>
      </c>
      <c r="BJ17">
        <f>11.85286706</f>
        <v>11.852867059999999</v>
      </c>
      <c r="BK17">
        <f>9.932259246</f>
        <v>9.9322592459999992</v>
      </c>
      <c r="BL17">
        <f>10.29285099</f>
        <v>10.29285099</v>
      </c>
      <c r="BM17">
        <f>7.238261158</f>
        <v>7.2382611580000003</v>
      </c>
      <c r="BN17">
        <f>11.17602235</f>
        <v>11.17602235</v>
      </c>
      <c r="BO17">
        <f>6.800721836</f>
        <v>6.8007218360000001</v>
      </c>
      <c r="BP17">
        <f>15.83032561</f>
        <v>15.830325609999999</v>
      </c>
      <c r="BQ17">
        <f>11.37317011</f>
        <v>11.37317011</v>
      </c>
      <c r="BR17">
        <f>11.48932629</f>
        <v>11.489326289999999</v>
      </c>
      <c r="BS17">
        <f>10.57036578</f>
        <v>10.570365779999999</v>
      </c>
      <c r="BT17">
        <f>10.88845877</f>
        <v>10.88845877</v>
      </c>
      <c r="BU17">
        <f>11.23851578</f>
        <v>11.23851578</v>
      </c>
      <c r="BV17">
        <f>12.79676319</f>
        <v>12.79676319</v>
      </c>
      <c r="BW17">
        <f>13.41887609</f>
        <v>13.418876089999999</v>
      </c>
      <c r="BX17">
        <f>12.69061876</f>
        <v>12.69061876</v>
      </c>
      <c r="BY17">
        <f>13.34206141</f>
        <v>13.342061409999999</v>
      </c>
      <c r="BZ17">
        <f>12.60554607</f>
        <v>12.605546070000001</v>
      </c>
      <c r="CA17">
        <f>9.995278565</f>
        <v>9.9952785649999996</v>
      </c>
      <c r="CB17">
        <f>11.89390218</f>
        <v>11.89390218</v>
      </c>
      <c r="CC17">
        <f>10.98685134</f>
        <v>10.986851339999999</v>
      </c>
      <c r="CD17">
        <f>10.63259537</f>
        <v>10.632595370000001</v>
      </c>
      <c r="CE17">
        <f>11.90076555</f>
        <v>11.900765549999999</v>
      </c>
      <c r="CF17">
        <f>11.58013638</f>
        <v>11.580136380000001</v>
      </c>
      <c r="CG17">
        <f>10.17859426</f>
        <v>10.178594260000001</v>
      </c>
    </row>
    <row r="18" spans="1:85" x14ac:dyDescent="0.25">
      <c r="A18" t="str">
        <f>"        Mack"</f>
        <v xml:space="preserve">        Mack</v>
      </c>
      <c r="B18" t="str">
        <f>""</f>
        <v/>
      </c>
      <c r="E18" t="str">
        <f>"Expression"</f>
        <v>Expression</v>
      </c>
      <c r="F18">
        <f ca="1">IF(AND($B$294=1,LEN($F$171) * LEN($F$162)&gt;0),$F$171/$F$162*100,HLOOKUP(INDIRECT(ADDRESS(2,COLUMN())),OFFSET($AT$2,0,0,ROW()-1,40),ROW()-1,FALSE))</f>
        <v>5.2167904649999999</v>
      </c>
      <c r="G18">
        <f ca="1">IF(AND($B$294=1,LEN($G$171) * LEN($G$162)&gt;0),$G$171/$G$162*100,HLOOKUP(INDIRECT(ADDRESS(2,COLUMN())),OFFSET($AT$2,0,0,ROW()-1,40),ROW()-1,FALSE))</f>
        <v>6.7372259530000003</v>
      </c>
      <c r="H18">
        <f ca="1">IF(AND($B$294=1,LEN($H$171) * LEN($H$162)&gt;0),$H$171/$H$162*100,HLOOKUP(INDIRECT(ADDRESS(2,COLUMN())),OFFSET($AT$2,0,0,ROW()-1,40),ROW()-1,FALSE))</f>
        <v>6.9763146960000002</v>
      </c>
      <c r="I18">
        <f ca="1">IF(AND($B$294=1,LEN($I$171) * LEN($I$162)&gt;0),$I$171/$I$162*100,HLOOKUP(INDIRECT(ADDRESS(2,COLUMN())),OFFSET($AT$2,0,0,ROW()-1,40),ROW()-1,FALSE))</f>
        <v>6.4480040680000004</v>
      </c>
      <c r="J18">
        <f ca="1">IF(AND($B$294=1,LEN($J$171) * LEN($J$162)&gt;0),$J$171/$J$162*100,HLOOKUP(INDIRECT(ADDRESS(2,COLUMN())),OFFSET($AT$2,0,0,ROW()-1,40),ROW()-1,FALSE))</f>
        <v>8.9018227759999995</v>
      </c>
      <c r="K18">
        <f ca="1">IF(AND($B$294=1,LEN($K$171) * LEN($K$162)&gt;0),$K$171/$K$162*100,HLOOKUP(INDIRECT(ADDRESS(2,COLUMN())),OFFSET($AT$2,0,0,ROW()-1,40),ROW()-1,FALSE))</f>
        <v>6.6892666160000003</v>
      </c>
      <c r="L18">
        <f ca="1">IF(AND($B$294=1,LEN($L$171) * LEN($L$162)&gt;0),$L$171/$L$162*100,HLOOKUP(INDIRECT(ADDRESS(2,COLUMN())),OFFSET($AT$2,0,0,ROW()-1,40),ROW()-1,FALSE))</f>
        <v>6.5842245989999997</v>
      </c>
      <c r="M18">
        <f ca="1">IF(AND($B$294=1,LEN($M$171) * LEN($M$162)&gt;0),$M$171/$M$162*100,HLOOKUP(INDIRECT(ADDRESS(2,COLUMN())),OFFSET($AT$2,0,0,ROW()-1,40),ROW()-1,FALSE))</f>
        <v>9.8386015570000005</v>
      </c>
      <c r="N18">
        <f ca="1">IF(AND($B$294=1,LEN($N$171) * LEN($N$162)&gt;0),$N$171/$N$162*100,HLOOKUP(INDIRECT(ADDRESS(2,COLUMN())),OFFSET($AT$2,0,0,ROW()-1,40),ROW()-1,FALSE))</f>
        <v>8.4558069590000002</v>
      </c>
      <c r="O18">
        <f ca="1">IF(AND($B$294=1,LEN($O$171) * LEN($O$162)&gt;0),$O$171/$O$162*100,HLOOKUP(INDIRECT(ADDRESS(2,COLUMN())),OFFSET($AT$2,0,0,ROW()-1,40),ROW()-1,FALSE))</f>
        <v>8.0793217009999996</v>
      </c>
      <c r="P18">
        <f ca="1">IF(AND($B$294=1,LEN($P$171) * LEN($P$162)&gt;0),$P$171/$P$162*100,HLOOKUP(INDIRECT(ADDRESS(2,COLUMN())),OFFSET($AT$2,0,0,ROW()-1,40),ROW()-1,FALSE))</f>
        <v>9.7467595370000009</v>
      </c>
      <c r="Q18">
        <f ca="1">IF(AND($B$294=1,LEN($Q$171) * LEN($Q$162)&gt;0),$Q$171/$Q$162*100,HLOOKUP(INDIRECT(ADDRESS(2,COLUMN())),OFFSET($AT$2,0,0,ROW()-1,40),ROW()-1,FALSE))</f>
        <v>6.3730867680000003</v>
      </c>
      <c r="R18">
        <f ca="1">IF(AND($B$294=1,LEN($R$171) * LEN($R$162)&gt;0),$R$171/$R$162*100,HLOOKUP(INDIRECT(ADDRESS(2,COLUMN())),OFFSET($AT$2,0,0,ROW()-1,40),ROW()-1,FALSE))</f>
        <v>6.8892622909999996</v>
      </c>
      <c r="S18">
        <f ca="1">IF(AND($B$294=1,LEN($S$171) * LEN($S$162)&gt;0),$S$171/$S$162*100,HLOOKUP(INDIRECT(ADDRESS(2,COLUMN())),OFFSET($AT$2,0,0,ROW()-1,40),ROW()-1,FALSE))</f>
        <v>7.7416746679999999</v>
      </c>
      <c r="T18">
        <f ca="1">IF(AND($B$294=1,LEN($T$171) * LEN($T$162)&gt;0),$T$171/$T$162*100,HLOOKUP(INDIRECT(ADDRESS(2,COLUMN())),OFFSET($AT$2,0,0,ROW()-1,40),ROW()-1,FALSE))</f>
        <v>6.8985762509999997</v>
      </c>
      <c r="U18">
        <f ca="1">IF(AND($B$294=1,LEN($U$171) * LEN($U$162)&gt;0),$U$171/$U$162*100,HLOOKUP(INDIRECT(ADDRESS(2,COLUMN())),OFFSET($AT$2,0,0,ROW()-1,40),ROW()-1,FALSE))</f>
        <v>8.6892405420000003</v>
      </c>
      <c r="V18">
        <f ca="1">IF(AND($B$294=1,LEN($V$171) * LEN($V$162)&gt;0),$V$171/$V$162*100,HLOOKUP(INDIRECT(ADDRESS(2,COLUMN())),OFFSET($AT$2,0,0,ROW()-1,40),ROW()-1,FALSE))</f>
        <v>9.8987576819999994</v>
      </c>
      <c r="W18">
        <f ca="1">IF(AND($B$294=1,LEN($W$171) * LEN($W$162)&gt;0),$W$171/$W$162*100,HLOOKUP(INDIRECT(ADDRESS(2,COLUMN())),OFFSET($AT$2,0,0,ROW()-1,40),ROW()-1,FALSE))</f>
        <v>7.1631270599999999</v>
      </c>
      <c r="X18">
        <f ca="1">IF(AND($B$294=1,LEN($X$171) * LEN($X$162)&gt;0),$X$171/$X$162*100,HLOOKUP(INDIRECT(ADDRESS(2,COLUMN())),OFFSET($AT$2,0,0,ROW()-1,40),ROW()-1,FALSE))</f>
        <v>6.541295818</v>
      </c>
      <c r="Y18">
        <f ca="1">IF(AND($B$294=1,LEN($Y$171) * LEN($Y$162)&gt;0),$Y$171/$Y$162*100,HLOOKUP(INDIRECT(ADDRESS(2,COLUMN())),OFFSET($AT$2,0,0,ROW()-1,40),ROW()-1,FALSE))</f>
        <v>8.7564294010000001</v>
      </c>
      <c r="Z18">
        <f ca="1">IF(AND($B$294=1,LEN($Z$171) * LEN($Z$162)&gt;0),$Z$171/$Z$162*100,HLOOKUP(INDIRECT(ADDRESS(2,COLUMN())),OFFSET($AT$2,0,0,ROW()-1,40),ROW()-1,FALSE))</f>
        <v>7.0866141730000001</v>
      </c>
      <c r="AA18">
        <f ca="1">IF(AND($B$294=1,LEN($AA$171) * LEN($AA$162)&gt;0),$AA$171/$AA$162*100,HLOOKUP(INDIRECT(ADDRESS(2,COLUMN())),OFFSET($AT$2,0,0,ROW()-1,40),ROW()-1,FALSE))</f>
        <v>6.8161897400000004</v>
      </c>
      <c r="AB18">
        <f ca="1">IF(AND($B$294=1,LEN($AB$171) * LEN($AB$162)&gt;0),$AB$171/$AB$162*100,HLOOKUP(INDIRECT(ADDRESS(2,COLUMN())),OFFSET($AT$2,0,0,ROW()-1,40),ROW()-1,FALSE))</f>
        <v>10.074902010000001</v>
      </c>
      <c r="AC18">
        <f ca="1">IF(AND($B$294=1,LEN($AC$171) * LEN($AC$162)&gt;0),$AC$171/$AC$162*100,HLOOKUP(INDIRECT(ADDRESS(2,COLUMN())),OFFSET($AT$2,0,0,ROW()-1,40),ROW()-1,FALSE))</f>
        <v>7.4009074569999997</v>
      </c>
      <c r="AD18">
        <f ca="1">IF(AND($B$294=1,LEN($AD$171) * LEN($AD$162)&gt;0),$AD$171/$AD$162*100,HLOOKUP(INDIRECT(ADDRESS(2,COLUMN())),OFFSET($AT$2,0,0,ROW()-1,40),ROW()-1,FALSE))</f>
        <v>5.8632599560000003</v>
      </c>
      <c r="AE18">
        <f ca="1">IF(AND($B$294=1,LEN($AE$171) * LEN($AE$162)&gt;0),$AE$171/$AE$162*100,HLOOKUP(INDIRECT(ADDRESS(2,COLUMN())),OFFSET($AT$2,0,0,ROW()-1,40),ROW()-1,FALSE))</f>
        <v>7.8929014259999999</v>
      </c>
      <c r="AF18">
        <f ca="1">IF(AND($B$294=1,LEN($AF$171) * LEN($AF$162)&gt;0),$AF$171/$AF$162*100,HLOOKUP(INDIRECT(ADDRESS(2,COLUMN())),OFFSET($AT$2,0,0,ROW()-1,40),ROW()-1,FALSE))</f>
        <v>7.5448783639999997</v>
      </c>
      <c r="AG18">
        <f ca="1">IF(AND($B$294=1,LEN($AG$171) * LEN($AG$162)&gt;0),$AG$171/$AG$162*100,HLOOKUP(INDIRECT(ADDRESS(2,COLUMN())),OFFSET($AT$2,0,0,ROW()-1,40),ROW()-1,FALSE))</f>
        <v>6.968876861</v>
      </c>
      <c r="AH18">
        <f ca="1">IF(AND($B$294=1,LEN($AH$171) * LEN($AH$162)&gt;0),$AH$171/$AH$162*100,HLOOKUP(INDIRECT(ADDRESS(2,COLUMN())),OFFSET($AT$2,0,0,ROW()-1,40),ROW()-1,FALSE))</f>
        <v>7.9281749479999997</v>
      </c>
      <c r="AI18">
        <f ca="1">IF(AND($B$294=1,LEN($AI$171) * LEN($AI$162)&gt;0),$AI$171/$AI$162*100,HLOOKUP(INDIRECT(ADDRESS(2,COLUMN())),OFFSET($AT$2,0,0,ROW()-1,40),ROW()-1,FALSE))</f>
        <v>7.3278194330000002</v>
      </c>
      <c r="AJ18">
        <f ca="1">IF(AND($B$294=1,LEN($AJ$171) * LEN($AJ$162)&gt;0),$AJ$171/$AJ$162*100,HLOOKUP(INDIRECT(ADDRESS(2,COLUMN())),OFFSET($AT$2,0,0,ROW()-1,40),ROW()-1,FALSE))</f>
        <v>7.760479042</v>
      </c>
      <c r="AK18">
        <f ca="1">IF(AND($B$294=1,LEN($AK$171) * LEN($AK$162)&gt;0),$AK$171/$AK$162*100,HLOOKUP(INDIRECT(ADDRESS(2,COLUMN())),OFFSET($AT$2,0,0,ROW()-1,40),ROW()-1,FALSE))</f>
        <v>7.8473379349999997</v>
      </c>
      <c r="AL18">
        <f ca="1">IF(AND($B$294=1,LEN($AL$171) * LEN($AL$162)&gt;0),$AL$171/$AL$162*100,HLOOKUP(INDIRECT(ADDRESS(2,COLUMN())),OFFSET($AT$2,0,0,ROW()-1,40),ROW()-1,FALSE))</f>
        <v>6.2058782819999996</v>
      </c>
      <c r="AM18">
        <f ca="1">IF(AND($B$294=1,LEN($AM$171) * LEN($AM$162)&gt;0),$AM$171/$AM$162*100,HLOOKUP(INDIRECT(ADDRESS(2,COLUMN())),OFFSET($AT$2,0,0,ROW()-1,40),ROW()-1,FALSE))</f>
        <v>5.5901794149999997</v>
      </c>
      <c r="AN18">
        <f ca="1">IF(AND($B$294=1,LEN($AN$171) * LEN($AN$162)&gt;0),$AN$171/$AN$162*100,HLOOKUP(INDIRECT(ADDRESS(2,COLUMN())),OFFSET($AT$2,0,0,ROW()-1,40),ROW()-1,FALSE))</f>
        <v>10.60978177</v>
      </c>
      <c r="AO18">
        <f ca="1">IF(AND($B$294=1,LEN($AO$171) * LEN($AO$162)&gt;0),$AO$171/$AO$162*100,HLOOKUP(INDIRECT(ADDRESS(2,COLUMN())),OFFSET($AT$2,0,0,ROW()-1,40),ROW()-1,FALSE))</f>
        <v>8.7735716630000002</v>
      </c>
      <c r="AP18">
        <f ca="1">IF(AND($B$294=1,LEN($AP$171) * LEN($AP$162)&gt;0),$AP$171/$AP$162*100,HLOOKUP(INDIRECT(ADDRESS(2,COLUMN())),OFFSET($AT$2,0,0,ROW()-1,40),ROW()-1,FALSE))</f>
        <v>6.0652788490000002</v>
      </c>
      <c r="AQ18">
        <f ca="1">IF(AND($B$294=1,LEN($AQ$171) * LEN($AQ$162)&gt;0),$AQ$171/$AQ$162*100,HLOOKUP(INDIRECT(ADDRESS(2,COLUMN())),OFFSET($AT$2,0,0,ROW()-1,40),ROW()-1,FALSE))</f>
        <v>7.7127768449999996</v>
      </c>
      <c r="AR18">
        <f ca="1">IF(AND($B$294=1,LEN($AR$171) * LEN($AR$162)&gt;0),$AR$171/$AR$162*100,HLOOKUP(INDIRECT(ADDRESS(2,COLUMN())),OFFSET($AT$2,0,0,ROW()-1,40),ROW()-1,FALSE))</f>
        <v>8.6474501109999995</v>
      </c>
      <c r="AS18">
        <f ca="1">IF(AND($B$294=1,LEN($AS$171) * LEN($AS$162)&gt;0),$AS$171/$AS$162*100,HLOOKUP(INDIRECT(ADDRESS(2,COLUMN())),OFFSET($AT$2,0,0,ROW()-1,40),ROW()-1,FALSE))</f>
        <v>9.0703721070000007</v>
      </c>
      <c r="AT18">
        <f>5.216790465</f>
        <v>5.2167904649999999</v>
      </c>
      <c r="AU18">
        <f>6.737225953</f>
        <v>6.7372259530000003</v>
      </c>
      <c r="AV18">
        <f>6.976314696</f>
        <v>6.9763146960000002</v>
      </c>
      <c r="AW18">
        <f>6.448004068</f>
        <v>6.4480040680000004</v>
      </c>
      <c r="AX18">
        <f>8.901822776</f>
        <v>8.9018227759999995</v>
      </c>
      <c r="AY18">
        <f>6.689266616</f>
        <v>6.6892666160000003</v>
      </c>
      <c r="AZ18">
        <f>6.584224599</f>
        <v>6.5842245989999997</v>
      </c>
      <c r="BA18">
        <f>9.838601557</f>
        <v>9.8386015570000005</v>
      </c>
      <c r="BB18">
        <f>8.455806959</f>
        <v>8.4558069590000002</v>
      </c>
      <c r="BC18">
        <f>8.079321701</f>
        <v>8.0793217009999996</v>
      </c>
      <c r="BD18">
        <f>9.746759537</f>
        <v>9.7467595370000009</v>
      </c>
      <c r="BE18">
        <f>6.373086768</f>
        <v>6.3730867680000003</v>
      </c>
      <c r="BF18">
        <f>6.889262291</f>
        <v>6.8892622909999996</v>
      </c>
      <c r="BG18">
        <f>7.741674668</f>
        <v>7.7416746679999999</v>
      </c>
      <c r="BH18">
        <f>6.898576251</f>
        <v>6.8985762509999997</v>
      </c>
      <c r="BI18">
        <f>8.689240542</f>
        <v>8.6892405420000003</v>
      </c>
      <c r="BJ18">
        <f>9.898757682</f>
        <v>9.8987576819999994</v>
      </c>
      <c r="BK18">
        <f>7.16312706</f>
        <v>7.1631270599999999</v>
      </c>
      <c r="BL18">
        <f>6.541295818</f>
        <v>6.541295818</v>
      </c>
      <c r="BM18">
        <f>8.756429401</f>
        <v>8.7564294010000001</v>
      </c>
      <c r="BN18">
        <f>7.086614173</f>
        <v>7.0866141730000001</v>
      </c>
      <c r="BO18">
        <f>6.81618974</f>
        <v>6.8161897400000004</v>
      </c>
      <c r="BP18">
        <f>10.07490201</f>
        <v>10.074902010000001</v>
      </c>
      <c r="BQ18">
        <f>7.400907457</f>
        <v>7.4009074569999997</v>
      </c>
      <c r="BR18">
        <f>5.863259956</f>
        <v>5.8632599560000003</v>
      </c>
      <c r="BS18">
        <f>7.892901426</f>
        <v>7.8929014259999999</v>
      </c>
      <c r="BT18">
        <f>7.544878364</f>
        <v>7.5448783639999997</v>
      </c>
      <c r="BU18">
        <f>6.968876861</f>
        <v>6.968876861</v>
      </c>
      <c r="BV18">
        <f>7.928174948</f>
        <v>7.9281749479999997</v>
      </c>
      <c r="BW18">
        <f>7.327819433</f>
        <v>7.3278194330000002</v>
      </c>
      <c r="BX18">
        <f>7.760479042</f>
        <v>7.760479042</v>
      </c>
      <c r="BY18">
        <f>7.847337935</f>
        <v>7.8473379349999997</v>
      </c>
      <c r="BZ18">
        <f>6.205878282</f>
        <v>6.2058782819999996</v>
      </c>
      <c r="CA18">
        <f>5.590179415</f>
        <v>5.5901794149999997</v>
      </c>
      <c r="CB18">
        <f>10.60978177</f>
        <v>10.60978177</v>
      </c>
      <c r="CC18">
        <f>8.773571663</f>
        <v>8.7735716630000002</v>
      </c>
      <c r="CD18">
        <f>6.065278849</f>
        <v>6.0652788490000002</v>
      </c>
      <c r="CE18">
        <f>7.712776845</f>
        <v>7.7127768449999996</v>
      </c>
      <c r="CF18">
        <f>8.647450111</f>
        <v>8.6474501109999995</v>
      </c>
      <c r="CG18">
        <f>9.070372107</f>
        <v>9.0703721070000007</v>
      </c>
    </row>
    <row r="19" spans="1:85" x14ac:dyDescent="0.25">
      <c r="A19" t="str">
        <f>"    Dina Camiones"</f>
        <v xml:space="preserve">    Dina Camiones</v>
      </c>
      <c r="B19" t="str">
        <f>""</f>
        <v/>
      </c>
      <c r="E19" t="str">
        <f>"Expression"</f>
        <v>Expression</v>
      </c>
      <c r="F19" t="str">
        <f ca="1">IF(AND($B$294=1,LEN($F$172) * LEN($F$162)&gt;0),$F$172/$F$162*100,HLOOKUP(INDIRECT(ADDRESS(2,COLUMN())),OFFSET($AT$2,0,0,ROW()-1,40),ROW()-1,FALSE))</f>
        <v/>
      </c>
      <c r="G19" t="str">
        <f ca="1">IF(AND($B$294=1,LEN($G$172) * LEN($G$162)&gt;0),$G$172/$G$162*100,HLOOKUP(INDIRECT(ADDRESS(2,COLUMN())),OFFSET($AT$2,0,0,ROW()-1,40),ROW()-1,FALSE))</f>
        <v/>
      </c>
      <c r="H19" t="str">
        <f ca="1">IF(AND($B$294=1,LEN($H$172) * LEN($H$162)&gt;0),$H$172/$H$162*100,HLOOKUP(INDIRECT(ADDRESS(2,COLUMN())),OFFSET($AT$2,0,0,ROW()-1,40),ROW()-1,FALSE))</f>
        <v/>
      </c>
      <c r="I19" t="str">
        <f ca="1">IF(AND($B$294=1,LEN($I$172) * LEN($I$162)&gt;0),$I$172/$I$162*100,HLOOKUP(INDIRECT(ADDRESS(2,COLUMN())),OFFSET($AT$2,0,0,ROW()-1,40),ROW()-1,FALSE))</f>
        <v/>
      </c>
      <c r="J19" t="str">
        <f ca="1">IF(AND($B$294=1,LEN($J$172) * LEN($J$162)&gt;0),$J$172/$J$162*100,HLOOKUP(INDIRECT(ADDRESS(2,COLUMN())),OFFSET($AT$2,0,0,ROW()-1,40),ROW()-1,FALSE))</f>
        <v/>
      </c>
      <c r="K19" t="str">
        <f ca="1">IF(AND($B$294=1,LEN($K$172) * LEN($K$162)&gt;0),$K$172/$K$162*100,HLOOKUP(INDIRECT(ADDRESS(2,COLUMN())),OFFSET($AT$2,0,0,ROW()-1,40),ROW()-1,FALSE))</f>
        <v/>
      </c>
      <c r="L19" t="str">
        <f ca="1">IF(AND($B$294=1,LEN($L$172) * LEN($L$162)&gt;0),$L$172/$L$162*100,HLOOKUP(INDIRECT(ADDRESS(2,COLUMN())),OFFSET($AT$2,0,0,ROW()-1,40),ROW()-1,FALSE))</f>
        <v/>
      </c>
      <c r="M19" t="str">
        <f ca="1">IF(AND($B$294=1,LEN($M$172) * LEN($M$162)&gt;0),$M$172/$M$162*100,HLOOKUP(INDIRECT(ADDRESS(2,COLUMN())),OFFSET($AT$2,0,0,ROW()-1,40),ROW()-1,FALSE))</f>
        <v/>
      </c>
      <c r="N19" t="str">
        <f ca="1">IF(AND($B$294=1,LEN($N$172) * LEN($N$162)&gt;0),$N$172/$N$162*100,HLOOKUP(INDIRECT(ADDRESS(2,COLUMN())),OFFSET($AT$2,0,0,ROW()-1,40),ROW()-1,FALSE))</f>
        <v/>
      </c>
      <c r="O19" t="str">
        <f ca="1">IF(AND($B$294=1,LEN($O$172) * LEN($O$162)&gt;0),$O$172/$O$162*100,HLOOKUP(INDIRECT(ADDRESS(2,COLUMN())),OFFSET($AT$2,0,0,ROW()-1,40),ROW()-1,FALSE))</f>
        <v/>
      </c>
      <c r="P19">
        <f ca="1">IF(AND($B$294=1,LEN($P$172) * LEN($P$162)&gt;0),$P$172/$P$162*100,HLOOKUP(INDIRECT(ADDRESS(2,COLUMN())),OFFSET($AT$2,0,0,ROW()-1,40),ROW()-1,FALSE))</f>
        <v>0.39669726500000002</v>
      </c>
      <c r="Q19">
        <f ca="1">IF(AND($B$294=1,LEN($Q$172) * LEN($Q$162)&gt;0),$Q$172/$Q$162*100,HLOOKUP(INDIRECT(ADDRESS(2,COLUMN())),OFFSET($AT$2,0,0,ROW()-1,40),ROW()-1,FALSE))</f>
        <v>0.334325863</v>
      </c>
      <c r="R19">
        <f ca="1">IF(AND($B$294=1,LEN($R$172) * LEN($R$162)&gt;0),$R$172/$R$162*100,HLOOKUP(INDIRECT(ADDRESS(2,COLUMN())),OFFSET($AT$2,0,0,ROW()-1,40),ROW()-1,FALSE))</f>
        <v>0.319800531</v>
      </c>
      <c r="S19">
        <f ca="1">IF(AND($B$294=1,LEN($S$172) * LEN($S$162)&gt;0),$S$172/$S$162*100,HLOOKUP(INDIRECT(ADDRESS(2,COLUMN())),OFFSET($AT$2,0,0,ROW()-1,40),ROW()-1,FALSE))</f>
        <v>0.28298549699999997</v>
      </c>
      <c r="T19">
        <f ca="1">IF(AND($B$294=1,LEN($T$172) * LEN($T$162)&gt;0),$T$172/$T$162*100,HLOOKUP(INDIRECT(ADDRESS(2,COLUMN())),OFFSET($AT$2,0,0,ROW()-1,40),ROW()-1,FALSE))</f>
        <v>0.22505993399999999</v>
      </c>
      <c r="U19">
        <f ca="1">IF(AND($B$294=1,LEN($U$172) * LEN($U$162)&gt;0),$U$172/$U$162*100,HLOOKUP(INDIRECT(ADDRESS(2,COLUMN())),OFFSET($AT$2,0,0,ROW()-1,40),ROW()-1,FALSE))</f>
        <v>0.22120129299999999</v>
      </c>
      <c r="V19">
        <f ca="1">IF(AND($B$294=1,LEN($V$172) * LEN($V$162)&gt;0),$V$172/$V$162*100,HLOOKUP(INDIRECT(ADDRESS(2,COLUMN())),OFFSET($AT$2,0,0,ROW()-1,40),ROW()-1,FALSE))</f>
        <v>0.19452672500000001</v>
      </c>
      <c r="W19">
        <f ca="1">IF(AND($B$294=1,LEN($W$172) * LEN($W$162)&gt;0),$W$172/$W$162*100,HLOOKUP(INDIRECT(ADDRESS(2,COLUMN())),OFFSET($AT$2,0,0,ROW()-1,40),ROW()-1,FALSE))</f>
        <v>0.238008056</v>
      </c>
      <c r="X19">
        <f ca="1">IF(AND($B$294=1,LEN($X$172) * LEN($X$162)&gt;0),$X$172/$X$162*100,HLOOKUP(INDIRECT(ADDRESS(2,COLUMN())),OFFSET($AT$2,0,0,ROW()-1,40),ROW()-1,FALSE))</f>
        <v>0.23925734500000001</v>
      </c>
      <c r="Y19">
        <f ca="1">IF(AND($B$294=1,LEN($Y$172) * LEN($Y$162)&gt;0),$Y$172/$Y$162*100,HLOOKUP(INDIRECT(ADDRESS(2,COLUMN())),OFFSET($AT$2,0,0,ROW()-1,40),ROW()-1,FALSE))</f>
        <v>0.18666003</v>
      </c>
      <c r="Z19">
        <f ca="1">IF(AND($B$294=1,LEN($Z$172) * LEN($Z$162)&gt;0),$Z$172/$Z$162*100,HLOOKUP(INDIRECT(ADDRESS(2,COLUMN())),OFFSET($AT$2,0,0,ROW()-1,40),ROW()-1,FALSE))</f>
        <v>0.172720345</v>
      </c>
      <c r="AA19">
        <f ca="1">IF(AND($B$294=1,LEN($AA$172) * LEN($AA$162)&gt;0),$AA$172/$AA$162*100,HLOOKUP(INDIRECT(ADDRESS(2,COLUMN())),OFFSET($AT$2,0,0,ROW()-1,40),ROW()-1,FALSE))</f>
        <v>0.25264243400000003</v>
      </c>
      <c r="AB19">
        <f ca="1">IF(AND($B$294=1,LEN($AB$172) * LEN($AB$162)&gt;0),$AB$172/$AB$162*100,HLOOKUP(INDIRECT(ADDRESS(2,COLUMN())),OFFSET($AT$2,0,0,ROW()-1,40),ROW()-1,FALSE))</f>
        <v>0.26002250900000001</v>
      </c>
      <c r="AC19">
        <f ca="1">IF(AND($B$294=1,LEN($AC$172) * LEN($AC$162)&gt;0),$AC$172/$AC$162*100,HLOOKUP(INDIRECT(ADDRESS(2,COLUMN())),OFFSET($AT$2,0,0,ROW()-1,40),ROW()-1,FALSE))</f>
        <v>0.23114459400000001</v>
      </c>
      <c r="AD19">
        <f ca="1">IF(AND($B$294=1,LEN($AD$172) * LEN($AD$162)&gt;0),$AD$172/$AD$162*100,HLOOKUP(INDIRECT(ADDRESS(2,COLUMN())),OFFSET($AT$2,0,0,ROW()-1,40),ROW()-1,FALSE))</f>
        <v>0.208064583</v>
      </c>
      <c r="AE19">
        <f ca="1">IF(AND($B$294=1,LEN($AE$172) * LEN($AE$162)&gt;0),$AE$172/$AE$162*100,HLOOKUP(INDIRECT(ADDRESS(2,COLUMN())),OFFSET($AT$2,0,0,ROW()-1,40),ROW()-1,FALSE))</f>
        <v>0.18211407299999999</v>
      </c>
      <c r="AF19">
        <f ca="1">IF(AND($B$294=1,LEN($AF$172) * LEN($AF$162)&gt;0),$AF$172/$AF$162*100,HLOOKUP(INDIRECT(ADDRESS(2,COLUMN())),OFFSET($AT$2,0,0,ROW()-1,40),ROW()-1,FALSE))</f>
        <v>0.17837489100000001</v>
      </c>
      <c r="AG19">
        <f ca="1">IF(AND($B$294=1,LEN($AG$172) * LEN($AG$162)&gt;0),$AG$172/$AG$162*100,HLOOKUP(INDIRECT(ADDRESS(2,COLUMN())),OFFSET($AT$2,0,0,ROW()-1,40),ROW()-1,FALSE))</f>
        <v>0.16736699699999999</v>
      </c>
      <c r="AH19">
        <f ca="1">IF(AND($B$294=1,LEN($AH$172) * LEN($AH$162)&gt;0),$AH$172/$AH$162*100,HLOOKUP(INDIRECT(ADDRESS(2,COLUMN())),OFFSET($AT$2,0,0,ROW()-1,40),ROW()-1,FALSE))</f>
        <v>0.15047147699999999</v>
      </c>
      <c r="AI19">
        <f ca="1">IF(AND($B$294=1,LEN($AI$172) * LEN($AI$162)&gt;0),$AI$172/$AI$162*100,HLOOKUP(INDIRECT(ADDRESS(2,COLUMN())),OFFSET($AT$2,0,0,ROW()-1,40),ROW()-1,FALSE))</f>
        <v>0.16232511399999999</v>
      </c>
      <c r="AJ19">
        <f ca="1">IF(AND($B$294=1,LEN($AJ$172) * LEN($AJ$162)&gt;0),$AJ$172/$AJ$162*100,HLOOKUP(INDIRECT(ADDRESS(2,COLUMN())),OFFSET($AT$2,0,0,ROW()-1,40),ROW()-1,FALSE))</f>
        <v>0.15968063900000001</v>
      </c>
      <c r="AK19">
        <f ca="1">IF(AND($B$294=1,LEN($AK$172) * LEN($AK$162)&gt;0),$AK$172/$AK$162*100,HLOOKUP(INDIRECT(ADDRESS(2,COLUMN())),OFFSET($AT$2,0,0,ROW()-1,40),ROW()-1,FALSE))</f>
        <v>0.20630008699999999</v>
      </c>
      <c r="AL19">
        <f ca="1">IF(AND($B$294=1,LEN($AL$172) * LEN($AL$162)&gt;0),$AL$172/$AL$162*100,HLOOKUP(INDIRECT(ADDRESS(2,COLUMN())),OFFSET($AT$2,0,0,ROW()-1,40),ROW()-1,FALSE))</f>
        <v>0.226087759</v>
      </c>
      <c r="AM19">
        <f ca="1">IF(AND($B$294=1,LEN($AM$172) * LEN($AM$162)&gt;0),$AM$172/$AM$162*100,HLOOKUP(INDIRECT(ADDRESS(2,COLUMN())),OFFSET($AT$2,0,0,ROW()-1,40),ROW()-1,FALSE))</f>
        <v>0.24551463600000001</v>
      </c>
      <c r="AN19">
        <f ca="1">IF(AND($B$294=1,LEN($AN$172) * LEN($AN$162)&gt;0),$AN$172/$AN$162*100,HLOOKUP(INDIRECT(ADDRESS(2,COLUMN())),OFFSET($AT$2,0,0,ROW()-1,40),ROW()-1,FALSE))</f>
        <v>0.31225878899999998</v>
      </c>
      <c r="AO19">
        <f ca="1">IF(AND($B$294=1,LEN($AO$172) * LEN($AO$162)&gt;0),$AO$172/$AO$162*100,HLOOKUP(INDIRECT(ADDRESS(2,COLUMN())),OFFSET($AT$2,0,0,ROW()-1,40),ROW()-1,FALSE))</f>
        <v>0.360301343</v>
      </c>
      <c r="AP19">
        <f ca="1">IF(AND($B$294=1,LEN($AP$172) * LEN($AP$162)&gt;0),$AP$172/$AP$162*100,HLOOKUP(INDIRECT(ADDRESS(2,COLUMN())),OFFSET($AT$2,0,0,ROW()-1,40),ROW()-1,FALSE))</f>
        <v>0.275360722</v>
      </c>
      <c r="AQ19">
        <f ca="1">IF(AND($B$294=1,LEN($AQ$172) * LEN($AQ$162)&gt;0),$AQ$172/$AQ$162*100,HLOOKUP(INDIRECT(ADDRESS(2,COLUMN())),OFFSET($AT$2,0,0,ROW()-1,40),ROW()-1,FALSE))</f>
        <v>0.450321366</v>
      </c>
      <c r="AR19">
        <f ca="1">IF(AND($B$294=1,LEN($AR$172) * LEN($AR$162)&gt;0),$AR$172/$AR$162*100,HLOOKUP(INDIRECT(ADDRESS(2,COLUMN())),OFFSET($AT$2,0,0,ROW()-1,40),ROW()-1,FALSE))</f>
        <v>0.100405807</v>
      </c>
      <c r="AS19">
        <f ca="1">IF(AND($B$294=1,LEN($AS$172) * LEN($AS$162)&gt;0),$AS$172/$AS$162*100,HLOOKUP(INDIRECT(ADDRESS(2,COLUMN())),OFFSET($AT$2,0,0,ROW()-1,40),ROW()-1,FALSE))</f>
        <v>1.2787178999999999E-2</v>
      </c>
      <c r="AT19" t="str">
        <f>""</f>
        <v/>
      </c>
      <c r="AU19" t="str">
        <f>""</f>
        <v/>
      </c>
      <c r="AV19" t="str">
        <f>""</f>
        <v/>
      </c>
      <c r="AW19" t="str">
        <f>""</f>
        <v/>
      </c>
      <c r="AX19" t="str">
        <f>""</f>
        <v/>
      </c>
      <c r="AY19" t="str">
        <f>""</f>
        <v/>
      </c>
      <c r="AZ19" t="str">
        <f>""</f>
        <v/>
      </c>
      <c r="BA19" t="str">
        <f>""</f>
        <v/>
      </c>
      <c r="BB19" t="str">
        <f>""</f>
        <v/>
      </c>
      <c r="BC19" t="str">
        <f>""</f>
        <v/>
      </c>
      <c r="BD19">
        <f>0.396697265</f>
        <v>0.39669726500000002</v>
      </c>
      <c r="BE19">
        <f>0.334325863</f>
        <v>0.334325863</v>
      </c>
      <c r="BF19">
        <f>0.319800531</f>
        <v>0.319800531</v>
      </c>
      <c r="BG19">
        <f>0.282985497</f>
        <v>0.28298549699999997</v>
      </c>
      <c r="BH19">
        <f>0.225059934</f>
        <v>0.22505993399999999</v>
      </c>
      <c r="BI19">
        <f>0.221201293</f>
        <v>0.22120129299999999</v>
      </c>
      <c r="BJ19">
        <f>0.194526725</f>
        <v>0.19452672500000001</v>
      </c>
      <c r="BK19">
        <f>0.238008056</f>
        <v>0.238008056</v>
      </c>
      <c r="BL19">
        <f>0.239257345</f>
        <v>0.23925734500000001</v>
      </c>
      <c r="BM19">
        <f>0.18666003</f>
        <v>0.18666003</v>
      </c>
      <c r="BN19">
        <f>0.172720345</f>
        <v>0.172720345</v>
      </c>
      <c r="BO19">
        <f>0.252642434</f>
        <v>0.25264243400000003</v>
      </c>
      <c r="BP19">
        <f>0.260022509</f>
        <v>0.26002250900000001</v>
      </c>
      <c r="BQ19">
        <f>0.231144594</f>
        <v>0.23114459400000001</v>
      </c>
      <c r="BR19">
        <f>0.208064583</f>
        <v>0.208064583</v>
      </c>
      <c r="BS19">
        <f>0.182114073</f>
        <v>0.18211407299999999</v>
      </c>
      <c r="BT19">
        <f>0.178374891</f>
        <v>0.17837489100000001</v>
      </c>
      <c r="BU19">
        <f>0.167366997</f>
        <v>0.16736699699999999</v>
      </c>
      <c r="BV19">
        <f>0.150471477</f>
        <v>0.15047147699999999</v>
      </c>
      <c r="BW19">
        <f>0.162325114</f>
        <v>0.16232511399999999</v>
      </c>
      <c r="BX19">
        <f>0.159680639</f>
        <v>0.15968063900000001</v>
      </c>
      <c r="BY19">
        <f>0.206300087</f>
        <v>0.20630008699999999</v>
      </c>
      <c r="BZ19">
        <f>0.226087759</f>
        <v>0.226087759</v>
      </c>
      <c r="CA19">
        <f>0.245514636</f>
        <v>0.24551463600000001</v>
      </c>
      <c r="CB19">
        <f>0.312258789</f>
        <v>0.31225878899999998</v>
      </c>
      <c r="CC19">
        <f>0.360301343</f>
        <v>0.360301343</v>
      </c>
      <c r="CD19">
        <f>0.275360722</f>
        <v>0.275360722</v>
      </c>
      <c r="CE19">
        <f>0.450321366</f>
        <v>0.450321366</v>
      </c>
      <c r="CF19">
        <f>0.100405807</f>
        <v>0.100405807</v>
      </c>
      <c r="CG19">
        <f>0.012787179</f>
        <v>1.2787178999999999E-2</v>
      </c>
    </row>
    <row r="20" spans="1:85" x14ac:dyDescent="0.25">
      <c r="A20" t="str">
        <f>"    MAN"</f>
        <v xml:space="preserve">    MAN</v>
      </c>
      <c r="B20" t="str">
        <f>"VOW GR Equity"</f>
        <v>VOW GR Equity</v>
      </c>
      <c r="E20" t="str">
        <f>"Sum"</f>
        <v>Sum</v>
      </c>
      <c r="F20" t="str">
        <f ca="1">IF(ISERROR(IF(SUM($F$21:$F$22) = 0, "", SUM($F$21:$F$22))), "", (IF(SUM($F$21:$F$22) = 0, "", SUM($F$21:$F$22))))</f>
        <v/>
      </c>
      <c r="G20" t="str">
        <f ca="1">IF(ISERROR(IF(SUM($G$21:$G$22) = 0, "", SUM($G$21:$G$22))), "", (IF(SUM($G$21:$G$22) = 0, "", SUM($G$21:$G$22))))</f>
        <v/>
      </c>
      <c r="H20" t="str">
        <f ca="1">IF(ISERROR(IF(SUM($H$21:$H$22) = 0, "", SUM($H$21:$H$22))), "", (IF(SUM($H$21:$H$22) = 0, "", SUM($H$21:$H$22))))</f>
        <v/>
      </c>
      <c r="I20" t="str">
        <f ca="1">IF(ISERROR(IF(SUM($I$21:$I$22) = 0, "", SUM($I$21:$I$22))), "", (IF(SUM($I$21:$I$22) = 0, "", SUM($I$21:$I$22))))</f>
        <v/>
      </c>
      <c r="J20" t="str">
        <f ca="1">IF(ISERROR(IF(SUM($J$21:$J$22) = 0, "", SUM($J$21:$J$22))), "", (IF(SUM($J$21:$J$22) = 0, "", SUM($J$21:$J$22))))</f>
        <v/>
      </c>
      <c r="K20" t="str">
        <f ca="1">IF(ISERROR(IF(SUM($K$21:$K$22) = 0, "", SUM($K$21:$K$22))), "", (IF(SUM($K$21:$K$22) = 0, "", SUM($K$21:$K$22))))</f>
        <v/>
      </c>
      <c r="L20" t="str">
        <f ca="1">IF(ISERROR(IF(SUM($L$21:$L$22) = 0, "", SUM($L$21:$L$22))), "", (IF(SUM($L$21:$L$22) = 0, "", SUM($L$21:$L$22))))</f>
        <v/>
      </c>
      <c r="M20" t="str">
        <f ca="1">IF(ISERROR(IF(SUM($M$21:$M$22) = 0, "", SUM($M$21:$M$22))), "", (IF(SUM($M$21:$M$22) = 0, "", SUM($M$21:$M$22))))</f>
        <v/>
      </c>
      <c r="N20" t="str">
        <f ca="1">IF(ISERROR(IF(SUM($N$21:$N$22) = 0, "", SUM($N$21:$N$22))), "", (IF(SUM($N$21:$N$22) = 0, "", SUM($N$21:$N$22))))</f>
        <v/>
      </c>
      <c r="O20" t="str">
        <f ca="1">IF(ISERROR(IF(SUM($O$21:$O$22) = 0, "", SUM($O$21:$O$22))), "", (IF(SUM($O$21:$O$22) = 0, "", SUM($O$21:$O$22))))</f>
        <v/>
      </c>
      <c r="P20">
        <f ca="1">IF(ISERROR(IF(SUM($P$21:$P$22) = 0, "", SUM($P$21:$P$22))), "", (IF(SUM($P$21:$P$22) = 0, "", SUM($P$21:$P$22))))</f>
        <v>0.31366760500000002</v>
      </c>
      <c r="Q20">
        <f ca="1">IF(ISERROR(IF(SUM($Q$21:$Q$22) = 0, "", SUM($Q$21:$Q$22))), "", (IF(SUM($Q$21:$Q$22) = 0, "", SUM($Q$21:$Q$22))))</f>
        <v>0.26641592200000003</v>
      </c>
      <c r="R20">
        <f ca="1">IF(ISERROR(IF(SUM($R$21:$R$22) = 0, "", SUM($R$21:$R$22))), "", (IF(SUM($R$21:$R$22) = 0, "", SUM($R$21:$R$22))))</f>
        <v>0.25475635499999999</v>
      </c>
      <c r="S20">
        <f ca="1">IF(ISERROR(IF(SUM($S$21:$S$22) = 0, "", SUM($S$21:$S$22))), "", (IF(SUM($S$21:$S$22) = 0, "", SUM($S$21:$S$22))))</f>
        <v>0.22739905999999999</v>
      </c>
      <c r="T20">
        <f ca="1">IF(ISERROR(IF(SUM($T$21:$T$22) = 0, "", SUM($T$21:$T$22))), "", (IF(SUM($T$21:$T$22) = 0, "", SUM($T$21:$T$22))))</f>
        <v>0.176133862</v>
      </c>
      <c r="U20">
        <f ca="1">IF(ISERROR(IF(SUM($U$21:$U$22) = 0, "", SUM($U$21:$U$22))), "", (IF(SUM($U$21:$U$22) = 0, "", SUM($U$21:$U$22))))</f>
        <v>0.17582666899999999</v>
      </c>
      <c r="V20">
        <f ca="1">IF(ISERROR(IF(SUM($V$21:$V$22) = 0, "", SUM($V$21:$V$22))), "", (IF(SUM($V$21:$V$22) = 0, "", SUM($V$21:$V$22))))</f>
        <v>0.15473716800000001</v>
      </c>
      <c r="W20">
        <f ca="1">IF(ISERROR(IF(SUM($W$21:$W$22) = 0, "", SUM($W$21:$W$22))), "", (IF(SUM($W$21:$W$22) = 0, "", SUM($W$21:$W$22))))</f>
        <v>0.187660198</v>
      </c>
      <c r="X20">
        <f ca="1">IF(ISERROR(IF(SUM($X$21:$X$22) = 0, "", SUM($X$21:$X$22))), "", (IF(SUM($X$21:$X$22) = 0, "", SUM($X$21:$X$22))))</f>
        <v>0.191405876</v>
      </c>
      <c r="Y20">
        <f ca="1">IF(ISERROR(IF(SUM($Y$21:$Y$22) = 0, "", SUM($Y$21:$Y$22))), "", (IF(SUM($Y$21:$Y$22) = 0, "", SUM($Y$21:$Y$22))))</f>
        <v>0.14518002299999999</v>
      </c>
      <c r="Z20">
        <f ca="1">IF(ISERROR(IF(SUM($Z$21:$Z$22) = 0, "", SUM($Z$21:$Z$22))), "", (IF(SUM($Z$21:$Z$22) = 0, "", SUM($Z$21:$Z$22))))</f>
        <v>0.137160274</v>
      </c>
      <c r="AA20">
        <f ca="1">IF(ISERROR(IF(SUM($AA$21:$AA$22) = 0, "", SUM($AA$21:$AA$22))), "", (IF(SUM($AA$21:$AA$22) = 0, "", SUM($AA$21:$AA$22))))</f>
        <v>0.201082753</v>
      </c>
      <c r="AB20">
        <f ca="1">IF(ISERROR(IF(SUM($AB$21:$AB$22) = 0, "", SUM($AB$21:$AB$22))), "", (IF(SUM($AB$21:$AB$22) = 0, "", SUM($AB$21:$AB$22))))</f>
        <v>0.14359452</v>
      </c>
      <c r="AC20">
        <f ca="1">IF(ISERROR(IF(SUM($AC$21:$AC$22) = 0, "", SUM($AC$21:$AC$22))), "", (IF(SUM($AC$21:$AC$22) = 0, "", SUM($AC$21:$AC$22))))</f>
        <v>0.12841366300000001</v>
      </c>
      <c r="AD20">
        <f ca="1">IF(ISERROR(IF(SUM($AD$21:$AD$22) = 0, "", SUM($AD$21:$AD$22))), "", (IF(SUM($AD$21:$AD$22) = 0, "", SUM($AD$21:$AD$22))))</f>
        <v>0.116516167</v>
      </c>
      <c r="AE20">
        <f ca="1">IF(ISERROR(IF(SUM($AE$21:$AE$22) = 0, "", SUM($AE$21:$AE$22))), "", (IF(SUM($AE$21:$AE$22) = 0, "", SUM($AE$21:$AE$22))))</f>
        <v>0.100743955</v>
      </c>
      <c r="AF20">
        <f ca="1">IF(ISERROR(IF(SUM($AF$21:$AF$22) = 0, "", SUM($AF$21:$AF$22))), "", (IF(SUM($AF$21:$AF$22) = 0, "", SUM($AF$21:$AF$22))))</f>
        <v>9.8675472E-2</v>
      </c>
      <c r="AG20">
        <f ca="1">IF(ISERROR(IF(SUM($AG$21:$AG$22) = 0, "", SUM($AG$21:$AG$22))), "", (IF(SUM($AG$21:$AG$22) = 0, "", SUM($AG$21:$AG$22))))</f>
        <v>9.2585998000000003E-2</v>
      </c>
      <c r="AH20">
        <f ca="1">IF(ISERROR(IF(SUM($AH$21:$AH$22) = 0, "", SUM($AH$21:$AH$22))), "", (IF(SUM($AH$21:$AH$22) = 0, "", SUM($AH$21:$AH$22))))</f>
        <v>8.3595265000000002E-2</v>
      </c>
      <c r="AI20">
        <f ca="1">IF(ISERROR(IF(SUM($AI$21:$AI$22) = 0, "", SUM($AI$21:$AI$22))), "", (IF(SUM($AI$21:$AI$22) = 0, "", SUM($AI$21:$AI$22))))</f>
        <v>8.8892323999999995E-2</v>
      </c>
      <c r="AJ20">
        <f ca="1">IF(ISERROR(IF(SUM($AJ$21:$AJ$22) = 0, "", SUM($AJ$21:$AJ$22))), "", (IF(SUM($AJ$21:$AJ$22) = 0, "", SUM($AJ$21:$AJ$22))))</f>
        <v>8.7824350999999995E-2</v>
      </c>
      <c r="AK20">
        <f ca="1">IF(ISERROR(IF(SUM($AK$21:$AK$22) = 0, "", SUM($AK$21:$AK$22))), "", (IF(SUM($AK$21:$AK$22) = 0, "", SUM($AK$21:$AK$22))))</f>
        <v>0.115051972</v>
      </c>
      <c r="AL20">
        <f ca="1">IF(ISERROR(IF(SUM($AL$21:$AL$22) = 0, "", SUM($AL$21:$AL$22))), "", (IF(SUM($AL$21:$AL$22) = 0, "", SUM($AL$21:$AL$22))))</f>
        <v>0.124578969</v>
      </c>
      <c r="AM20">
        <f ca="1">IF(ISERROR(IF(SUM($AM$21:$AM$22) = 0, "", SUM($AM$21:$AM$22))), "", (IF(SUM($AM$21:$AM$22) = 0, "", SUM($AM$21:$AM$22))))</f>
        <v>0.13692162399999999</v>
      </c>
      <c r="AN20">
        <f ca="1">IF(ISERROR(IF(SUM($AN$21:$AN$22) = 0, "", SUM($AN$21:$AN$22))), "", (IF(SUM($AN$21:$AN$22) = 0, "", SUM($AN$21:$AN$22))))</f>
        <v>0.11227282299999999</v>
      </c>
      <c r="AO20">
        <f ca="1">IF(ISERROR(IF(SUM($AO$21:$AO$22) = 0, "", SUM($AO$21:$AO$22))), "", (IF(SUM($AO$21:$AO$22) = 0, "", SUM($AO$21:$AO$22))))</f>
        <v>0.13569790800000001</v>
      </c>
      <c r="AP20">
        <f ca="1">IF(ISERROR(IF(SUM($AP$21:$AP$22) = 0, "", SUM($AP$21:$AP$22))), "", (IF(SUM($AP$21:$AP$22) = 0, "", SUM($AP$21:$AP$22))))</f>
        <v>0.106472813</v>
      </c>
      <c r="AQ20">
        <f ca="1">IF(ISERROR(IF(SUM($AQ$21:$AQ$22) = 0, "", SUM($AQ$21:$AQ$22))), "", (IF(SUM($AQ$21:$AQ$22) = 0, "", SUM($AQ$21:$AQ$22))))</f>
        <v>0.106439596</v>
      </c>
      <c r="AR20">
        <f ca="1">IF(ISERROR(IF(SUM($AR$21:$AR$22) = 0, "", SUM($AR$21:$AR$22))), "", (IF(SUM($AR$21:$AR$22) = 0, "", SUM($AR$21:$AR$22))))</f>
        <v>4.1835753000000003E-2</v>
      </c>
      <c r="AS20">
        <f ca="1">IF(ISERROR(IF(SUM($AS$21:$AS$22) = 0, "", SUM($AS$21:$AS$22))), "", (IF(SUM($AS$21:$AS$22) = 0, "", SUM($AS$21:$AS$22))))</f>
        <v>0.144921359</v>
      </c>
      <c r="AT20" t="str">
        <f>""</f>
        <v/>
      </c>
      <c r="AU20" t="str">
        <f>""</f>
        <v/>
      </c>
      <c r="AV20" t="str">
        <f>""</f>
        <v/>
      </c>
      <c r="AW20" t="str">
        <f>""</f>
        <v/>
      </c>
      <c r="AX20" t="str">
        <f>""</f>
        <v/>
      </c>
      <c r="AY20" t="str">
        <f>""</f>
        <v/>
      </c>
      <c r="AZ20" t="str">
        <f>""</f>
        <v/>
      </c>
      <c r="BA20" t="str">
        <f>""</f>
        <v/>
      </c>
      <c r="BB20" t="str">
        <f>""</f>
        <v/>
      </c>
      <c r="BC20" t="str">
        <f>""</f>
        <v/>
      </c>
      <c r="BD20">
        <f>0.313667605</f>
        <v>0.31366760500000002</v>
      </c>
      <c r="BE20">
        <f>0.266415922</f>
        <v>0.26641592200000003</v>
      </c>
      <c r="BF20">
        <f>0.254756355</f>
        <v>0.25475635499999999</v>
      </c>
      <c r="BG20">
        <f>0.22739906</f>
        <v>0.22739905999999999</v>
      </c>
      <c r="BH20">
        <f>0.176133862</f>
        <v>0.176133862</v>
      </c>
      <c r="BI20">
        <f>0.175826669</f>
        <v>0.17582666899999999</v>
      </c>
      <c r="BJ20">
        <f>0.154737168</f>
        <v>0.15473716800000001</v>
      </c>
      <c r="BK20">
        <f>0.187660198</f>
        <v>0.187660198</v>
      </c>
      <c r="BL20">
        <f>0.191405876</f>
        <v>0.191405876</v>
      </c>
      <c r="BM20">
        <f>0.145180023</f>
        <v>0.14518002299999999</v>
      </c>
      <c r="BN20">
        <f>0.137160274</f>
        <v>0.137160274</v>
      </c>
      <c r="BO20">
        <f>0.201082753</f>
        <v>0.201082753</v>
      </c>
      <c r="BP20">
        <f>0.14359452</f>
        <v>0.14359452</v>
      </c>
      <c r="BQ20">
        <f>0.128413663</f>
        <v>0.12841366300000001</v>
      </c>
      <c r="BR20">
        <f>0.116516167</f>
        <v>0.116516167</v>
      </c>
      <c r="BS20">
        <f>0.100743955</f>
        <v>0.100743955</v>
      </c>
      <c r="BT20">
        <f>0.098675472</f>
        <v>9.8675472E-2</v>
      </c>
      <c r="BU20">
        <f>0.092585998</f>
        <v>9.2585998000000003E-2</v>
      </c>
      <c r="BV20">
        <f>0.083595265</f>
        <v>8.3595265000000002E-2</v>
      </c>
      <c r="BW20">
        <f>0.088892324</f>
        <v>8.8892323999999995E-2</v>
      </c>
      <c r="BX20">
        <f>0.087824351</f>
        <v>8.7824350999999995E-2</v>
      </c>
      <c r="BY20">
        <f>0.115051972</f>
        <v>0.115051972</v>
      </c>
      <c r="BZ20">
        <f>0.124578969</f>
        <v>0.124578969</v>
      </c>
      <c r="CA20">
        <f>0.136921624</f>
        <v>0.13692162399999999</v>
      </c>
      <c r="CB20">
        <f>0.112272823</f>
        <v>0.11227282299999999</v>
      </c>
      <c r="CC20">
        <f>0.135697908</f>
        <v>0.13569790800000001</v>
      </c>
      <c r="CD20">
        <f>0.106472813</f>
        <v>0.106472813</v>
      </c>
      <c r="CE20">
        <f>0.106439596</f>
        <v>0.106439596</v>
      </c>
      <c r="CF20">
        <f>0.041835753</f>
        <v>4.1835753000000003E-2</v>
      </c>
      <c r="CG20">
        <f>0.144921359</f>
        <v>0.144921359</v>
      </c>
    </row>
    <row r="21" spans="1:85" x14ac:dyDescent="0.25">
      <c r="A21" t="str">
        <f>"        MAN"</f>
        <v xml:space="preserve">        MAN</v>
      </c>
      <c r="B21" t="str">
        <f>"VOW GR Equity"</f>
        <v>VOW GR Equity</v>
      </c>
      <c r="E21" t="str">
        <f>"Expression"</f>
        <v>Expression</v>
      </c>
      <c r="F21" t="str">
        <f ca="1">IF(AND($B$294=1,LEN($F$173) * LEN($F$162)&gt;0),$F$173/$F$162*100,HLOOKUP(INDIRECT(ADDRESS(2,COLUMN())),OFFSET($AT$2,0,0,ROW()-1,40),ROW()-1,FALSE))</f>
        <v/>
      </c>
      <c r="G21" t="str">
        <f ca="1">IF(AND($B$294=1,LEN($G$173) * LEN($G$162)&gt;0),$G$173/$G$162*100,HLOOKUP(INDIRECT(ADDRESS(2,COLUMN())),OFFSET($AT$2,0,0,ROW()-1,40),ROW()-1,FALSE))</f>
        <v/>
      </c>
      <c r="H21" t="str">
        <f ca="1">IF(AND($B$294=1,LEN($H$173) * LEN($H$162)&gt;0),$H$173/$H$162*100,HLOOKUP(INDIRECT(ADDRESS(2,COLUMN())),OFFSET($AT$2,0,0,ROW()-1,40),ROW()-1,FALSE))</f>
        <v/>
      </c>
      <c r="I21" t="str">
        <f ca="1">IF(AND($B$294=1,LEN($I$173) * LEN($I$162)&gt;0),$I$173/$I$162*100,HLOOKUP(INDIRECT(ADDRESS(2,COLUMN())),OFFSET($AT$2,0,0,ROW()-1,40),ROW()-1,FALSE))</f>
        <v/>
      </c>
      <c r="J21" t="str">
        <f ca="1">IF(AND($B$294=1,LEN($J$173) * LEN($J$162)&gt;0),$J$173/$J$162*100,HLOOKUP(INDIRECT(ADDRESS(2,COLUMN())),OFFSET($AT$2,0,0,ROW()-1,40),ROW()-1,FALSE))</f>
        <v/>
      </c>
      <c r="K21" t="str">
        <f ca="1">IF(AND($B$294=1,LEN($K$173) * LEN($K$162)&gt;0),$K$173/$K$162*100,HLOOKUP(INDIRECT(ADDRESS(2,COLUMN())),OFFSET($AT$2,0,0,ROW()-1,40),ROW()-1,FALSE))</f>
        <v/>
      </c>
      <c r="L21" t="str">
        <f ca="1">IF(AND($B$294=1,LEN($L$173) * LEN($L$162)&gt;0),$L$173/$L$162*100,HLOOKUP(INDIRECT(ADDRESS(2,COLUMN())),OFFSET($AT$2,0,0,ROW()-1,40),ROW()-1,FALSE))</f>
        <v/>
      </c>
      <c r="M21" t="str">
        <f ca="1">IF(AND($B$294=1,LEN($M$173) * LEN($M$162)&gt;0),$M$173/$M$162*100,HLOOKUP(INDIRECT(ADDRESS(2,COLUMN())),OFFSET($AT$2,0,0,ROW()-1,40),ROW()-1,FALSE))</f>
        <v/>
      </c>
      <c r="N21" t="str">
        <f ca="1">IF(AND($B$294=1,LEN($N$173) * LEN($N$162)&gt;0),$N$173/$N$162*100,HLOOKUP(INDIRECT(ADDRESS(2,COLUMN())),OFFSET($AT$2,0,0,ROW()-1,40),ROW()-1,FALSE))</f>
        <v/>
      </c>
      <c r="O21" t="str">
        <f ca="1">IF(AND($B$294=1,LEN($O$173) * LEN($O$162)&gt;0),$O$173/$O$162*100,HLOOKUP(INDIRECT(ADDRESS(2,COLUMN())),OFFSET($AT$2,0,0,ROW()-1,40),ROW()-1,FALSE))</f>
        <v/>
      </c>
      <c r="P21">
        <f ca="1">IF(AND($B$294=1,LEN($P$173) * LEN($P$162)&gt;0),$P$173/$P$162*100,HLOOKUP(INDIRECT(ADDRESS(2,COLUMN())),OFFSET($AT$2,0,0,ROW()-1,40),ROW()-1,FALSE))</f>
        <v>0.31366760500000002</v>
      </c>
      <c r="Q21">
        <f ca="1">IF(AND($B$294=1,LEN($Q$173) * LEN($Q$162)&gt;0),$Q$173/$Q$162*100,HLOOKUP(INDIRECT(ADDRESS(2,COLUMN())),OFFSET($AT$2,0,0,ROW()-1,40),ROW()-1,FALSE))</f>
        <v>0.26641592200000003</v>
      </c>
      <c r="R21">
        <f ca="1">IF(AND($B$294=1,LEN($R$173) * LEN($R$162)&gt;0),$R$173/$R$162*100,HLOOKUP(INDIRECT(ADDRESS(2,COLUMN())),OFFSET($AT$2,0,0,ROW()-1,40),ROW()-1,FALSE))</f>
        <v>0.25475635499999999</v>
      </c>
      <c r="S21">
        <f ca="1">IF(AND($B$294=1,LEN($S$173) * LEN($S$162)&gt;0),$S$173/$S$162*100,HLOOKUP(INDIRECT(ADDRESS(2,COLUMN())),OFFSET($AT$2,0,0,ROW()-1,40),ROW()-1,FALSE))</f>
        <v>0.22739905999999999</v>
      </c>
      <c r="T21">
        <f ca="1">IF(AND($B$294=1,LEN($T$173) * LEN($T$162)&gt;0),$T$173/$T$162*100,HLOOKUP(INDIRECT(ADDRESS(2,COLUMN())),OFFSET($AT$2,0,0,ROW()-1,40),ROW()-1,FALSE))</f>
        <v>0.176133862</v>
      </c>
      <c r="U21">
        <f ca="1">IF(AND($B$294=1,LEN($U$173) * LEN($U$162)&gt;0),$U$173/$U$162*100,HLOOKUP(INDIRECT(ADDRESS(2,COLUMN())),OFFSET($AT$2,0,0,ROW()-1,40),ROW()-1,FALSE))</f>
        <v>0.17582666899999999</v>
      </c>
      <c r="V21">
        <f ca="1">IF(AND($B$294=1,LEN($V$173) * LEN($V$162)&gt;0),$V$173/$V$162*100,HLOOKUP(INDIRECT(ADDRESS(2,COLUMN())),OFFSET($AT$2,0,0,ROW()-1,40),ROW()-1,FALSE))</f>
        <v>0.15473716800000001</v>
      </c>
      <c r="W21">
        <f ca="1">IF(AND($B$294=1,LEN($W$173) * LEN($W$162)&gt;0),$W$173/$W$162*100,HLOOKUP(INDIRECT(ADDRESS(2,COLUMN())),OFFSET($AT$2,0,0,ROW()-1,40),ROW()-1,FALSE))</f>
        <v>0.187660198</v>
      </c>
      <c r="X21">
        <f ca="1">IF(AND($B$294=1,LEN($X$173) * LEN($X$162)&gt;0),$X$173/$X$162*100,HLOOKUP(INDIRECT(ADDRESS(2,COLUMN())),OFFSET($AT$2,0,0,ROW()-1,40),ROW()-1,FALSE))</f>
        <v>0.191405876</v>
      </c>
      <c r="Y21">
        <f ca="1">IF(AND($B$294=1,LEN($Y$173) * LEN($Y$162)&gt;0),$Y$173/$Y$162*100,HLOOKUP(INDIRECT(ADDRESS(2,COLUMN())),OFFSET($AT$2,0,0,ROW()-1,40),ROW()-1,FALSE))</f>
        <v>0.14518002299999999</v>
      </c>
      <c r="Z21">
        <f ca="1">IF(AND($B$294=1,LEN($Z$173) * LEN($Z$162)&gt;0),$Z$173/$Z$162*100,HLOOKUP(INDIRECT(ADDRESS(2,COLUMN())),OFFSET($AT$2,0,0,ROW()-1,40),ROW()-1,FALSE))</f>
        <v>0.137160274</v>
      </c>
      <c r="AA21">
        <f ca="1">IF(AND($B$294=1,LEN($AA$173) * LEN($AA$162)&gt;0),$AA$173/$AA$162*100,HLOOKUP(INDIRECT(ADDRESS(2,COLUMN())),OFFSET($AT$2,0,0,ROW()-1,40),ROW()-1,FALSE))</f>
        <v>0.201082753</v>
      </c>
      <c r="AB21">
        <f ca="1">IF(AND($B$294=1,LEN($AB$173) * LEN($AB$162)&gt;0),$AB$173/$AB$162*100,HLOOKUP(INDIRECT(ADDRESS(2,COLUMN())),OFFSET($AT$2,0,0,ROW()-1,40),ROW()-1,FALSE))</f>
        <v>0.14359452</v>
      </c>
      <c r="AC21">
        <f ca="1">IF(AND($B$294=1,LEN($AC$173) * LEN($AC$162)&gt;0),$AC$173/$AC$162*100,HLOOKUP(INDIRECT(ADDRESS(2,COLUMN())),OFFSET($AT$2,0,0,ROW()-1,40),ROW()-1,FALSE))</f>
        <v>0.12841366300000001</v>
      </c>
      <c r="AD21">
        <f ca="1">IF(AND($B$294=1,LEN($AD$173) * LEN($AD$162)&gt;0),$AD$173/$AD$162*100,HLOOKUP(INDIRECT(ADDRESS(2,COLUMN())),OFFSET($AT$2,0,0,ROW()-1,40),ROW()-1,FALSE))</f>
        <v>0.116516167</v>
      </c>
      <c r="AE21">
        <f ca="1">IF(AND($B$294=1,LEN($AE$173) * LEN($AE$162)&gt;0),$AE$173/$AE$162*100,HLOOKUP(INDIRECT(ADDRESS(2,COLUMN())),OFFSET($AT$2,0,0,ROW()-1,40),ROW()-1,FALSE))</f>
        <v>0.100743955</v>
      </c>
      <c r="AF21">
        <f ca="1">IF(AND($B$294=1,LEN($AF$173) * LEN($AF$162)&gt;0),$AF$173/$AF$162*100,HLOOKUP(INDIRECT(ADDRESS(2,COLUMN())),OFFSET($AT$2,0,0,ROW()-1,40),ROW()-1,FALSE))</f>
        <v>9.8675472E-2</v>
      </c>
      <c r="AG21">
        <f ca="1">IF(AND($B$294=1,LEN($AG$173) * LEN($AG$162)&gt;0),$AG$173/$AG$162*100,HLOOKUP(INDIRECT(ADDRESS(2,COLUMN())),OFFSET($AT$2,0,0,ROW()-1,40),ROW()-1,FALSE))</f>
        <v>9.2585998000000003E-2</v>
      </c>
      <c r="AH21">
        <f ca="1">IF(AND($B$294=1,LEN($AH$173) * LEN($AH$162)&gt;0),$AH$173/$AH$162*100,HLOOKUP(INDIRECT(ADDRESS(2,COLUMN())),OFFSET($AT$2,0,0,ROW()-1,40),ROW()-1,FALSE))</f>
        <v>8.3595265000000002E-2</v>
      </c>
      <c r="AI21">
        <f ca="1">IF(AND($B$294=1,LEN($AI$173) * LEN($AI$162)&gt;0),$AI$173/$AI$162*100,HLOOKUP(INDIRECT(ADDRESS(2,COLUMN())),OFFSET($AT$2,0,0,ROW()-1,40),ROW()-1,FALSE))</f>
        <v>8.8892323999999995E-2</v>
      </c>
      <c r="AJ21">
        <f ca="1">IF(AND($B$294=1,LEN($AJ$173) * LEN($AJ$162)&gt;0),$AJ$173/$AJ$162*100,HLOOKUP(INDIRECT(ADDRESS(2,COLUMN())),OFFSET($AT$2,0,0,ROW()-1,40),ROW()-1,FALSE))</f>
        <v>8.7824350999999995E-2</v>
      </c>
      <c r="AK21">
        <f ca="1">IF(AND($B$294=1,LEN($AK$173) * LEN($AK$162)&gt;0),$AK$173/$AK$162*100,HLOOKUP(INDIRECT(ADDRESS(2,COLUMN())),OFFSET($AT$2,0,0,ROW()-1,40),ROW()-1,FALSE))</f>
        <v>0.115051972</v>
      </c>
      <c r="AL21">
        <f ca="1">IF(AND($B$294=1,LEN($AL$173) * LEN($AL$162)&gt;0),$AL$173/$AL$162*100,HLOOKUP(INDIRECT(ADDRESS(2,COLUMN())),OFFSET($AT$2,0,0,ROW()-1,40),ROW()-1,FALSE))</f>
        <v>0.124578969</v>
      </c>
      <c r="AM21">
        <f ca="1">IF(AND($B$294=1,LEN($AM$173) * LEN($AM$162)&gt;0),$AM$173/$AM$162*100,HLOOKUP(INDIRECT(ADDRESS(2,COLUMN())),OFFSET($AT$2,0,0,ROW()-1,40),ROW()-1,FALSE))</f>
        <v>0.13692162399999999</v>
      </c>
      <c r="AN21">
        <f ca="1">IF(AND($B$294=1,LEN($AN$173) * LEN($AN$162)&gt;0),$AN$173/$AN$162*100,HLOOKUP(INDIRECT(ADDRESS(2,COLUMN())),OFFSET($AT$2,0,0,ROW()-1,40),ROW()-1,FALSE))</f>
        <v>0.11227282299999999</v>
      </c>
      <c r="AO21">
        <f ca="1">IF(AND($B$294=1,LEN($AO$173) * LEN($AO$162)&gt;0),$AO$173/$AO$162*100,HLOOKUP(INDIRECT(ADDRESS(2,COLUMN())),OFFSET($AT$2,0,0,ROW()-1,40),ROW()-1,FALSE))</f>
        <v>0.13569790800000001</v>
      </c>
      <c r="AP21">
        <f ca="1">IF(AND($B$294=1,LEN($AP$173) * LEN($AP$162)&gt;0),$AP$173/$AP$162*100,HLOOKUP(INDIRECT(ADDRESS(2,COLUMN())),OFFSET($AT$2,0,0,ROW()-1,40),ROW()-1,FALSE))</f>
        <v>0.106472813</v>
      </c>
      <c r="AQ21">
        <f ca="1">IF(AND($B$294=1,LEN($AQ$173) * LEN($AQ$162)&gt;0),$AQ$173/$AQ$162*100,HLOOKUP(INDIRECT(ADDRESS(2,COLUMN())),OFFSET($AT$2,0,0,ROW()-1,40),ROW()-1,FALSE))</f>
        <v>0.106439596</v>
      </c>
      <c r="AR21">
        <f ca="1">IF(AND($B$294=1,LEN($AR$173) * LEN($AR$162)&gt;0),$AR$173/$AR$162*100,HLOOKUP(INDIRECT(ADDRESS(2,COLUMN())),OFFSET($AT$2,0,0,ROW()-1,40),ROW()-1,FALSE))</f>
        <v>4.1835753000000003E-2</v>
      </c>
      <c r="AS21">
        <f ca="1">IF(AND($B$294=1,LEN($AS$173) * LEN($AS$162)&gt;0),$AS$173/$AS$162*100,HLOOKUP(INDIRECT(ADDRESS(2,COLUMN())),OFFSET($AT$2,0,0,ROW()-1,40),ROW()-1,FALSE))</f>
        <v>0.144921359</v>
      </c>
      <c r="AT21" t="str">
        <f>""</f>
        <v/>
      </c>
      <c r="AU21" t="str">
        <f>""</f>
        <v/>
      </c>
      <c r="AV21" t="str">
        <f>""</f>
        <v/>
      </c>
      <c r="AW21" t="str">
        <f>""</f>
        <v/>
      </c>
      <c r="AX21" t="str">
        <f>""</f>
        <v/>
      </c>
      <c r="AY21" t="str">
        <f>""</f>
        <v/>
      </c>
      <c r="AZ21" t="str">
        <f>""</f>
        <v/>
      </c>
      <c r="BA21" t="str">
        <f>""</f>
        <v/>
      </c>
      <c r="BB21" t="str">
        <f>""</f>
        <v/>
      </c>
      <c r="BC21" t="str">
        <f>""</f>
        <v/>
      </c>
      <c r="BD21">
        <f>0.313667605</f>
        <v>0.31366760500000002</v>
      </c>
      <c r="BE21">
        <f>0.266415922</f>
        <v>0.26641592200000003</v>
      </c>
      <c r="BF21">
        <f>0.254756355</f>
        <v>0.25475635499999999</v>
      </c>
      <c r="BG21">
        <f>0.22739906</f>
        <v>0.22739905999999999</v>
      </c>
      <c r="BH21">
        <f>0.176133862</f>
        <v>0.176133862</v>
      </c>
      <c r="BI21">
        <f>0.175826669</f>
        <v>0.17582666899999999</v>
      </c>
      <c r="BJ21">
        <f>0.154737168</f>
        <v>0.15473716800000001</v>
      </c>
      <c r="BK21">
        <f>0.187660198</f>
        <v>0.187660198</v>
      </c>
      <c r="BL21">
        <f>0.191405876</f>
        <v>0.191405876</v>
      </c>
      <c r="BM21">
        <f>0.145180023</f>
        <v>0.14518002299999999</v>
      </c>
      <c r="BN21">
        <f>0.137160274</f>
        <v>0.137160274</v>
      </c>
      <c r="BO21">
        <f>0.201082753</f>
        <v>0.201082753</v>
      </c>
      <c r="BP21">
        <f>0.14359452</f>
        <v>0.14359452</v>
      </c>
      <c r="BQ21">
        <f>0.128413663</f>
        <v>0.12841366300000001</v>
      </c>
      <c r="BR21">
        <f>0.116516167</f>
        <v>0.116516167</v>
      </c>
      <c r="BS21">
        <f>0.100743955</f>
        <v>0.100743955</v>
      </c>
      <c r="BT21">
        <f>0.098675472</f>
        <v>9.8675472E-2</v>
      </c>
      <c r="BU21">
        <f>0.092585998</f>
        <v>9.2585998000000003E-2</v>
      </c>
      <c r="BV21">
        <f>0.083595265</f>
        <v>8.3595265000000002E-2</v>
      </c>
      <c r="BW21">
        <f>0.088892324</f>
        <v>8.8892323999999995E-2</v>
      </c>
      <c r="BX21">
        <f>0.087824351</f>
        <v>8.7824350999999995E-2</v>
      </c>
      <c r="BY21">
        <f>0.115051972</f>
        <v>0.115051972</v>
      </c>
      <c r="BZ21">
        <f>0.124578969</f>
        <v>0.124578969</v>
      </c>
      <c r="CA21">
        <f>0.136921624</f>
        <v>0.13692162399999999</v>
      </c>
      <c r="CB21">
        <f>0.112272823</f>
        <v>0.11227282299999999</v>
      </c>
      <c r="CC21">
        <f>0.135697908</f>
        <v>0.13569790800000001</v>
      </c>
      <c r="CD21">
        <f>0.106472813</f>
        <v>0.106472813</v>
      </c>
      <c r="CE21">
        <f>0.106439596</f>
        <v>0.106439596</v>
      </c>
      <c r="CF21">
        <f>0.041835753</f>
        <v>4.1835753000000003E-2</v>
      </c>
      <c r="CG21">
        <f>0.144921359</f>
        <v>0.144921359</v>
      </c>
    </row>
    <row r="22" spans="1:85" x14ac:dyDescent="0.25">
      <c r="A22" t="str">
        <f>"        Volkswagen"</f>
        <v xml:space="preserve">        Volkswagen</v>
      </c>
      <c r="B22" t="str">
        <f>"VOW GR Equity"</f>
        <v>VOW GR Equity</v>
      </c>
      <c r="E22" t="str">
        <f>"Expression"</f>
        <v>Expression</v>
      </c>
      <c r="F22" t="str">
        <f ca="1">IF(AND($B$294=1,LEN($F$174) * LEN($F$162)&gt;0),$F$174/$F$162*100,HLOOKUP(INDIRECT(ADDRESS(2,COLUMN())),OFFSET($AT$2,0,0,ROW()-1,40),ROW()-1,FALSE))</f>
        <v/>
      </c>
      <c r="G22" t="str">
        <f ca="1">IF(AND($B$294=1,LEN($G$174) * LEN($G$162)&gt;0),$G$174/$G$162*100,HLOOKUP(INDIRECT(ADDRESS(2,COLUMN())),OFFSET($AT$2,0,0,ROW()-1,40),ROW()-1,FALSE))</f>
        <v/>
      </c>
      <c r="H22" t="str">
        <f ca="1">IF(AND($B$294=1,LEN($H$174) * LEN($H$162)&gt;0),$H$174/$H$162*100,HLOOKUP(INDIRECT(ADDRESS(2,COLUMN())),OFFSET($AT$2,0,0,ROW()-1,40),ROW()-1,FALSE))</f>
        <v/>
      </c>
      <c r="I22" t="str">
        <f ca="1">IF(AND($B$294=1,LEN($I$174) * LEN($I$162)&gt;0),$I$174/$I$162*100,HLOOKUP(INDIRECT(ADDRESS(2,COLUMN())),OFFSET($AT$2,0,0,ROW()-1,40),ROW()-1,FALSE))</f>
        <v/>
      </c>
      <c r="J22" t="str">
        <f ca="1">IF(AND($B$294=1,LEN($J$174) * LEN($J$162)&gt;0),$J$174/$J$162*100,HLOOKUP(INDIRECT(ADDRESS(2,COLUMN())),OFFSET($AT$2,0,0,ROW()-1,40),ROW()-1,FALSE))</f>
        <v/>
      </c>
      <c r="K22" t="str">
        <f ca="1">IF(AND($B$294=1,LEN($K$174) * LEN($K$162)&gt;0),$K$174/$K$162*100,HLOOKUP(INDIRECT(ADDRESS(2,COLUMN())),OFFSET($AT$2,0,0,ROW()-1,40),ROW()-1,FALSE))</f>
        <v/>
      </c>
      <c r="L22" t="str">
        <f ca="1">IF(AND($B$294=1,LEN($L$174) * LEN($L$162)&gt;0),$L$174/$L$162*100,HLOOKUP(INDIRECT(ADDRESS(2,COLUMN())),OFFSET($AT$2,0,0,ROW()-1,40),ROW()-1,FALSE))</f>
        <v/>
      </c>
      <c r="M22" t="str">
        <f ca="1">IF(AND($B$294=1,LEN($M$174) * LEN($M$162)&gt;0),$M$174/$M$162*100,HLOOKUP(INDIRECT(ADDRESS(2,COLUMN())),OFFSET($AT$2,0,0,ROW()-1,40),ROW()-1,FALSE))</f>
        <v/>
      </c>
      <c r="N22" t="str">
        <f ca="1">IF(AND($B$294=1,LEN($N$174) * LEN($N$162)&gt;0),$N$174/$N$162*100,HLOOKUP(INDIRECT(ADDRESS(2,COLUMN())),OFFSET($AT$2,0,0,ROW()-1,40),ROW()-1,FALSE))</f>
        <v/>
      </c>
      <c r="O22" t="str">
        <f ca="1">IF(AND($B$294=1,LEN($O$174) * LEN($O$162)&gt;0),$O$174/$O$162*100,HLOOKUP(INDIRECT(ADDRESS(2,COLUMN())),OFFSET($AT$2,0,0,ROW()-1,40),ROW()-1,FALSE))</f>
        <v/>
      </c>
      <c r="P22" t="str">
        <f ca="1">IF(AND($B$294=1,LEN($P$174) * LEN($P$162)&gt;0),$P$174/$P$162*100,HLOOKUP(INDIRECT(ADDRESS(2,COLUMN())),OFFSET($AT$2,0,0,ROW()-1,40),ROW()-1,FALSE))</f>
        <v/>
      </c>
      <c r="Q22" t="str">
        <f ca="1">IF(AND($B$294=1,LEN($Q$174) * LEN($Q$162)&gt;0),$Q$174/$Q$162*100,HLOOKUP(INDIRECT(ADDRESS(2,COLUMN())),OFFSET($AT$2,0,0,ROW()-1,40),ROW()-1,FALSE))</f>
        <v/>
      </c>
      <c r="R22" t="str">
        <f ca="1">IF(AND($B$294=1,LEN($R$174) * LEN($R$162)&gt;0),$R$174/$R$162*100,HLOOKUP(INDIRECT(ADDRESS(2,COLUMN())),OFFSET($AT$2,0,0,ROW()-1,40),ROW()-1,FALSE))</f>
        <v/>
      </c>
      <c r="S22" t="str">
        <f ca="1">IF(AND($B$294=1,LEN($S$174) * LEN($S$162)&gt;0),$S$174/$S$162*100,HLOOKUP(INDIRECT(ADDRESS(2,COLUMN())),OFFSET($AT$2,0,0,ROW()-1,40),ROW()-1,FALSE))</f>
        <v/>
      </c>
      <c r="T22" t="str">
        <f ca="1">IF(AND($B$294=1,LEN($T$174) * LEN($T$162)&gt;0),$T$174/$T$162*100,HLOOKUP(INDIRECT(ADDRESS(2,COLUMN())),OFFSET($AT$2,0,0,ROW()-1,40),ROW()-1,FALSE))</f>
        <v/>
      </c>
      <c r="U22" t="str">
        <f ca="1">IF(AND($B$294=1,LEN($U$174) * LEN($U$162)&gt;0),$U$174/$U$162*100,HLOOKUP(INDIRECT(ADDRESS(2,COLUMN())),OFFSET($AT$2,0,0,ROW()-1,40),ROW()-1,FALSE))</f>
        <v/>
      </c>
      <c r="V22" t="str">
        <f ca="1">IF(AND($B$294=1,LEN($V$174) * LEN($V$162)&gt;0),$V$174/$V$162*100,HLOOKUP(INDIRECT(ADDRESS(2,COLUMN())),OFFSET($AT$2,0,0,ROW()-1,40),ROW()-1,FALSE))</f>
        <v/>
      </c>
      <c r="W22" t="str">
        <f ca="1">IF(AND($B$294=1,LEN($W$174) * LEN($W$162)&gt;0),$W$174/$W$162*100,HLOOKUP(INDIRECT(ADDRESS(2,COLUMN())),OFFSET($AT$2,0,0,ROW()-1,40),ROW()-1,FALSE))</f>
        <v/>
      </c>
      <c r="X22" t="str">
        <f ca="1">IF(AND($B$294=1,LEN($X$174) * LEN($X$162)&gt;0),$X$174/$X$162*100,HLOOKUP(INDIRECT(ADDRESS(2,COLUMN())),OFFSET($AT$2,0,0,ROW()-1,40),ROW()-1,FALSE))</f>
        <v/>
      </c>
      <c r="Y22" t="str">
        <f ca="1">IF(AND($B$294=1,LEN($Y$174) * LEN($Y$162)&gt;0),$Y$174/$Y$162*100,HLOOKUP(INDIRECT(ADDRESS(2,COLUMN())),OFFSET($AT$2,0,0,ROW()-1,40),ROW()-1,FALSE))</f>
        <v/>
      </c>
      <c r="Z22" t="str">
        <f ca="1">IF(AND($B$294=1,LEN($Z$174) * LEN($Z$162)&gt;0),$Z$174/$Z$162*100,HLOOKUP(INDIRECT(ADDRESS(2,COLUMN())),OFFSET($AT$2,0,0,ROW()-1,40),ROW()-1,FALSE))</f>
        <v/>
      </c>
      <c r="AA22" t="str">
        <f ca="1">IF(AND($B$294=1,LEN($AA$174) * LEN($AA$162)&gt;0),$AA$174/$AA$162*100,HLOOKUP(INDIRECT(ADDRESS(2,COLUMN())),OFFSET($AT$2,0,0,ROW()-1,40),ROW()-1,FALSE))</f>
        <v/>
      </c>
      <c r="AB22" t="str">
        <f ca="1">IF(AND($B$294=1,LEN($AB$174) * LEN($AB$162)&gt;0),$AB$174/$AB$162*100,HLOOKUP(INDIRECT(ADDRESS(2,COLUMN())),OFFSET($AT$2,0,0,ROW()-1,40),ROW()-1,FALSE))</f>
        <v/>
      </c>
      <c r="AC22" t="str">
        <f ca="1">IF(AND($B$294=1,LEN($AC$174) * LEN($AC$162)&gt;0),$AC$174/$AC$162*100,HLOOKUP(INDIRECT(ADDRESS(2,COLUMN())),OFFSET($AT$2,0,0,ROW()-1,40),ROW()-1,FALSE))</f>
        <v/>
      </c>
      <c r="AD22" t="str">
        <f ca="1">IF(AND($B$294=1,LEN($AD$174) * LEN($AD$162)&gt;0),$AD$174/$AD$162*100,HLOOKUP(INDIRECT(ADDRESS(2,COLUMN())),OFFSET($AT$2,0,0,ROW()-1,40),ROW()-1,FALSE))</f>
        <v/>
      </c>
      <c r="AE22" t="str">
        <f ca="1">IF(AND($B$294=1,LEN($AE$174) * LEN($AE$162)&gt;0),$AE$174/$AE$162*100,HLOOKUP(INDIRECT(ADDRESS(2,COLUMN())),OFFSET($AT$2,0,0,ROW()-1,40),ROW()-1,FALSE))</f>
        <v/>
      </c>
      <c r="AF22" t="str">
        <f ca="1">IF(AND($B$294=1,LEN($AF$174) * LEN($AF$162)&gt;0),$AF$174/$AF$162*100,HLOOKUP(INDIRECT(ADDRESS(2,COLUMN())),OFFSET($AT$2,0,0,ROW()-1,40),ROW()-1,FALSE))</f>
        <v/>
      </c>
      <c r="AG22" t="str">
        <f ca="1">IF(AND($B$294=1,LEN($AG$174) * LEN($AG$162)&gt;0),$AG$174/$AG$162*100,HLOOKUP(INDIRECT(ADDRESS(2,COLUMN())),OFFSET($AT$2,0,0,ROW()-1,40),ROW()-1,FALSE))</f>
        <v/>
      </c>
      <c r="AH22" t="str">
        <f ca="1">IF(AND($B$294=1,LEN($AH$174) * LEN($AH$162)&gt;0),$AH$174/$AH$162*100,HLOOKUP(INDIRECT(ADDRESS(2,COLUMN())),OFFSET($AT$2,0,0,ROW()-1,40),ROW()-1,FALSE))</f>
        <v/>
      </c>
      <c r="AI22" t="str">
        <f ca="1">IF(AND($B$294=1,LEN($AI$174) * LEN($AI$162)&gt;0),$AI$174/$AI$162*100,HLOOKUP(INDIRECT(ADDRESS(2,COLUMN())),OFFSET($AT$2,0,0,ROW()-1,40),ROW()-1,FALSE))</f>
        <v/>
      </c>
      <c r="AJ22" t="str">
        <f ca="1">IF(AND($B$294=1,LEN($AJ$174) * LEN($AJ$162)&gt;0),$AJ$174/$AJ$162*100,HLOOKUP(INDIRECT(ADDRESS(2,COLUMN())),OFFSET($AT$2,0,0,ROW()-1,40),ROW()-1,FALSE))</f>
        <v/>
      </c>
      <c r="AK22" t="str">
        <f ca="1">IF(AND($B$294=1,LEN($AK$174) * LEN($AK$162)&gt;0),$AK$174/$AK$162*100,HLOOKUP(INDIRECT(ADDRESS(2,COLUMN())),OFFSET($AT$2,0,0,ROW()-1,40),ROW()-1,FALSE))</f>
        <v/>
      </c>
      <c r="AL22" t="str">
        <f ca="1">IF(AND($B$294=1,LEN($AL$174) * LEN($AL$162)&gt;0),$AL$174/$AL$162*100,HLOOKUP(INDIRECT(ADDRESS(2,COLUMN())),OFFSET($AT$2,0,0,ROW()-1,40),ROW()-1,FALSE))</f>
        <v/>
      </c>
      <c r="AM22" t="str">
        <f ca="1">IF(AND($B$294=1,LEN($AM$174) * LEN($AM$162)&gt;0),$AM$174/$AM$162*100,HLOOKUP(INDIRECT(ADDRESS(2,COLUMN())),OFFSET($AT$2,0,0,ROW()-1,40),ROW()-1,FALSE))</f>
        <v/>
      </c>
      <c r="AN22" t="str">
        <f ca="1">IF(AND($B$294=1,LEN($AN$174) * LEN($AN$162)&gt;0),$AN$174/$AN$162*100,HLOOKUP(INDIRECT(ADDRESS(2,COLUMN())),OFFSET($AT$2,0,0,ROW()-1,40),ROW()-1,FALSE))</f>
        <v/>
      </c>
      <c r="AO22" t="str">
        <f ca="1">IF(AND($B$294=1,LEN($AO$174) * LEN($AO$162)&gt;0),$AO$174/$AO$162*100,HLOOKUP(INDIRECT(ADDRESS(2,COLUMN())),OFFSET($AT$2,0,0,ROW()-1,40),ROW()-1,FALSE))</f>
        <v/>
      </c>
      <c r="AP22" t="str">
        <f ca="1">IF(AND($B$294=1,LEN($AP$174) * LEN($AP$162)&gt;0),$AP$174/$AP$162*100,HLOOKUP(INDIRECT(ADDRESS(2,COLUMN())),OFFSET($AT$2,0,0,ROW()-1,40),ROW()-1,FALSE))</f>
        <v/>
      </c>
      <c r="AQ22" t="str">
        <f ca="1">IF(AND($B$294=1,LEN($AQ$174) * LEN($AQ$162)&gt;0),$AQ$174/$AQ$162*100,HLOOKUP(INDIRECT(ADDRESS(2,COLUMN())),OFFSET($AT$2,0,0,ROW()-1,40),ROW()-1,FALSE))</f>
        <v/>
      </c>
      <c r="AR22" t="str">
        <f ca="1">IF(AND($B$294=1,LEN($AR$174) * LEN($AR$162)&gt;0),$AR$174/$AR$162*100,HLOOKUP(INDIRECT(ADDRESS(2,COLUMN())),OFFSET($AT$2,0,0,ROW()-1,40),ROW()-1,FALSE))</f>
        <v/>
      </c>
      <c r="AS22" t="str">
        <f ca="1">IF(AND($B$294=1,LEN($AS$174) * LEN($AS$162)&gt;0),$AS$174/$AS$162*100,HLOOKUP(INDIRECT(ADDRESS(2,COLUMN())),OFFSET($AT$2,0,0,ROW()-1,40),ROW()-1,FALSE))</f>
        <v/>
      </c>
      <c r="AT22" t="str">
        <f>""</f>
        <v/>
      </c>
      <c r="AU22" t="str">
        <f>""</f>
        <v/>
      </c>
      <c r="AV22" t="str">
        <f>""</f>
        <v/>
      </c>
      <c r="AW22" t="str">
        <f>""</f>
        <v/>
      </c>
      <c r="AX22" t="str">
        <f>""</f>
        <v/>
      </c>
      <c r="AY22" t="str">
        <f>""</f>
        <v/>
      </c>
      <c r="AZ22" t="str">
        <f>""</f>
        <v/>
      </c>
      <c r="BA22" t="str">
        <f>""</f>
        <v/>
      </c>
      <c r="BB22" t="str">
        <f>""</f>
        <v/>
      </c>
      <c r="BC22" t="str">
        <f>""</f>
        <v/>
      </c>
      <c r="BD22" t="str">
        <f>""</f>
        <v/>
      </c>
      <c r="BE22" t="str">
        <f>""</f>
        <v/>
      </c>
      <c r="BF22" t="str">
        <f>""</f>
        <v/>
      </c>
      <c r="BG22" t="str">
        <f>""</f>
        <v/>
      </c>
      <c r="BH22" t="str">
        <f>""</f>
        <v/>
      </c>
      <c r="BI22" t="str">
        <f>""</f>
        <v/>
      </c>
      <c r="BJ22" t="str">
        <f>""</f>
        <v/>
      </c>
      <c r="BK22" t="str">
        <f>""</f>
        <v/>
      </c>
      <c r="BL22" t="str">
        <f>""</f>
        <v/>
      </c>
      <c r="BM22" t="str">
        <f>""</f>
        <v/>
      </c>
      <c r="BN22" t="str">
        <f>""</f>
        <v/>
      </c>
      <c r="BO22" t="str">
        <f>""</f>
        <v/>
      </c>
      <c r="BP22" t="str">
        <f>""</f>
        <v/>
      </c>
      <c r="BQ22" t="str">
        <f>""</f>
        <v/>
      </c>
      <c r="BR22" t="str">
        <f>""</f>
        <v/>
      </c>
      <c r="BS22" t="str">
        <f>""</f>
        <v/>
      </c>
      <c r="BT22" t="str">
        <f>""</f>
        <v/>
      </c>
      <c r="BU22" t="str">
        <f>""</f>
        <v/>
      </c>
      <c r="BV22" t="str">
        <f>""</f>
        <v/>
      </c>
      <c r="BW22" t="str">
        <f>""</f>
        <v/>
      </c>
      <c r="BX22" t="str">
        <f>""</f>
        <v/>
      </c>
      <c r="BY22" t="str">
        <f>""</f>
        <v/>
      </c>
      <c r="BZ22" t="str">
        <f>""</f>
        <v/>
      </c>
      <c r="CA22" t="str">
        <f>""</f>
        <v/>
      </c>
      <c r="CB22" t="str">
        <f>""</f>
        <v/>
      </c>
      <c r="CC22" t="str">
        <f>""</f>
        <v/>
      </c>
      <c r="CD22" t="str">
        <f>""</f>
        <v/>
      </c>
      <c r="CE22" t="str">
        <f>""</f>
        <v/>
      </c>
      <c r="CF22" t="str">
        <f>""</f>
        <v/>
      </c>
      <c r="CG22" t="str">
        <f>""</f>
        <v/>
      </c>
    </row>
    <row r="23" spans="1:85" x14ac:dyDescent="0.25">
      <c r="A23" t="str">
        <f>"    Scania"</f>
        <v xml:space="preserve">    Scania</v>
      </c>
      <c r="B23" t="str">
        <f>""</f>
        <v/>
      </c>
      <c r="E23" t="str">
        <f>"Expression"</f>
        <v>Expression</v>
      </c>
      <c r="F23" t="str">
        <f ca="1">IF(AND($B$294=1,LEN($F$175) * LEN($F$162)&gt;0),$F$175/$F$162*100,HLOOKUP(INDIRECT(ADDRESS(2,COLUMN())),OFFSET($AT$2,0,0,ROW()-1,40),ROW()-1,FALSE))</f>
        <v/>
      </c>
      <c r="G23" t="str">
        <f ca="1">IF(AND($B$294=1,LEN($G$175) * LEN($G$162)&gt;0),$G$175/$G$162*100,HLOOKUP(INDIRECT(ADDRESS(2,COLUMN())),OFFSET($AT$2,0,0,ROW()-1,40),ROW()-1,FALSE))</f>
        <v/>
      </c>
      <c r="H23" t="str">
        <f ca="1">IF(AND($B$294=1,LEN($H$175) * LEN($H$162)&gt;0),$H$175/$H$162*100,HLOOKUP(INDIRECT(ADDRESS(2,COLUMN())),OFFSET($AT$2,0,0,ROW()-1,40),ROW()-1,FALSE))</f>
        <v/>
      </c>
      <c r="I23" t="str">
        <f ca="1">IF(AND($B$294=1,LEN($I$175) * LEN($I$162)&gt;0),$I$175/$I$162*100,HLOOKUP(INDIRECT(ADDRESS(2,COLUMN())),OFFSET($AT$2,0,0,ROW()-1,40),ROW()-1,FALSE))</f>
        <v/>
      </c>
      <c r="J23" t="str">
        <f ca="1">IF(AND($B$294=1,LEN($J$175) * LEN($J$162)&gt;0),$J$175/$J$162*100,HLOOKUP(INDIRECT(ADDRESS(2,COLUMN())),OFFSET($AT$2,0,0,ROW()-1,40),ROW()-1,FALSE))</f>
        <v/>
      </c>
      <c r="K23" t="str">
        <f ca="1">IF(AND($B$294=1,LEN($K$175) * LEN($K$162)&gt;0),$K$175/$K$162*100,HLOOKUP(INDIRECT(ADDRESS(2,COLUMN())),OFFSET($AT$2,0,0,ROW()-1,40),ROW()-1,FALSE))</f>
        <v/>
      </c>
      <c r="L23" t="str">
        <f ca="1">IF(AND($B$294=1,LEN($L$175) * LEN($L$162)&gt;0),$L$175/$L$162*100,HLOOKUP(INDIRECT(ADDRESS(2,COLUMN())),OFFSET($AT$2,0,0,ROW()-1,40),ROW()-1,FALSE))</f>
        <v/>
      </c>
      <c r="M23" t="str">
        <f ca="1">IF(AND($B$294=1,LEN($M$175) * LEN($M$162)&gt;0),$M$175/$M$162*100,HLOOKUP(INDIRECT(ADDRESS(2,COLUMN())),OFFSET($AT$2,0,0,ROW()-1,40),ROW()-1,FALSE))</f>
        <v/>
      </c>
      <c r="N23" t="str">
        <f ca="1">IF(AND($B$294=1,LEN($N$175) * LEN($N$162)&gt;0),$N$175/$N$162*100,HLOOKUP(INDIRECT(ADDRESS(2,COLUMN())),OFFSET($AT$2,0,0,ROW()-1,40),ROW()-1,FALSE))</f>
        <v/>
      </c>
      <c r="O23" t="str">
        <f ca="1">IF(AND($B$294=1,LEN($O$175) * LEN($O$162)&gt;0),$O$175/$O$162*100,HLOOKUP(INDIRECT(ADDRESS(2,COLUMN())),OFFSET($AT$2,0,0,ROW()-1,40),ROW()-1,FALSE))</f>
        <v/>
      </c>
      <c r="P23">
        <f ca="1">IF(AND($B$294=1,LEN($P$175) * LEN($P$162)&gt;0),$P$175/$P$162*100,HLOOKUP(INDIRECT(ADDRESS(2,COLUMN())),OFFSET($AT$2,0,0,ROW()-1,40),ROW()-1,FALSE))</f>
        <v>1.024032474</v>
      </c>
      <c r="Q23">
        <f ca="1">IF(AND($B$294=1,LEN($Q$175) * LEN($Q$162)&gt;0),$Q$175/$Q$162*100,HLOOKUP(INDIRECT(ADDRESS(2,COLUMN())),OFFSET($AT$2,0,0,ROW()-1,40),ROW()-1,FALSE))</f>
        <v>0.86193386599999999</v>
      </c>
      <c r="R23">
        <f ca="1">IF(AND($B$294=1,LEN($R$175) * LEN($R$162)&gt;0),$R$175/$R$162*100,HLOOKUP(INDIRECT(ADDRESS(2,COLUMN())),OFFSET($AT$2,0,0,ROW()-1,40),ROW()-1,FALSE))</f>
        <v>0.83473359000000003</v>
      </c>
      <c r="S23">
        <f ca="1">IF(AND($B$294=1,LEN($S$175) * LEN($S$162)&gt;0),$S$175/$S$162*100,HLOOKUP(INDIRECT(ADDRESS(2,COLUMN())),OFFSET($AT$2,0,0,ROW()-1,40),ROW()-1,FALSE))</f>
        <v>0.73778361699999995</v>
      </c>
      <c r="T23">
        <f ca="1">IF(AND($B$294=1,LEN($T$175) * LEN($T$162)&gt;0),$T$175/$T$162*100,HLOOKUP(INDIRECT(ADDRESS(2,COLUMN())),OFFSET($AT$2,0,0,ROW()-1,40),ROW()-1,FALSE))</f>
        <v>0.58222026500000001</v>
      </c>
      <c r="U23">
        <f ca="1">IF(AND($B$294=1,LEN($U$175) * LEN($U$162)&gt;0),$U$175/$U$162*100,HLOOKUP(INDIRECT(ADDRESS(2,COLUMN())),OFFSET($AT$2,0,0,ROW()-1,40),ROW()-1,FALSE))</f>
        <v>0.57852645899999999</v>
      </c>
      <c r="V23">
        <f ca="1">IF(AND($B$294=1,LEN($V$175) * LEN($V$162)&gt;0),$V$175/$V$162*100,HLOOKUP(INDIRECT(ADDRESS(2,COLUMN())),OFFSET($AT$2,0,0,ROW()-1,40),ROW()-1,FALSE))</f>
        <v>0.51284318500000003</v>
      </c>
      <c r="W23">
        <f ca="1">IF(AND($B$294=1,LEN($W$175) * LEN($W$162)&gt;0),$W$175/$W$162*100,HLOOKUP(INDIRECT(ADDRESS(2,COLUMN())),OFFSET($AT$2,0,0,ROW()-1,40),ROW()-1,FALSE))</f>
        <v>0.613328451</v>
      </c>
      <c r="X23">
        <f ca="1">IF(AND($B$294=1,LEN($X$175) * LEN($X$162)&gt;0),$X$175/$X$162*100,HLOOKUP(INDIRECT(ADDRESS(2,COLUMN())),OFFSET($AT$2,0,0,ROW()-1,40),ROW()-1,FALSE))</f>
        <v>0.626854244</v>
      </c>
      <c r="Y23">
        <f ca="1">IF(AND($B$294=1,LEN($Y$175) * LEN($Y$162)&gt;0),$Y$175/$Y$162*100,HLOOKUP(INDIRECT(ADDRESS(2,COLUMN())),OFFSET($AT$2,0,0,ROW()-1,40),ROW()-1,FALSE))</f>
        <v>0.48116807700000003</v>
      </c>
      <c r="Z23">
        <f ca="1">IF(AND($B$294=1,LEN($Z$175) * LEN($Z$162)&gt;0),$Z$175/$Z$162*100,HLOOKUP(INDIRECT(ADDRESS(2,COLUMN())),OFFSET($AT$2,0,0,ROW()-1,40),ROW()-1,FALSE))</f>
        <v>0.45212090399999999</v>
      </c>
      <c r="AA23">
        <f ca="1">IF(AND($B$294=1,LEN($AA$175) * LEN($AA$162)&gt;0),$AA$175/$AA$162*100,HLOOKUP(INDIRECT(ADDRESS(2,COLUMN())),OFFSET($AT$2,0,0,ROW()-1,40),ROW()-1,FALSE))</f>
        <v>0.65480793999999998</v>
      </c>
      <c r="AB23">
        <f ca="1">IF(AND($B$294=1,LEN($AB$175) * LEN($AB$162)&gt;0),$AB$175/$AB$162*100,HLOOKUP(INDIRECT(ADDRESS(2,COLUMN())),OFFSET($AT$2,0,0,ROW()-1,40),ROW()-1,FALSE))</f>
        <v>0.457950091</v>
      </c>
      <c r="AC23">
        <f ca="1">IF(AND($B$294=1,LEN($AC$175) * LEN($AC$162)&gt;0),$AC$175/$AC$162*100,HLOOKUP(INDIRECT(ADDRESS(2,COLUMN())),OFFSET($AT$2,0,0,ROW()-1,40),ROW()-1,FALSE))</f>
        <v>0.40664326699999997</v>
      </c>
      <c r="AD23">
        <f ca="1">IF(AND($B$294=1,LEN($AD$175) * LEN($AD$162)&gt;0),$AD$175/$AD$162*100,HLOOKUP(INDIRECT(ADDRESS(2,COLUMN())),OFFSET($AT$2,0,0,ROW()-1,40),ROW()-1,FALSE))</f>
        <v>0.37035495800000001</v>
      </c>
      <c r="AE23">
        <f ca="1">IF(AND($B$294=1,LEN($AE$175) * LEN($AE$162)&gt;0),$AE$175/$AE$162*100,HLOOKUP(INDIRECT(ADDRESS(2,COLUMN())),OFFSET($AT$2,0,0,ROW()-1,40),ROW()-1,FALSE))</f>
        <v>0.32160570399999999</v>
      </c>
      <c r="AF23">
        <f ca="1">IF(AND($B$294=1,LEN($AF$175) * LEN($AF$162)&gt;0),$AF$175/$AF$162*100,HLOOKUP(INDIRECT(ADDRESS(2,COLUMN())),OFFSET($AT$2,0,0,ROW()-1,40),ROW()-1,FALSE))</f>
        <v>0.31500246700000001</v>
      </c>
      <c r="AG23">
        <f ca="1">IF(AND($B$294=1,LEN($AG$175) * LEN($AG$162)&gt;0),$AG$175/$AG$162*100,HLOOKUP(INDIRECT(ADDRESS(2,COLUMN())),OFFSET($AT$2,0,0,ROW()-1,40),ROW()-1,FALSE))</f>
        <v>0.29556299400000002</v>
      </c>
      <c r="AH23">
        <f ca="1">IF(AND($B$294=1,LEN($AH$175) * LEN($AH$162)&gt;0),$AH$175/$AH$162*100,HLOOKUP(INDIRECT(ADDRESS(2,COLUMN())),OFFSET($AT$2,0,0,ROW()-1,40),ROW()-1,FALSE))</f>
        <v>0.26750484899999999</v>
      </c>
      <c r="AI23">
        <f ca="1">IF(AND($B$294=1,LEN($AI$175) * LEN($AI$162)&gt;0),$AI$175/$AI$162*100,HLOOKUP(INDIRECT(ADDRESS(2,COLUMN())),OFFSET($AT$2,0,0,ROW()-1,40),ROW()-1,FALSE))</f>
        <v>0.28600139099999999</v>
      </c>
      <c r="AJ23">
        <f ca="1">IF(AND($B$294=1,LEN($AJ$175) * LEN($AJ$162)&gt;0),$AJ$175/$AJ$162*100,HLOOKUP(INDIRECT(ADDRESS(2,COLUMN())),OFFSET($AT$2,0,0,ROW()-1,40),ROW()-1,FALSE))</f>
        <v>0.28343313399999998</v>
      </c>
      <c r="AK23">
        <f ca="1">IF(AND($B$294=1,LEN($AK$175) * LEN($AK$162)&gt;0),$AK$175/$AK$162*100,HLOOKUP(INDIRECT(ADDRESS(2,COLUMN())),OFFSET($AT$2,0,0,ROW()-1,40),ROW()-1,FALSE))</f>
        <v>0.36499246200000002</v>
      </c>
      <c r="AL23">
        <f ca="1">IF(AND($B$294=1,LEN($AL$175) * LEN($AL$162)&gt;0),$AL$175/$AL$162*100,HLOOKUP(INDIRECT(ADDRESS(2,COLUMN())),OFFSET($AT$2,0,0,ROW()-1,40),ROW()-1,FALSE))</f>
        <v>0.396807087</v>
      </c>
      <c r="AM23">
        <f ca="1">IF(AND($B$294=1,LEN($AM$175) * LEN($AM$162)&gt;0),$AM$175/$AM$162*100,HLOOKUP(INDIRECT(ADDRESS(2,COLUMN())),OFFSET($AT$2,0,0,ROW()-1,40),ROW()-1,FALSE))</f>
        <v>0.43437204899999998</v>
      </c>
      <c r="AN23">
        <f ca="1">IF(AND($B$294=1,LEN($AN$175) * LEN($AN$162)&gt;0),$AN$175/$AN$162*100,HLOOKUP(INDIRECT(ADDRESS(2,COLUMN())),OFFSET($AT$2,0,0,ROW()-1,40),ROW()-1,FALSE))</f>
        <v>0.35436109799999999</v>
      </c>
      <c r="AO23">
        <f ca="1">IF(AND($B$294=1,LEN($AO$175) * LEN($AO$162)&gt;0),$AO$175/$AO$162*100,HLOOKUP(INDIRECT(ADDRESS(2,COLUMN())),OFFSET($AT$2,0,0,ROW()-1,40),ROW()-1,FALSE))</f>
        <v>0.435169154</v>
      </c>
      <c r="AP23">
        <f ca="1">IF(AND($B$294=1,LEN($AP$175) * LEN($AP$162)&gt;0),$AP$175/$AP$162*100,HLOOKUP(INDIRECT(ADDRESS(2,COLUMN())),OFFSET($AT$2,0,0,ROW()-1,40),ROW()-1,FALSE))</f>
        <v>0.35980467799999999</v>
      </c>
      <c r="AQ23">
        <f ca="1">IF(AND($B$294=1,LEN($AQ$175) * LEN($AQ$162)&gt;0),$AQ$175/$AQ$162*100,HLOOKUP(INDIRECT(ADDRESS(2,COLUMN())),OFFSET($AT$2,0,0,ROW()-1,40),ROW()-1,FALSE))</f>
        <v>0.31113112500000001</v>
      </c>
      <c r="AR23">
        <f ca="1">IF(AND($B$294=1,LEN($AR$175) * LEN($AR$162)&gt;0),$AR$175/$AR$162*100,HLOOKUP(INDIRECT(ADDRESS(2,COLUMN())),OFFSET($AT$2,0,0,ROW()-1,40),ROW()-1,FALSE))</f>
        <v>0.196628038</v>
      </c>
      <c r="AS23">
        <f ca="1">IF(AND($B$294=1,LEN($AS$175) * LEN($AS$162)&gt;0),$AS$175/$AS$162*100,HLOOKUP(INDIRECT(ADDRESS(2,COLUMN())),OFFSET($AT$2,0,0,ROW()-1,40),ROW()-1,FALSE))</f>
        <v>0.29410511099999997</v>
      </c>
      <c r="AT23" t="str">
        <f>""</f>
        <v/>
      </c>
      <c r="AU23" t="str">
        <f>""</f>
        <v/>
      </c>
      <c r="AV23" t="str">
        <f>""</f>
        <v/>
      </c>
      <c r="AW23" t="str">
        <f>""</f>
        <v/>
      </c>
      <c r="AX23" t="str">
        <f>""</f>
        <v/>
      </c>
      <c r="AY23" t="str">
        <f>""</f>
        <v/>
      </c>
      <c r="AZ23" t="str">
        <f>""</f>
        <v/>
      </c>
      <c r="BA23" t="str">
        <f>""</f>
        <v/>
      </c>
      <c r="BB23" t="str">
        <f>""</f>
        <v/>
      </c>
      <c r="BC23" t="str">
        <f>""</f>
        <v/>
      </c>
      <c r="BD23">
        <f>1.024032474</f>
        <v>1.024032474</v>
      </c>
      <c r="BE23">
        <f>0.861933866</f>
        <v>0.86193386599999999</v>
      </c>
      <c r="BF23">
        <f>0.83473359</f>
        <v>0.83473359000000003</v>
      </c>
      <c r="BG23">
        <f>0.737783617</f>
        <v>0.73778361699999995</v>
      </c>
      <c r="BH23">
        <f>0.582220265</f>
        <v>0.58222026500000001</v>
      </c>
      <c r="BI23">
        <f>0.578526459</f>
        <v>0.57852645899999999</v>
      </c>
      <c r="BJ23">
        <f>0.512843185</f>
        <v>0.51284318500000003</v>
      </c>
      <c r="BK23">
        <f>0.613328451</f>
        <v>0.613328451</v>
      </c>
      <c r="BL23">
        <f>0.626854244</f>
        <v>0.626854244</v>
      </c>
      <c r="BM23">
        <f>0.481168077</f>
        <v>0.48116807700000003</v>
      </c>
      <c r="BN23">
        <f>0.452120904</f>
        <v>0.45212090399999999</v>
      </c>
      <c r="BO23">
        <f>0.65480794</f>
        <v>0.65480793999999998</v>
      </c>
      <c r="BP23">
        <f>0.457950091</f>
        <v>0.457950091</v>
      </c>
      <c r="BQ23">
        <f>0.406643267</f>
        <v>0.40664326699999997</v>
      </c>
      <c r="BR23">
        <f>0.370354958</f>
        <v>0.37035495800000001</v>
      </c>
      <c r="BS23">
        <f>0.321605704</f>
        <v>0.32160570399999999</v>
      </c>
      <c r="BT23">
        <f>0.315002467</f>
        <v>0.31500246700000001</v>
      </c>
      <c r="BU23">
        <f>0.295562994</f>
        <v>0.29556299400000002</v>
      </c>
      <c r="BV23">
        <f>0.267504849</f>
        <v>0.26750484899999999</v>
      </c>
      <c r="BW23">
        <f>0.286001391</f>
        <v>0.28600139099999999</v>
      </c>
      <c r="BX23">
        <f>0.283433134</f>
        <v>0.28343313399999998</v>
      </c>
      <c r="BY23">
        <f>0.364992462</f>
        <v>0.36499246200000002</v>
      </c>
      <c r="BZ23">
        <f>0.396807087</f>
        <v>0.396807087</v>
      </c>
      <c r="CA23">
        <f>0.434372049</f>
        <v>0.43437204899999998</v>
      </c>
      <c r="CB23">
        <f>0.354361098</f>
        <v>0.35436109799999999</v>
      </c>
      <c r="CC23">
        <f>0.435169154</f>
        <v>0.435169154</v>
      </c>
      <c r="CD23">
        <f>0.359804678</f>
        <v>0.35980467799999999</v>
      </c>
      <c r="CE23">
        <f>0.311131125</f>
        <v>0.31113112500000001</v>
      </c>
      <c r="CF23">
        <f>0.196628038</f>
        <v>0.196628038</v>
      </c>
      <c r="CG23">
        <f>0.294105111</f>
        <v>0.29410511099999997</v>
      </c>
    </row>
    <row r="24" spans="1:85" x14ac:dyDescent="0.25">
      <c r="A24" t="str">
        <f>"    Other"</f>
        <v xml:space="preserve">    Other</v>
      </c>
      <c r="B24" t="str">
        <f>""</f>
        <v/>
      </c>
      <c r="E24" t="str">
        <f>"Expression"</f>
        <v>Expression</v>
      </c>
      <c r="F24">
        <f ca="1">IF(AND($B$294=1,LEN($F$176) * LEN($F$162)&gt;0),$F$176/$F$162*100,HLOOKUP(INDIRECT(ADDRESS(2,COLUMN())),OFFSET($AT$2,0,0,ROW()-1,40),ROW()-1,FALSE))</f>
        <v>1.69286578</v>
      </c>
      <c r="G24">
        <f ca="1">IF(AND($B$294=1,LEN($G$176) * LEN($G$162)&gt;0),$G$176/$G$162*100,HLOOKUP(INDIRECT(ADDRESS(2,COLUMN())),OFFSET($AT$2,0,0,ROW()-1,40),ROW()-1,FALSE))</f>
        <v>2.3168942060000002</v>
      </c>
      <c r="H24">
        <f ca="1">IF(AND($B$294=1,LEN($H$176) * LEN($H$162)&gt;0),$H$176/$H$162*100,HLOOKUP(INDIRECT(ADDRESS(2,COLUMN())),OFFSET($AT$2,0,0,ROW()-1,40),ROW()-1,FALSE))</f>
        <v>1.6159564150000001</v>
      </c>
      <c r="I24">
        <f ca="1">IF(AND($B$294=1,LEN($I$176) * LEN($I$162)&gt;0),$I$176/$I$162*100,HLOOKUP(INDIRECT(ADDRESS(2,COLUMN())),OFFSET($AT$2,0,0,ROW()-1,40),ROW()-1,FALSE))</f>
        <v>1.906941266</v>
      </c>
      <c r="J24">
        <f ca="1">IF(AND($B$294=1,LEN($J$176) * LEN($J$162)&gt;0),$J$176/$J$162*100,HLOOKUP(INDIRECT(ADDRESS(2,COLUMN())),OFFSET($AT$2,0,0,ROW()-1,40),ROW()-1,FALSE))</f>
        <v>2.2874932320000001</v>
      </c>
      <c r="K24">
        <f ca="1">IF(AND($B$294=1,LEN($K$176) * LEN($K$162)&gt;0),$K$176/$K$162*100,HLOOKUP(INDIRECT(ADDRESS(2,COLUMN())),OFFSET($AT$2,0,0,ROW()-1,40),ROW()-1,FALSE))</f>
        <v>2.0435446910000001</v>
      </c>
      <c r="L24">
        <f ca="1">IF(AND($B$294=1,LEN($L$176) * LEN($L$162)&gt;0),$L$176/$L$162*100,HLOOKUP(INDIRECT(ADDRESS(2,COLUMN())),OFFSET($AT$2,0,0,ROW()-1,40),ROW()-1,FALSE))</f>
        <v>2.211452763</v>
      </c>
      <c r="M24">
        <f ca="1">IF(AND($B$294=1,LEN($M$176) * LEN($M$162)&gt;0),$M$176/$M$162*100,HLOOKUP(INDIRECT(ADDRESS(2,COLUMN())),OFFSET($AT$2,0,0,ROW()-1,40),ROW()-1,FALSE))</f>
        <v>2.279172897</v>
      </c>
      <c r="N24">
        <f ca="1">IF(AND($B$294=1,LEN($N$176) * LEN($N$162)&gt;0),$N$176/$N$162*100,HLOOKUP(INDIRECT(ADDRESS(2,COLUMN())),OFFSET($AT$2,0,0,ROW()-1,40),ROW()-1,FALSE))</f>
        <v>1.6132339870000001</v>
      </c>
      <c r="O24">
        <f ca="1">IF(AND($B$294=1,LEN($O$176) * LEN($O$162)&gt;0),$O$176/$O$162*100,HLOOKUP(INDIRECT(ADDRESS(2,COLUMN())),OFFSET($AT$2,0,0,ROW()-1,40),ROW()-1,FALSE))</f>
        <v>2.4315044499999998</v>
      </c>
      <c r="P24">
        <f ca="1">IF(AND($B$294=1,LEN($P$176) * LEN($P$162)&gt;0),$P$176/$P$162*100,HLOOKUP(INDIRECT(ADDRESS(2,COLUMN())),OFFSET($AT$2,0,0,ROW()-1,40),ROW()-1,FALSE))</f>
        <v>3.6902071000000002E-2</v>
      </c>
      <c r="Q24">
        <f ca="1">IF(AND($B$294=1,LEN($Q$176) * LEN($Q$162)&gt;0),$Q$176/$Q$162*100,HLOOKUP(INDIRECT(ADDRESS(2,COLUMN())),OFFSET($AT$2,0,0,ROW()-1,40),ROW()-1,FALSE))</f>
        <v>5.2238416000000003E-2</v>
      </c>
      <c r="R24">
        <f ca="1">IF(AND($B$294=1,LEN($R$176) * LEN($R$162)&gt;0),$R$176/$R$162*100,HLOOKUP(INDIRECT(ADDRESS(2,COLUMN())),OFFSET($AT$2,0,0,ROW()-1,40),ROW()-1,FALSE))</f>
        <v>1.6261043999999999E-2</v>
      </c>
      <c r="S24">
        <f ca="1">IF(AND($B$294=1,LEN($S$176) * LEN($S$162)&gt;0),$S$176/$S$162*100,HLOOKUP(INDIRECT(ADDRESS(2,COLUMN())),OFFSET($AT$2,0,0,ROW()-1,40),ROW()-1,FALSE))</f>
        <v>0.121279499</v>
      </c>
      <c r="T24">
        <f ca="1">IF(AND($B$294=1,LEN($T$176) * LEN($T$162)&gt;0),$T$176/$T$162*100,HLOOKUP(INDIRECT(ADDRESS(2,COLUMN())),OFFSET($AT$2,0,0,ROW()-1,40),ROW()-1,FALSE))</f>
        <v>8.8066931000000001E-2</v>
      </c>
      <c r="U24">
        <f ca="1">IF(AND($B$294=1,LEN($U$176) * LEN($U$162)&gt;0),$U$176/$U$162*100,HLOOKUP(INDIRECT(ADDRESS(2,COLUMN())),OFFSET($AT$2,0,0,ROW()-1,40),ROW()-1,FALSE))</f>
        <v>6.2390108E-2</v>
      </c>
      <c r="V24">
        <f ca="1">IF(AND($B$294=1,LEN($V$176) * LEN($V$162)&gt;0),$V$176/$V$162*100,HLOOKUP(INDIRECT(ADDRESS(2,COLUMN())),OFFSET($AT$2,0,0,ROW()-1,40),ROW()-1,FALSE))</f>
        <v>0.13263185799999999</v>
      </c>
      <c r="W24">
        <f ca="1">IF(AND($B$294=1,LEN($W$176) * LEN($W$162)&gt;0),$W$176/$W$162*100,HLOOKUP(INDIRECT(ADDRESS(2,COLUMN())),OFFSET($AT$2,0,0,ROW()-1,40),ROW()-1,FALSE))</f>
        <v>4.1193701999999999E-2</v>
      </c>
      <c r="X24">
        <f ca="1">IF(AND($B$294=1,LEN($X$176) * LEN($X$162)&gt;0),$X$176/$X$162*100,HLOOKUP(INDIRECT(ADDRESS(2,COLUMN())),OFFSET($AT$2,0,0,ROW()-1,40),ROW()-1,FALSE))</f>
        <v>3.3496027999999997E-2</v>
      </c>
      <c r="Y24">
        <f ca="1">IF(AND($B$294=1,LEN($Y$176) * LEN($Y$162)&gt;0),$Y$176/$Y$162*100,HLOOKUP(INDIRECT(ADDRESS(2,COLUMN())),OFFSET($AT$2,0,0,ROW()-1,40),ROW()-1,FALSE))</f>
        <v>1.6592003000000001E-2</v>
      </c>
      <c r="Z24">
        <f ca="1">IF(AND($B$294=1,LEN($Z$176) * LEN($Z$162)&gt;0),$Z$176/$Z$162*100,HLOOKUP(INDIRECT(ADDRESS(2,COLUMN())),OFFSET($AT$2,0,0,ROW()-1,40),ROW()-1,FALSE))</f>
        <v>0</v>
      </c>
      <c r="AA24">
        <f ca="1">IF(AND($B$294=1,LEN($AA$176) * LEN($AA$162)&gt;0),$AA$176/$AA$162*100,HLOOKUP(INDIRECT(ADDRESS(2,COLUMN())),OFFSET($AT$2,0,0,ROW()-1,40),ROW()-1,FALSE))</f>
        <v>2.0623872000000001E-2</v>
      </c>
      <c r="AB24">
        <f ca="1">IF(AND($B$294=1,LEN($AB$176) * LEN($AB$162)&gt;0),$AB$176/$AB$162*100,HLOOKUP(INDIRECT(ADDRESS(2,COLUMN())),OFFSET($AT$2,0,0,ROW()-1,40),ROW()-1,FALSE))</f>
        <v>1.1642799000000001E-2</v>
      </c>
      <c r="AC24">
        <f ca="1">IF(AND($B$294=1,LEN($AC$176) * LEN($AC$162)&gt;0),$AC$176/$AC$162*100,HLOOKUP(INDIRECT(ADDRESS(2,COLUMN())),OFFSET($AT$2,0,0,ROW()-1,40),ROW()-1,FALSE))</f>
        <v>8.5609109999999992E-3</v>
      </c>
      <c r="AD24">
        <f ca="1">IF(AND($B$294=1,LEN($AD$176) * LEN($AD$162)&gt;0),$AD$176/$AD$162*100,HLOOKUP(INDIRECT(ADDRESS(2,COLUMN())),OFFSET($AT$2,0,0,ROW()-1,40),ROW()-1,FALSE))</f>
        <v>2.0806458E-2</v>
      </c>
      <c r="AE24">
        <f ca="1">IF(AND($B$294=1,LEN($AE$176) * LEN($AE$162)&gt;0),$AE$176/$AE$162*100,HLOOKUP(INDIRECT(ADDRESS(2,COLUMN())),OFFSET($AT$2,0,0,ROW()-1,40),ROW()-1,FALSE))</f>
        <v>1.549907E-2</v>
      </c>
      <c r="AF24">
        <f ca="1">IF(AND($B$294=1,LEN($AF$176) * LEN($AF$162)&gt;0),$AF$176/$AF$162*100,HLOOKUP(INDIRECT(ADDRESS(2,COLUMN())),OFFSET($AT$2,0,0,ROW()-1,40),ROW()-1,FALSE))</f>
        <v>5.6928157E-2</v>
      </c>
      <c r="AG24">
        <f ca="1">IF(AND($B$294=1,LEN($AG$176) * LEN($AG$162)&gt;0),$AG$176/$AG$162*100,HLOOKUP(INDIRECT(ADDRESS(2,COLUMN())),OFFSET($AT$2,0,0,ROW()-1,40),ROW()-1,FALSE))</f>
        <v>4.6292999000000001E-2</v>
      </c>
      <c r="AH24">
        <f ca="1">IF(AND($B$294=1,LEN($AH$176) * LEN($AH$162)&gt;0),$AH$176/$AH$162*100,HLOOKUP(INDIRECT(ADDRESS(2,COLUMN())),OFFSET($AT$2,0,0,ROW()-1,40),ROW()-1,FALSE))</f>
        <v>5.0157159E-2</v>
      </c>
      <c r="AI24">
        <f ca="1">IF(AND($B$294=1,LEN($AI$176) * LEN($AI$162)&gt;0),$AI$176/$AI$162*100,HLOOKUP(INDIRECT(ADDRESS(2,COLUMN())),OFFSET($AT$2,0,0,ROW()-1,40),ROW()-1,FALSE))</f>
        <v>1.5459535E-2</v>
      </c>
      <c r="AJ24">
        <f ca="1">IF(AND($B$294=1,LEN($AJ$176) * LEN($AJ$162)&gt;0),$AJ$176/$AJ$162*100,HLOOKUP(INDIRECT(ADDRESS(2,COLUMN())),OFFSET($AT$2,0,0,ROW()-1,40),ROW()-1,FALSE))</f>
        <v>2.3952095999999999E-2</v>
      </c>
      <c r="AK24">
        <f ca="1">IF(AND($B$294=1,LEN($AK$176) * LEN($AK$162)&gt;0),$AK$176/$AK$162*100,HLOOKUP(INDIRECT(ADDRESS(2,COLUMN())),OFFSET($AT$2,0,0,ROW()-1,40),ROW()-1,FALSE))</f>
        <v>3.9673089999999996E-3</v>
      </c>
      <c r="AL24">
        <f ca="1">IF(AND($B$294=1,LEN($AL$176) * LEN($AL$162)&gt;0),$AL$176/$AL$162*100,HLOOKUP(INDIRECT(ADDRESS(2,COLUMN())),OFFSET($AT$2,0,0,ROW()-1,40),ROW()-1,FALSE))</f>
        <v>4.6140360000000002E-3</v>
      </c>
      <c r="AM24">
        <f ca="1">IF(AND($B$294=1,LEN($AM$176) * LEN($AM$162)&gt;0),$AM$176/$AM$162*100,HLOOKUP(INDIRECT(ADDRESS(2,COLUMN())),OFFSET($AT$2,0,0,ROW()-1,40),ROW()-1,FALSE))</f>
        <v>1.4164306E-2</v>
      </c>
      <c r="AN24">
        <f ca="1">IF(AND($B$294=1,LEN($AN$176) * LEN($AN$162)&gt;0),$AN$176/$AN$162*100,HLOOKUP(INDIRECT(ADDRESS(2,COLUMN())),OFFSET($AT$2,0,0,ROW()-1,40),ROW()-1,FALSE))</f>
        <v>3.5085260000000001E-3</v>
      </c>
      <c r="AO24">
        <f ca="1">IF(AND($B$294=1,LEN($AO$176) * LEN($AO$162)&gt;0),$AO$176/$AO$162*100,HLOOKUP(INDIRECT(ADDRESS(2,COLUMN())),OFFSET($AT$2,0,0,ROW()-1,40),ROW()-1,FALSE))</f>
        <v>3.2754668000000001E-2</v>
      </c>
      <c r="AP24">
        <f ca="1">IF(AND($B$294=1,LEN($AP$176) * LEN($AP$162)&gt;0),$AP$176/$AP$162*100,HLOOKUP(INDIRECT(ADDRESS(2,COLUMN())),OFFSET($AT$2,0,0,ROW()-1,40),ROW()-1,FALSE))</f>
        <v>1.1014428999999999E-2</v>
      </c>
      <c r="AQ24">
        <f ca="1">IF(AND($B$294=1,LEN($AQ$176) * LEN($AQ$162)&gt;0),$AQ$176/$AQ$162*100,HLOOKUP(INDIRECT(ADDRESS(2,COLUMN())),OFFSET($AT$2,0,0,ROW()-1,40),ROW()-1,FALSE))</f>
        <v>2.0469153E-2</v>
      </c>
      <c r="AR24">
        <f ca="1">IF(AND($B$294=1,LEN($AR$176) * LEN($AR$162)&gt;0),$AR$176/$AR$162*100,HLOOKUP(INDIRECT(ADDRESS(2,COLUMN())),OFFSET($AT$2,0,0,ROW()-1,40),ROW()-1,FALSE))</f>
        <v>4.6019327999999998E-2</v>
      </c>
      <c r="AS24">
        <f ca="1">IF(AND($B$294=1,LEN($AS$176) * LEN($AS$162)&gt;0),$AS$176/$AS$162*100,HLOOKUP(INDIRECT(ADDRESS(2,COLUMN())),OFFSET($AT$2,0,0,ROW()-1,40),ROW()-1,FALSE))</f>
        <v>5.1148714999999997E-2</v>
      </c>
      <c r="AT24">
        <f>1.69286578</f>
        <v>1.69286578</v>
      </c>
      <c r="AU24">
        <f>2.316894206</f>
        <v>2.3168942060000002</v>
      </c>
      <c r="AV24">
        <f>1.615956415</f>
        <v>1.6159564150000001</v>
      </c>
      <c r="AW24">
        <f>1.906941266</f>
        <v>1.906941266</v>
      </c>
      <c r="AX24">
        <f>2.287493232</f>
        <v>2.2874932320000001</v>
      </c>
      <c r="AY24">
        <f>2.043544691</f>
        <v>2.0435446910000001</v>
      </c>
      <c r="AZ24">
        <f>2.211452763</f>
        <v>2.211452763</v>
      </c>
      <c r="BA24">
        <f>2.279172897</f>
        <v>2.279172897</v>
      </c>
      <c r="BB24">
        <f>1.613233987</f>
        <v>1.6132339870000001</v>
      </c>
      <c r="BC24">
        <f>2.43150445</f>
        <v>2.4315044499999998</v>
      </c>
      <c r="BD24">
        <f>0.036902071</f>
        <v>3.6902071000000002E-2</v>
      </c>
      <c r="BE24">
        <f>0.052238416</f>
        <v>5.2238416000000003E-2</v>
      </c>
      <c r="BF24">
        <f>0.016261044</f>
        <v>1.6261043999999999E-2</v>
      </c>
      <c r="BG24">
        <f>0.121279499</f>
        <v>0.121279499</v>
      </c>
      <c r="BH24">
        <f>0.088066931</f>
        <v>8.8066931000000001E-2</v>
      </c>
      <c r="BI24">
        <f>0.062390108</f>
        <v>6.2390108E-2</v>
      </c>
      <c r="BJ24">
        <f>0.132631858</f>
        <v>0.13263185799999999</v>
      </c>
      <c r="BK24">
        <f>0.041193702</f>
        <v>4.1193701999999999E-2</v>
      </c>
      <c r="BL24">
        <f>0.033496028</f>
        <v>3.3496027999999997E-2</v>
      </c>
      <c r="BM24">
        <f>0.016592003</f>
        <v>1.6592003000000001E-2</v>
      </c>
      <c r="BN24">
        <f>0</f>
        <v>0</v>
      </c>
      <c r="BO24">
        <f>0.020623872</f>
        <v>2.0623872000000001E-2</v>
      </c>
      <c r="BP24">
        <f>0.011642799</f>
        <v>1.1642799000000001E-2</v>
      </c>
      <c r="BQ24">
        <f>0.008560911</f>
        <v>8.5609109999999992E-3</v>
      </c>
      <c r="BR24">
        <f>0.020806458</f>
        <v>2.0806458E-2</v>
      </c>
      <c r="BS24">
        <f>0.01549907</f>
        <v>1.549907E-2</v>
      </c>
      <c r="BT24">
        <f>0.056928157</f>
        <v>5.6928157E-2</v>
      </c>
      <c r="BU24">
        <f>0.046292999</f>
        <v>4.6292999000000001E-2</v>
      </c>
      <c r="BV24">
        <f>0.050157159</f>
        <v>5.0157159E-2</v>
      </c>
      <c r="BW24">
        <f>0.015459535</f>
        <v>1.5459535E-2</v>
      </c>
      <c r="BX24">
        <f>0.023952096</f>
        <v>2.3952095999999999E-2</v>
      </c>
      <c r="BY24">
        <f>0.003967309</f>
        <v>3.9673089999999996E-3</v>
      </c>
      <c r="BZ24">
        <f>0.004614036</f>
        <v>4.6140360000000002E-3</v>
      </c>
      <c r="CA24">
        <f>0.014164306</f>
        <v>1.4164306E-2</v>
      </c>
      <c r="CB24">
        <f>0.003508526</f>
        <v>3.5085260000000001E-3</v>
      </c>
      <c r="CC24">
        <f>0.032754668</f>
        <v>3.2754668000000001E-2</v>
      </c>
      <c r="CD24">
        <f>0.011014429</f>
        <v>1.1014428999999999E-2</v>
      </c>
      <c r="CE24">
        <f>0.020469153</f>
        <v>2.0469153E-2</v>
      </c>
      <c r="CF24">
        <f>0.046019328</f>
        <v>4.6019327999999998E-2</v>
      </c>
      <c r="CG24">
        <f>0.051148715</f>
        <v>5.1148714999999997E-2</v>
      </c>
    </row>
    <row r="25" spans="1:85" x14ac:dyDescent="0.25">
      <c r="A25" t="str">
        <f>"United States (Class 8)"</f>
        <v>United States (Class 8)</v>
      </c>
      <c r="B25" t="str">
        <f>"TRCKUS8S Index"</f>
        <v>TRCKUS8S Index</v>
      </c>
      <c r="E25" t="str">
        <f>"Sum"</f>
        <v>Sum</v>
      </c>
      <c r="F25">
        <f ca="1">IF(ISERROR(IF(SUM($F$26,$F$30,$F$33,$F$36,$F$38) = 0, "", SUM($F$26,$F$30,$F$33,$F$36,$F$38))), "", (IF(SUM($F$26,$F$30,$F$33,$F$36,$F$38) = 0, "", SUM($F$26,$F$30,$F$33,$F$36,$F$38))))</f>
        <v>99.999999994999996</v>
      </c>
      <c r="G25">
        <f ca="1">IF(ISERROR(IF(SUM($G$26,$G$30,$G$33,$G$36,$G$38) = 0, "", SUM($G$26,$G$30,$G$33,$G$36,$G$38))), "", (IF(SUM($G$26,$G$30,$G$33,$G$36,$G$38) = 0, "", SUM($G$26,$G$30,$G$33,$G$36,$G$38))))</f>
        <v>100.000000004</v>
      </c>
      <c r="H25">
        <f ca="1">IF(ISERROR(IF(SUM($H$26,$H$30,$H$33,$H$36,$H$38) = 0, "", SUM($H$26,$H$30,$H$33,$H$36,$H$38))), "", (IF(SUM($H$26,$H$30,$H$33,$H$36,$H$38) = 0, "", SUM($H$26,$H$30,$H$33,$H$36,$H$38))))</f>
        <v>99.999999993000003</v>
      </c>
      <c r="I25">
        <f ca="1">IF(ISERROR(IF(SUM($I$26,$I$30,$I$33,$I$36,$I$38) = 0, "", SUM($I$26,$I$30,$I$33,$I$36,$I$38))), "", (IF(SUM($I$26,$I$30,$I$33,$I$36,$I$38) = 0, "", SUM($I$26,$I$30,$I$33,$I$36,$I$38))))</f>
        <v>99.999999993999992</v>
      </c>
      <c r="J25">
        <f ca="1">IF(ISERROR(IF(SUM($J$26,$J$30,$J$33,$J$36,$J$38) = 0, "", SUM($J$26,$J$30,$J$33,$J$36,$J$38))), "", (IF(SUM($J$26,$J$30,$J$33,$J$36,$J$38) = 0, "", SUM($J$26,$J$30,$J$33,$J$36,$J$38))))</f>
        <v>100.00000000400001</v>
      </c>
      <c r="K25">
        <f ca="1">IF(ISERROR(IF(SUM($K$26,$K$30,$K$33,$K$36,$K$38) = 0, "", SUM($K$26,$K$30,$K$33,$K$36,$K$38))), "", (IF(SUM($K$26,$K$30,$K$33,$K$36,$K$38) = 0, "", SUM($K$26,$K$30,$K$33,$K$36,$K$38))))</f>
        <v>100.000000003</v>
      </c>
      <c r="L25">
        <f ca="1">IF(ISERROR(IF(SUM($L$26,$L$30,$L$33,$L$36,$L$38) = 0, "", SUM($L$26,$L$30,$L$33,$L$36,$L$38))), "", (IF(SUM($L$26,$L$30,$L$33,$L$36,$L$38) = 0, "", SUM($L$26,$L$30,$L$33,$L$36,$L$38))))</f>
        <v>100.00000000199999</v>
      </c>
      <c r="M25">
        <f ca="1">IF(ISERROR(IF(SUM($M$26,$M$30,$M$33,$M$36,$M$38) = 0, "", SUM($M$26,$M$30,$M$33,$M$36,$M$38))), "", (IF(SUM($M$26,$M$30,$M$33,$M$36,$M$38) = 0, "", SUM($M$26,$M$30,$M$33,$M$36,$M$38))))</f>
        <v>100.00000000600001</v>
      </c>
      <c r="N25">
        <f ca="1">IF(ISERROR(IF(SUM($N$26,$N$30,$N$33,$N$36,$N$38) = 0, "", SUM($N$26,$N$30,$N$33,$N$36,$N$38))), "", (IF(SUM($N$26,$N$30,$N$33,$N$36,$N$38) = 0, "", SUM($N$26,$N$30,$N$33,$N$36,$N$38))))</f>
        <v>100.000000001</v>
      </c>
      <c r="O25">
        <f ca="1">IF(ISERROR(IF(SUM($O$26,$O$30,$O$33,$O$36,$O$38) = 0, "", SUM($O$26,$O$30,$O$33,$O$36,$O$38))), "", (IF(SUM($O$26,$O$30,$O$33,$O$36,$O$38) = 0, "", SUM($O$26,$O$30,$O$33,$O$36,$O$38))))</f>
        <v>99.999999998999996</v>
      </c>
      <c r="P25">
        <f ca="1">IF(ISERROR(IF(SUM($P$26,$P$30,$P$33,$P$36,$P$38) = 0, "", SUM($P$26,$P$30,$P$33,$P$36,$P$38))), "", (IF(SUM($P$26,$P$30,$P$33,$P$36,$P$38) = 0, "", SUM($P$26,$P$30,$P$33,$P$36,$P$38))))</f>
        <v>99.999999990999996</v>
      </c>
      <c r="Q25">
        <f ca="1">IF(ISERROR(IF(SUM($Q$26,$Q$30,$Q$33,$Q$36,$Q$38) = 0, "", SUM($Q$26,$Q$30,$Q$33,$Q$36,$Q$38))), "", (IF(SUM($Q$26,$Q$30,$Q$33,$Q$36,$Q$38) = 0, "", SUM($Q$26,$Q$30,$Q$33,$Q$36,$Q$38))))</f>
        <v>100.000000004</v>
      </c>
      <c r="R25">
        <f ca="1">IF(ISERROR(IF(SUM($R$26,$R$30,$R$33,$R$36,$R$38) = 0, "", SUM($R$26,$R$30,$R$33,$R$36,$R$38))), "", (IF(SUM($R$26,$R$30,$R$33,$R$36,$R$38) = 0, "", SUM($R$26,$R$30,$R$33,$R$36,$R$38))))</f>
        <v>99.999999999000011</v>
      </c>
      <c r="S25">
        <f ca="1">IF(ISERROR(IF(SUM($S$26,$S$30,$S$33,$S$36,$S$38) = 0, "", SUM($S$26,$S$30,$S$33,$S$36,$S$38))), "", (IF(SUM($S$26,$S$30,$S$33,$S$36,$S$38) = 0, "", SUM($S$26,$S$30,$S$33,$S$36,$S$38))))</f>
        <v>100.00000000000001</v>
      </c>
      <c r="T25">
        <f ca="1">IF(ISERROR(IF(SUM($T$26,$T$30,$T$33,$T$36,$T$38) = 0, "", SUM($T$26,$T$30,$T$33,$T$36,$T$38))), "", (IF(SUM($T$26,$T$30,$T$33,$T$36,$T$38) = 0, "", SUM($T$26,$T$30,$T$33,$T$36,$T$38))))</f>
        <v>99.999999997999993</v>
      </c>
      <c r="U25">
        <f ca="1">IF(ISERROR(IF(SUM($U$26,$U$30,$U$33,$U$36,$U$38) = 0, "", SUM($U$26,$U$30,$U$33,$U$36,$U$38))), "", (IF(SUM($U$26,$U$30,$U$33,$U$36,$U$38) = 0, "", SUM($U$26,$U$30,$U$33,$U$36,$U$38))))</f>
        <v>100</v>
      </c>
      <c r="V25">
        <f ca="1">IF(ISERROR(IF(SUM($V$26,$V$30,$V$33,$V$36,$V$38) = 0, "", SUM($V$26,$V$30,$V$33,$V$36,$V$38))), "", (IF(SUM($V$26,$V$30,$V$33,$V$36,$V$38) = 0, "", SUM($V$26,$V$30,$V$33,$V$36,$V$38))))</f>
        <v>100.00000000300001</v>
      </c>
      <c r="W25">
        <f ca="1">IF(ISERROR(IF(SUM($W$26,$W$30,$W$33,$W$36,$W$38) = 0, "", SUM($W$26,$W$30,$W$33,$W$36,$W$38))), "", (IF(SUM($W$26,$W$30,$W$33,$W$36,$W$38) = 0, "", SUM($W$26,$W$30,$W$33,$W$36,$W$38))))</f>
        <v>100.000000005</v>
      </c>
      <c r="X25">
        <f ca="1">IF(ISERROR(IF(SUM($X$26,$X$30,$X$33,$X$36,$X$38) = 0, "", SUM($X$26,$X$30,$X$33,$X$36,$X$38))), "", (IF(SUM($X$26,$X$30,$X$33,$X$36,$X$38) = 0, "", SUM($X$26,$X$30,$X$33,$X$36,$X$38))))</f>
        <v>99.999999991999999</v>
      </c>
      <c r="Y25">
        <f ca="1">IF(ISERROR(IF(SUM($Y$26,$Y$30,$Y$33,$Y$36,$Y$38) = 0, "", SUM($Y$26,$Y$30,$Y$33,$Y$36,$Y$38))), "", (IF(SUM($Y$26,$Y$30,$Y$33,$Y$36,$Y$38) = 0, "", SUM($Y$26,$Y$30,$Y$33,$Y$36,$Y$38))))</f>
        <v>100.00000000500002</v>
      </c>
      <c r="Z25">
        <f ca="1">IF(ISERROR(IF(SUM($Z$26,$Z$30,$Z$33,$Z$36,$Z$38) = 0, "", SUM($Z$26,$Z$30,$Z$33,$Z$36,$Z$38))), "", (IF(SUM($Z$26,$Z$30,$Z$33,$Z$36,$Z$38) = 0, "", SUM($Z$26,$Z$30,$Z$33,$Z$36,$Z$38))))</f>
        <v>100</v>
      </c>
      <c r="AA25">
        <f ca="1">IF(ISERROR(IF(SUM($AA$26,$AA$30,$AA$33,$AA$36,$AA$38) = 0, "", SUM($AA$26,$AA$30,$AA$33,$AA$36,$AA$38))), "", (IF(SUM($AA$26,$AA$30,$AA$33,$AA$36,$AA$38) = 0, "", SUM($AA$26,$AA$30,$AA$33,$AA$36,$AA$38))))</f>
        <v>99.999999993000003</v>
      </c>
      <c r="AB25">
        <f ca="1">IF(ISERROR(IF(SUM($AB$26,$AB$30,$AB$33,$AB$36,$AB$38) = 0, "", SUM($AB$26,$AB$30,$AB$33,$AB$36,$AB$38))), "", (IF(SUM($AB$26,$AB$30,$AB$33,$AB$36,$AB$38) = 0, "", SUM($AB$26,$AB$30,$AB$33,$AB$36,$AB$38))))</f>
        <v>99.999999990000006</v>
      </c>
      <c r="AC25">
        <f ca="1">IF(ISERROR(IF(SUM($AC$26,$AC$30,$AC$33,$AC$36,$AC$38) = 0, "", SUM($AC$26,$AC$30,$AC$33,$AC$36,$AC$38))), "", (IF(SUM($AC$26,$AC$30,$AC$33,$AC$36,$AC$38) = 0, "", SUM($AC$26,$AC$30,$AC$33,$AC$36,$AC$38))))</f>
        <v>100.00000000099999</v>
      </c>
      <c r="AD25">
        <f ca="1">IF(ISERROR(IF(SUM($AD$26,$AD$30,$AD$33,$AD$36,$AD$38) = 0, "", SUM($AD$26,$AD$30,$AD$33,$AD$36,$AD$38))), "", (IF(SUM($AD$26,$AD$30,$AD$33,$AD$36,$AD$38) = 0, "", SUM($AD$26,$AD$30,$AD$33,$AD$36,$AD$38))))</f>
        <v>99.999999994000007</v>
      </c>
      <c r="AE25">
        <f ca="1">IF(ISERROR(IF(SUM($AE$26,$AE$30,$AE$33,$AE$36,$AE$38) = 0, "", SUM($AE$26,$AE$30,$AE$33,$AE$36,$AE$38))), "", (IF(SUM($AE$26,$AE$30,$AE$33,$AE$36,$AE$38) = 0, "", SUM($AE$26,$AE$30,$AE$33,$AE$36,$AE$38))))</f>
        <v>99.999999997999993</v>
      </c>
      <c r="AF25">
        <f ca="1">IF(ISERROR(IF(SUM($AF$26,$AF$30,$AF$33,$AF$36,$AF$38) = 0, "", SUM($AF$26,$AF$30,$AF$33,$AF$36,$AF$38))), "", (IF(SUM($AF$26,$AF$30,$AF$33,$AF$36,$AF$38) = 0, "", SUM($AF$26,$AF$30,$AF$33,$AF$36,$AF$38))))</f>
        <v>100.000000009</v>
      </c>
      <c r="AG25">
        <f ca="1">IF(ISERROR(IF(SUM($AG$26,$AG$30,$AG$33,$AG$36,$AG$38) = 0, "", SUM($AG$26,$AG$30,$AG$33,$AG$36,$AG$38))), "", (IF(SUM($AG$26,$AG$30,$AG$33,$AG$36,$AG$38) = 0, "", SUM($AG$26,$AG$30,$AG$33,$AG$36,$AG$38))))</f>
        <v>100.00000000300001</v>
      </c>
      <c r="AH25">
        <f ca="1">IF(ISERROR(IF(SUM($AH$26,$AH$30,$AH$33,$AH$36,$AH$38) = 0, "", SUM($AH$26,$AH$30,$AH$33,$AH$36,$AH$38))), "", (IF(SUM($AH$26,$AH$30,$AH$33,$AH$36,$AH$38) = 0, "", SUM($AH$26,$AH$30,$AH$33,$AH$36,$AH$38))))</f>
        <v>100</v>
      </c>
      <c r="AI25">
        <f ca="1">IF(ISERROR(IF(SUM($AI$26,$AI$30,$AI$33,$AI$36,$AI$38) = 0, "", SUM($AI$26,$AI$30,$AI$33,$AI$36,$AI$38))), "", (IF(SUM($AI$26,$AI$30,$AI$33,$AI$36,$AI$38) = 0, "", SUM($AI$26,$AI$30,$AI$33,$AI$36,$AI$38))))</f>
        <v>100.00000000499999</v>
      </c>
      <c r="AJ25">
        <f ca="1">IF(ISERROR(IF(SUM($AJ$26,$AJ$30,$AJ$33,$AJ$36,$AJ$38) = 0, "", SUM($AJ$26,$AJ$30,$AJ$33,$AJ$36,$AJ$38))), "", (IF(SUM($AJ$26,$AJ$30,$AJ$33,$AJ$36,$AJ$38) = 0, "", SUM($AJ$26,$AJ$30,$AJ$33,$AJ$36,$AJ$38))))</f>
        <v>99.999999996</v>
      </c>
      <c r="AK25">
        <f ca="1">IF(ISERROR(IF(SUM($AK$26,$AK$30,$AK$33,$AK$36,$AK$38) = 0, "", SUM($AK$26,$AK$30,$AK$33,$AK$36,$AK$38))), "", (IF(SUM($AK$26,$AK$30,$AK$33,$AK$36,$AK$38) = 0, "", SUM($AK$26,$AK$30,$AK$33,$AK$36,$AK$38))))</f>
        <v>99.999999999000011</v>
      </c>
      <c r="AL25">
        <f ca="1">IF(ISERROR(IF(SUM($AL$26,$AL$30,$AL$33,$AL$36,$AL$38) = 0, "", SUM($AL$26,$AL$30,$AL$33,$AL$36,$AL$38))), "", (IF(SUM($AL$26,$AL$30,$AL$33,$AL$36,$AL$38) = 0, "", SUM($AL$26,$AL$30,$AL$33,$AL$36,$AL$38))))</f>
        <v>99.999999998999996</v>
      </c>
      <c r="AM25">
        <f ca="1">IF(ISERROR(IF(SUM($AM$26,$AM$30,$AM$33,$AM$36,$AM$38) = 0, "", SUM($AM$26,$AM$30,$AM$33,$AM$36,$AM$38))), "", (IF(SUM($AM$26,$AM$30,$AM$33,$AM$36,$AM$38) = 0, "", SUM($AM$26,$AM$30,$AM$33,$AM$36,$AM$38))))</f>
        <v>99.999999999000011</v>
      </c>
      <c r="AN25">
        <f ca="1">IF(ISERROR(IF(SUM($AN$26,$AN$30,$AN$33,$AN$36,$AN$38) = 0, "", SUM($AN$26,$AN$30,$AN$33,$AN$36,$AN$38))), "", (IF(SUM($AN$26,$AN$30,$AN$33,$AN$36,$AN$38) = 0, "", SUM($AN$26,$AN$30,$AN$33,$AN$36,$AN$38))))</f>
        <v>100</v>
      </c>
      <c r="AO25">
        <f ca="1">IF(ISERROR(IF(SUM($AO$26,$AO$30,$AO$33,$AO$36,$AO$38) = 0, "", SUM($AO$26,$AO$30,$AO$33,$AO$36,$AO$38))), "", (IF(SUM($AO$26,$AO$30,$AO$33,$AO$36,$AO$38) = 0, "", SUM($AO$26,$AO$30,$AO$33,$AO$36,$AO$38))))</f>
        <v>99.999999997999993</v>
      </c>
      <c r="AP25">
        <f ca="1">IF(ISERROR(IF(SUM($AP$26,$AP$30,$AP$33,$AP$36,$AP$38) = 0, "", SUM($AP$26,$AP$30,$AP$33,$AP$36,$AP$38))), "", (IF(SUM($AP$26,$AP$30,$AP$33,$AP$36,$AP$38) = 0, "", SUM($AP$26,$AP$30,$AP$33,$AP$36,$AP$38))))</f>
        <v>100.000000003</v>
      </c>
      <c r="AQ25">
        <f ca="1">IF(ISERROR(IF(SUM($AQ$26,$AQ$30,$AQ$33,$AQ$36,$AQ$38) = 0, "", SUM($AQ$26,$AQ$30,$AQ$33,$AQ$36,$AQ$38))), "", (IF(SUM($AQ$26,$AQ$30,$AQ$33,$AQ$36,$AQ$38) = 0, "", SUM($AQ$26,$AQ$30,$AQ$33,$AQ$36,$AQ$38))))</f>
        <v>99.999999998000007</v>
      </c>
      <c r="AR25">
        <f ca="1">IF(ISERROR(IF(SUM($AR$26,$AR$30,$AR$33,$AR$36,$AR$38) = 0, "", SUM($AR$26,$AR$30,$AR$33,$AR$36,$AR$38))), "", (IF(SUM($AR$26,$AR$30,$AR$33,$AR$36,$AR$38) = 0, "", SUM($AR$26,$AR$30,$AR$33,$AR$36,$AR$38))))</f>
        <v>100.00000000199999</v>
      </c>
      <c r="AS25">
        <f ca="1">IF(ISERROR(IF(SUM($AS$26,$AS$30,$AS$33,$AS$36,$AS$38) = 0, "", SUM($AS$26,$AS$30,$AS$33,$AS$36,$AS$38))), "", (IF(SUM($AS$26,$AS$30,$AS$33,$AS$36,$AS$38) = 0, "", SUM($AS$26,$AS$30,$AS$33,$AS$36,$AS$38))))</f>
        <v>99.999999988999988</v>
      </c>
      <c r="AT25">
        <f>100</f>
        <v>100</v>
      </c>
      <c r="AU25">
        <f>100</f>
        <v>100</v>
      </c>
      <c r="AV25">
        <f>100</f>
        <v>100</v>
      </c>
      <c r="AW25">
        <f>100</f>
        <v>100</v>
      </c>
      <c r="AX25">
        <f>100</f>
        <v>100</v>
      </c>
      <c r="AY25">
        <f>100</f>
        <v>100</v>
      </c>
      <c r="AZ25">
        <f>100</f>
        <v>100</v>
      </c>
      <c r="BA25">
        <f>100</f>
        <v>100</v>
      </c>
      <c r="BB25">
        <f>100</f>
        <v>100</v>
      </c>
      <c r="BC25">
        <f>100</f>
        <v>100</v>
      </c>
      <c r="BD25">
        <f>100</f>
        <v>100</v>
      </c>
      <c r="BE25">
        <f>100</f>
        <v>100</v>
      </c>
      <c r="BF25">
        <f>100</f>
        <v>100</v>
      </c>
      <c r="BG25">
        <f>100</f>
        <v>100</v>
      </c>
      <c r="BH25">
        <f>100</f>
        <v>100</v>
      </c>
      <c r="BI25">
        <f>100</f>
        <v>100</v>
      </c>
      <c r="BJ25">
        <f>100</f>
        <v>100</v>
      </c>
      <c r="BK25">
        <f>100</f>
        <v>100</v>
      </c>
      <c r="BL25">
        <f>100</f>
        <v>100</v>
      </c>
      <c r="BM25">
        <f>100</f>
        <v>100</v>
      </c>
      <c r="BN25">
        <f>100</f>
        <v>100</v>
      </c>
      <c r="BO25">
        <f>100</f>
        <v>100</v>
      </c>
      <c r="BP25">
        <f>100</f>
        <v>100</v>
      </c>
      <c r="BQ25">
        <f>100</f>
        <v>100</v>
      </c>
      <c r="BR25">
        <f>100</f>
        <v>100</v>
      </c>
      <c r="BS25">
        <f>100</f>
        <v>100</v>
      </c>
      <c r="BT25">
        <f>100</f>
        <v>100</v>
      </c>
      <c r="BU25">
        <f>100</f>
        <v>100</v>
      </c>
      <c r="BV25">
        <f>100</f>
        <v>100</v>
      </c>
      <c r="BW25">
        <f>100</f>
        <v>100</v>
      </c>
      <c r="BX25">
        <f>100</f>
        <v>100</v>
      </c>
      <c r="BY25">
        <f>100</f>
        <v>100</v>
      </c>
      <c r="BZ25">
        <f>100</f>
        <v>100</v>
      </c>
      <c r="CA25">
        <f>100</f>
        <v>100</v>
      </c>
      <c r="CB25">
        <f>100</f>
        <v>100</v>
      </c>
      <c r="CC25">
        <f>100</f>
        <v>100</v>
      </c>
      <c r="CD25">
        <f>100</f>
        <v>100</v>
      </c>
      <c r="CE25">
        <f>100</f>
        <v>100</v>
      </c>
      <c r="CF25">
        <f>100</f>
        <v>100</v>
      </c>
      <c r="CG25">
        <f>100</f>
        <v>100</v>
      </c>
    </row>
    <row r="26" spans="1:85" x14ac:dyDescent="0.25">
      <c r="A26" t="str">
        <f>"    Daimler"</f>
        <v xml:space="preserve">    Daimler</v>
      </c>
      <c r="B26" t="str">
        <f>"DAI GR Equity"</f>
        <v>DAI GR Equity</v>
      </c>
      <c r="E26" t="str">
        <f>"Sum"</f>
        <v>Sum</v>
      </c>
      <c r="F26">
        <f ca="1">IF(ISERROR(IF(SUM($F$27:$F$29) = 0, "", SUM($F$27:$F$29))), "", (IF(SUM($F$27:$F$29) = 0, "", SUM($F$27:$F$29))))</f>
        <v>37.410754130000001</v>
      </c>
      <c r="G26">
        <f ca="1">IF(ISERROR(IF(SUM($G$27:$G$29) = 0, "", SUM($G$27:$G$29))), "", (IF(SUM($G$27:$G$29) = 0, "", SUM($G$27:$G$29))))</f>
        <v>43.385973851999999</v>
      </c>
      <c r="H26">
        <f ca="1">IF(ISERROR(IF(SUM($H$27:$H$29) = 0, "", SUM($H$27:$H$29))), "", (IF(SUM($H$27:$H$29) = 0, "", SUM($H$27:$H$29))))</f>
        <v>36.822789233000002</v>
      </c>
      <c r="I26">
        <f ca="1">IF(ISERROR(IF(SUM($I$27:$I$29) = 0, "", SUM($I$27:$I$29))), "", (IF(SUM($I$27:$I$29) = 0, "", SUM($I$27:$I$29))))</f>
        <v>40.667232485</v>
      </c>
      <c r="J26">
        <f ca="1">IF(ISERROR(IF(SUM($J$27:$J$29) = 0, "", SUM($J$27:$J$29))), "", (IF(SUM($J$27:$J$29) = 0, "", SUM($J$27:$J$29))))</f>
        <v>39.705372616000005</v>
      </c>
      <c r="K26">
        <f ca="1">IF(ISERROR(IF(SUM($K$27:$K$29) = 0, "", SUM($K$27:$K$29))), "", (IF(SUM($K$27:$K$29) = 0, "", SUM($K$27:$K$29))))</f>
        <v>44.959379616</v>
      </c>
      <c r="L26">
        <f ca="1">IF(ISERROR(IF(SUM($L$27:$L$29) = 0, "", SUM($L$27:$L$29))), "", (IF(SUM($L$27:$L$29) = 0, "", SUM($L$27:$L$29))))</f>
        <v>39.006938419000001</v>
      </c>
      <c r="M26">
        <f ca="1">IF(ISERROR(IF(SUM($M$27:$M$29) = 0, "", SUM($M$27:$M$29))), "", (IF(SUM($M$27:$M$29) = 0, "", SUM($M$27:$M$29))))</f>
        <v>38.998174812000002</v>
      </c>
      <c r="N26">
        <f ca="1">IF(ISERROR(IF(SUM($N$27:$N$29) = 0, "", SUM($N$27:$N$29))), "", (IF(SUM($N$27:$N$29) = 0, "", SUM($N$27:$N$29))))</f>
        <v>40.991071431000002</v>
      </c>
      <c r="O26">
        <f ca="1">IF(ISERROR(IF(SUM($O$27:$O$29) = 0, "", SUM($O$27:$O$29))), "", (IF(SUM($O$27:$O$29) = 0, "", SUM($O$27:$O$29))))</f>
        <v>39.738669586999997</v>
      </c>
      <c r="P26">
        <f ca="1">IF(ISERROR(IF(SUM($P$27:$P$29) = 0, "", SUM($P$27:$P$29))), "", (IF(SUM($P$27:$P$29) = 0, "", SUM($P$27:$P$29))))</f>
        <v>31.326380441999998</v>
      </c>
      <c r="Q26">
        <f ca="1">IF(ISERROR(IF(SUM($Q$27:$Q$29) = 0, "", SUM($Q$27:$Q$29))), "", (IF(SUM($Q$27:$Q$29) = 0, "", SUM($Q$27:$Q$29))))</f>
        <v>42.609194578</v>
      </c>
      <c r="R26">
        <f ca="1">IF(ISERROR(IF(SUM($R$27:$R$29) = 0, "", SUM($R$27:$R$29))), "", (IF(SUM($R$27:$R$29) = 0, "", SUM($R$27:$R$29))))</f>
        <v>34.469085032999999</v>
      </c>
      <c r="S26">
        <f ca="1">IF(ISERROR(IF(SUM($S$27:$S$29) = 0, "", SUM($S$27:$S$29))), "", (IF(SUM($S$27:$S$29) = 0, "", SUM($S$27:$S$29))))</f>
        <v>36.504543025000004</v>
      </c>
      <c r="T26">
        <f ca="1">IF(ISERROR(IF(SUM($T$27:$T$29) = 0, "", SUM($T$27:$T$29))), "", (IF(SUM($T$27:$T$29) = 0, "", SUM($T$27:$T$29))))</f>
        <v>40.050424300000003</v>
      </c>
      <c r="U26">
        <f ca="1">IF(ISERROR(IF(SUM($U$27:$U$29) = 0, "", SUM($U$27:$U$29))), "", (IF(SUM($U$27:$U$29) = 0, "", SUM($U$27:$U$29))))</f>
        <v>37.607383741</v>
      </c>
      <c r="V26">
        <f ca="1">IF(ISERROR(IF(SUM($V$27:$V$29) = 0, "", SUM($V$27:$V$29))), "", (IF(SUM($V$27:$V$29) = 0, "", SUM($V$27:$V$29))))</f>
        <v>39.108641169000002</v>
      </c>
      <c r="W26">
        <f ca="1">IF(ISERROR(IF(SUM($W$27:$W$29) = 0, "", SUM($W$27:$W$29))), "", (IF(SUM($W$27:$W$29) = 0, "", SUM($W$27:$W$29))))</f>
        <v>43.178142330999997</v>
      </c>
      <c r="X26">
        <f ca="1">IF(ISERROR(IF(SUM($X$27:$X$29) = 0, "", SUM($X$27:$X$29))), "", (IF(SUM($X$27:$X$29) = 0, "", SUM($X$27:$X$29))))</f>
        <v>41.129080739000003</v>
      </c>
      <c r="Y26">
        <f ca="1">IF(ISERROR(IF(SUM($Y$27:$Y$29) = 0, "", SUM($Y$27:$Y$29))), "", (IF(SUM($Y$27:$Y$29) = 0, "", SUM($Y$27:$Y$29))))</f>
        <v>45.108315862000005</v>
      </c>
      <c r="Z26">
        <f ca="1">IF(ISERROR(IF(SUM($Z$27:$Z$29) = 0, "", SUM($Z$27:$Z$29))), "", (IF(SUM($Z$27:$Z$29) = 0, "", SUM($Z$27:$Z$29))))</f>
        <v>43.197278910000001</v>
      </c>
      <c r="AA26">
        <f ca="1">IF(ISERROR(IF(SUM($AA$27:$AA$29) = 0, "", SUM($AA$27:$AA$29))), "", (IF(SUM($AA$27:$AA$29) = 0, "", SUM($AA$27:$AA$29))))</f>
        <v>45.570255189000001</v>
      </c>
      <c r="AB26">
        <f ca="1">IF(ISERROR(IF(SUM($AB$27:$AB$29) = 0, "", SUM($AB$27:$AB$29))), "", (IF(SUM($AB$27:$AB$29) = 0, "", SUM($AB$27:$AB$29))))</f>
        <v>35.729071386000001</v>
      </c>
      <c r="AC26">
        <f ca="1">IF(ISERROR(IF(SUM($AC$27:$AC$29) = 0, "", SUM($AC$27:$AC$29))), "", (IF(SUM($AC$27:$AC$29) = 0, "", SUM($AC$27:$AC$29))))</f>
        <v>49.937513013</v>
      </c>
      <c r="AD26">
        <f ca="1">IF(ISERROR(IF(SUM($AD$27:$AD$29) = 0, "", SUM($AD$27:$AD$29))), "", (IF(SUM($AD$27:$AD$29) = 0, "", SUM($AD$27:$AD$29))))</f>
        <v>43.752596593</v>
      </c>
      <c r="AE26">
        <f ca="1">IF(ISERROR(IF(SUM($AE$27:$AE$29) = 0, "", SUM($AE$27:$AE$29))), "", (IF(SUM($AE$27:$AE$29) = 0, "", SUM($AE$27:$AE$29))))</f>
        <v>40.041948705999999</v>
      </c>
      <c r="AF26">
        <f ca="1">IF(ISERROR(IF(SUM($AF$27:$AF$29) = 0, "", SUM($AF$27:$AF$29))), "", (IF(SUM($AF$27:$AF$29) = 0, "", SUM($AF$27:$AF$29))))</f>
        <v>39.447247603999998</v>
      </c>
      <c r="AG26">
        <f ca="1">IF(ISERROR(IF(SUM($AG$27:$AG$29) = 0, "", SUM($AG$27:$AG$29))), "", (IF(SUM($AG$27:$AG$29) = 0, "", SUM($AG$27:$AG$29))))</f>
        <v>40.479651159000007</v>
      </c>
      <c r="AH26">
        <f ca="1">IF(ISERROR(IF(SUM($AH$27:$AH$29) = 0, "", SUM($AH$27:$AH$29))), "", (IF(SUM($AH$27:$AH$29) = 0, "", SUM($AH$27:$AH$29))))</f>
        <v>39.115351261999997</v>
      </c>
      <c r="AI26">
        <f ca="1">IF(ISERROR(IF(SUM($AI$27:$AI$29) = 0, "", SUM($AI$27:$AI$29))), "", (IF(SUM($AI$27:$AI$29) = 0, "", SUM($AI$27:$AI$29))))</f>
        <v>40.198084254999998</v>
      </c>
      <c r="AJ26">
        <f ca="1">IF(ISERROR(IF(SUM($AJ$27:$AJ$29) = 0, "", SUM($AJ$27:$AJ$29))), "", (IF(SUM($AJ$27:$AJ$29) = 0, "", SUM($AJ$27:$AJ$29))))</f>
        <v>34.448290989999997</v>
      </c>
      <c r="AK26">
        <f ca="1">IF(ISERROR(IF(SUM($AK$27:$AK$29) = 0, "", SUM($AK$27:$AK$29))), "", (IF(SUM($AK$27:$AK$29) = 0, "", SUM($AK$27:$AK$29))))</f>
        <v>34.821601704999999</v>
      </c>
      <c r="AL26">
        <f ca="1">IF(ISERROR(IF(SUM($AL$27:$AL$29) = 0, "", SUM($AL$27:$AL$29))), "", (IF(SUM($AL$27:$AL$29) = 0, "", SUM($AL$27:$AL$29))))</f>
        <v>41.161616158999998</v>
      </c>
      <c r="AM26">
        <f ca="1">IF(ISERROR(IF(SUM($AM$27:$AM$29) = 0, "", SUM($AM$27:$AM$29))), "", (IF(SUM($AM$27:$AM$29) = 0, "", SUM($AM$27:$AM$29))))</f>
        <v>46.508950672000005</v>
      </c>
      <c r="AN26">
        <f ca="1">IF(ISERROR(IF(SUM($AN$27:$AN$29) = 0, "", SUM($AN$27:$AN$29))), "", (IF(SUM($AN$27:$AN$29) = 0, "", SUM($AN$27:$AN$29))))</f>
        <v>37.781769963000002</v>
      </c>
      <c r="AO26">
        <f ca="1">IF(ISERROR(IF(SUM($AO$27:$AO$29) = 0, "", SUM($AO$27:$AO$29))), "", (IF(SUM($AO$27:$AO$29) = 0, "", SUM($AO$27:$AO$29))))</f>
        <v>35.795522564999999</v>
      </c>
      <c r="AP26">
        <f ca="1">IF(ISERROR(IF(SUM($AP$27:$AP$29) = 0, "", SUM($AP$27:$AP$29))), "", (IF(SUM($AP$27:$AP$29) = 0, "", SUM($AP$27:$AP$29))))</f>
        <v>38.589324619999999</v>
      </c>
      <c r="AQ26">
        <f ca="1">IF(ISERROR(IF(SUM($AQ$27:$AQ$29) = 0, "", SUM($AQ$27:$AQ$29))), "", (IF(SUM($AQ$27:$AQ$29) = 0, "", SUM($AQ$27:$AQ$29))))</f>
        <v>37.234784339000001</v>
      </c>
      <c r="AR26">
        <f ca="1">IF(ISERROR(IF(SUM($AR$27:$AR$29) = 0, "", SUM($AR$27:$AR$29))), "", (IF(SUM($AR$27:$AR$29) = 0, "", SUM($AR$27:$AR$29))))</f>
        <v>37.687878939999997</v>
      </c>
      <c r="AS26">
        <f ca="1">IF(ISERROR(IF(SUM($AS$27:$AS$29) = 0, "", SUM($AS$27:$AS$29))), "", (IF(SUM($AS$27:$AS$29) = 0, "", SUM($AS$27:$AS$29))))</f>
        <v>35.502580746</v>
      </c>
      <c r="AT26">
        <f>37.41075413</f>
        <v>37.410754130000001</v>
      </c>
      <c r="AU26">
        <f>43.38597385</f>
        <v>43.385973849999999</v>
      </c>
      <c r="AV26">
        <f>36.82278923</f>
        <v>36.822789229999998</v>
      </c>
      <c r="AW26">
        <f>40.66723249</f>
        <v>40.667232490000004</v>
      </c>
      <c r="AX26">
        <f>39.70537262</f>
        <v>39.705372619999999</v>
      </c>
      <c r="AY26">
        <f>44.95937962</f>
        <v>44.95937962</v>
      </c>
      <c r="AZ26">
        <f>39.00693842</f>
        <v>39.006938419999997</v>
      </c>
      <c r="BA26">
        <f>38.99817481</f>
        <v>38.998174810000002</v>
      </c>
      <c r="BB26">
        <f>40.99107143</f>
        <v>40.991071429999998</v>
      </c>
      <c r="BC26">
        <f>39.73866959</f>
        <v>39.738669590000001</v>
      </c>
      <c r="BD26">
        <f>31.32638045</f>
        <v>31.326380449999998</v>
      </c>
      <c r="BE26">
        <f>42.60919458</f>
        <v>42.60919458</v>
      </c>
      <c r="BF26">
        <f>34.46908503</f>
        <v>34.469085030000002</v>
      </c>
      <c r="BG26">
        <f>36.50454303</f>
        <v>36.504543030000001</v>
      </c>
      <c r="BH26">
        <f>40.0504243</f>
        <v>40.050424300000003</v>
      </c>
      <c r="BI26">
        <f>37.60738374</f>
        <v>37.607383740000003</v>
      </c>
      <c r="BJ26">
        <f>39.10864117</f>
        <v>39.108641169999999</v>
      </c>
      <c r="BK26">
        <f>43.17814233</f>
        <v>43.17814233</v>
      </c>
      <c r="BL26">
        <f>41.12908074</f>
        <v>41.129080739999999</v>
      </c>
      <c r="BM26">
        <f>45.10831586</f>
        <v>45.108315859999998</v>
      </c>
      <c r="BN26">
        <f>43.19727891</f>
        <v>43.197278910000001</v>
      </c>
      <c r="BO26">
        <f>45.57025519</f>
        <v>45.570255189999997</v>
      </c>
      <c r="BP26">
        <f>35.72907139</f>
        <v>35.729071390000001</v>
      </c>
      <c r="BQ26">
        <f>49.93751302</f>
        <v>49.937513019999997</v>
      </c>
      <c r="BR26">
        <f>43.75259659</f>
        <v>43.752596590000003</v>
      </c>
      <c r="BS26">
        <f>40.04194871</f>
        <v>40.04194871</v>
      </c>
      <c r="BT26">
        <f>39.4472476</f>
        <v>39.447247599999997</v>
      </c>
      <c r="BU26">
        <f>40.47965116</f>
        <v>40.479651160000003</v>
      </c>
      <c r="BV26">
        <f>39.11535126</f>
        <v>39.115351259999997</v>
      </c>
      <c r="BW26">
        <f>40.19808426</f>
        <v>40.198084260000002</v>
      </c>
      <c r="BX26">
        <f>34.44829099</f>
        <v>34.448290989999997</v>
      </c>
      <c r="BY26">
        <f>34.82160171</f>
        <v>34.821601710000003</v>
      </c>
      <c r="BZ26">
        <f>41.16161616</f>
        <v>41.161616160000001</v>
      </c>
      <c r="CA26">
        <f>46.50895067</f>
        <v>46.508950669999997</v>
      </c>
      <c r="CB26">
        <f>37.78176996</f>
        <v>37.781769959999998</v>
      </c>
      <c r="CC26">
        <f>35.79552257</f>
        <v>35.795522570000003</v>
      </c>
      <c r="CD26">
        <f>38.58932462</f>
        <v>38.589324619999999</v>
      </c>
      <c r="CE26">
        <f>37.23478434</f>
        <v>37.234784339999997</v>
      </c>
      <c r="CF26">
        <f>37.68787894</f>
        <v>37.687878939999997</v>
      </c>
      <c r="CG26">
        <f>35.50258075</f>
        <v>35.50258075</v>
      </c>
    </row>
    <row r="27" spans="1:85" x14ac:dyDescent="0.25">
      <c r="A27" t="str">
        <f>"        Freightliner"</f>
        <v xml:space="preserve">        Freightliner</v>
      </c>
      <c r="B27" t="str">
        <f>"DAI GR Equity"</f>
        <v>DAI GR Equity</v>
      </c>
      <c r="E27" t="str">
        <f>"Expression"</f>
        <v>Expression</v>
      </c>
      <c r="F27">
        <f ca="1">IF(AND($B$294=1,LEN($F$178) * LEN($F$177)&gt;0),$F$178/$F$177*100,HLOOKUP(INDIRECT(ADDRESS(2,COLUMN())),OFFSET($AT$2,0,0,ROW()-1,40),ROW()-1,FALSE))</f>
        <v>35.33020973</v>
      </c>
      <c r="G27">
        <f ca="1">IF(AND($B$294=1,LEN($G$178) * LEN($G$177)&gt;0),$G$178/$G$177*100,HLOOKUP(INDIRECT(ADDRESS(2,COLUMN())),OFFSET($AT$2,0,0,ROW()-1,40),ROW()-1,FALSE))</f>
        <v>41.048282110000002</v>
      </c>
      <c r="H27">
        <f ca="1">IF(AND($B$294=1,LEN($H$178) * LEN($H$177)&gt;0),$H$178/$H$177*100,HLOOKUP(INDIRECT(ADDRESS(2,COLUMN())),OFFSET($AT$2,0,0,ROW()-1,40),ROW()-1,FALSE))</f>
        <v>34.067342420000003</v>
      </c>
      <c r="I27">
        <f ca="1">IF(AND($B$294=1,LEN($I$178) * LEN($I$177)&gt;0),$I$178/$I$177*100,HLOOKUP(INDIRECT(ADDRESS(2,COLUMN())),OFFSET($AT$2,0,0,ROW()-1,40),ROW()-1,FALSE))</f>
        <v>37.781549910000003</v>
      </c>
      <c r="J27">
        <f ca="1">IF(AND($B$294=1,LEN($J$178) * LEN($J$177)&gt;0),$J$178/$J$177*100,HLOOKUP(INDIRECT(ADDRESS(2,COLUMN())),OFFSET($AT$2,0,0,ROW()-1,40),ROW()-1,FALSE))</f>
        <v>36.470248410000004</v>
      </c>
      <c r="K27">
        <f ca="1">IF(AND($B$294=1,LEN($K$178) * LEN($K$177)&gt;0),$K$178/$K$177*100,HLOOKUP(INDIRECT(ADDRESS(2,COLUMN())),OFFSET($AT$2,0,0,ROW()-1,40),ROW()-1,FALSE))</f>
        <v>42.46676514</v>
      </c>
      <c r="L27">
        <f ca="1">IF(AND($B$294=1,LEN($L$178) * LEN($L$177)&gt;0),$L$178/$L$177*100,HLOOKUP(INDIRECT(ADDRESS(2,COLUMN())),OFFSET($AT$2,0,0,ROW()-1,40),ROW()-1,FALSE))</f>
        <v>35.884648740000003</v>
      </c>
      <c r="M27">
        <f ca="1">IF(AND($B$294=1,LEN($M$178) * LEN($M$177)&gt;0),$M$178/$M$177*100,HLOOKUP(INDIRECT(ADDRESS(2,COLUMN())),OFFSET($AT$2,0,0,ROW()-1,40),ROW()-1,FALSE))</f>
        <v>35.976475360000002</v>
      </c>
      <c r="N27">
        <f ca="1">IF(AND($B$294=1,LEN($N$178) * LEN($N$177)&gt;0),$N$178/$N$177*100,HLOOKUP(INDIRECT(ADDRESS(2,COLUMN())),OFFSET($AT$2,0,0,ROW()-1,40),ROW()-1,FALSE))</f>
        <v>38.482142860000003</v>
      </c>
      <c r="O27">
        <f ca="1">IF(AND($B$294=1,LEN($O$178) * LEN($O$177)&gt;0),$O$178/$O$177*100,HLOOKUP(INDIRECT(ADDRESS(2,COLUMN())),OFFSET($AT$2,0,0,ROW()-1,40),ROW()-1,FALSE))</f>
        <v>37.253289469999999</v>
      </c>
      <c r="P27">
        <f ca="1">IF(AND($B$294=1,LEN($P$178) * LEN($P$177)&gt;0),$P$178/$P$177*100,HLOOKUP(INDIRECT(ADDRESS(2,COLUMN())),OFFSET($AT$2,0,0,ROW()-1,40),ROW()-1,FALSE))</f>
        <v>27.992833829999999</v>
      </c>
      <c r="Q27">
        <f ca="1">IF(AND($B$294=1,LEN($Q$178) * LEN($Q$177)&gt;0),$Q$178/$Q$177*100,HLOOKUP(INDIRECT(ADDRESS(2,COLUMN())),OFFSET($AT$2,0,0,ROW()-1,40),ROW()-1,FALSE))</f>
        <v>39.718855339999998</v>
      </c>
      <c r="R27">
        <f ca="1">IF(AND($B$294=1,LEN($R$178) * LEN($R$177)&gt;0),$R$178/$R$177*100,HLOOKUP(INDIRECT(ADDRESS(2,COLUMN())),OFFSET($AT$2,0,0,ROW()-1,40),ROW()-1,FALSE))</f>
        <v>32.097224259999997</v>
      </c>
      <c r="S27">
        <f ca="1">IF(AND($B$294=1,LEN($S$178) * LEN($S$177)&gt;0),$S$178/$S$177*100,HLOOKUP(INDIRECT(ADDRESS(2,COLUMN())),OFFSET($AT$2,0,0,ROW()-1,40),ROW()-1,FALSE))</f>
        <v>34.279796900000001</v>
      </c>
      <c r="T27">
        <f ca="1">IF(AND($B$294=1,LEN($T$178) * LEN($T$177)&gt;0),$T$178/$T$177*100,HLOOKUP(INDIRECT(ADDRESS(2,COLUMN())),OFFSET($AT$2,0,0,ROW()-1,40),ROW()-1,FALSE))</f>
        <v>37.676792519999999</v>
      </c>
      <c r="U27">
        <f ca="1">IF(AND($B$294=1,LEN($U$178) * LEN($U$177)&gt;0),$U$178/$U$177*100,HLOOKUP(INDIRECT(ADDRESS(2,COLUMN())),OFFSET($AT$2,0,0,ROW()-1,40),ROW()-1,FALSE))</f>
        <v>34.873979409999997</v>
      </c>
      <c r="V27">
        <f ca="1">IF(AND($B$294=1,LEN($V$178) * LEN($V$177)&gt;0),$V$178/$V$177*100,HLOOKUP(INDIRECT(ADDRESS(2,COLUMN())),OFFSET($AT$2,0,0,ROW()-1,40),ROW()-1,FALSE))</f>
        <v>36.640514330000002</v>
      </c>
      <c r="W27">
        <f ca="1">IF(AND($B$294=1,LEN($W$178) * LEN($W$177)&gt;0),$W$178/$W$177*100,HLOOKUP(INDIRECT(ADDRESS(2,COLUMN())),OFFSET($AT$2,0,0,ROW()-1,40),ROW()-1,FALSE))</f>
        <v>40.503696859999998</v>
      </c>
      <c r="X27">
        <f ca="1">IF(AND($B$294=1,LEN($X$178) * LEN($X$177)&gt;0),$X$178/$X$177*100,HLOOKUP(INDIRECT(ADDRESS(2,COLUMN())),OFFSET($AT$2,0,0,ROW()-1,40),ROW()-1,FALSE))</f>
        <v>38.22521493</v>
      </c>
      <c r="Y27">
        <f ca="1">IF(AND($B$294=1,LEN($Y$178) * LEN($Y$177)&gt;0),$Y$178/$Y$177*100,HLOOKUP(INDIRECT(ADDRESS(2,COLUMN())),OFFSET($AT$2,0,0,ROW()-1,40),ROW()-1,FALSE))</f>
        <v>42.737346510000002</v>
      </c>
      <c r="Z27">
        <f ca="1">IF(AND($B$294=1,LEN($Z$178) * LEN($Z$177)&gt;0),$Z$178/$Z$177*100,HLOOKUP(INDIRECT(ADDRESS(2,COLUMN())),OFFSET($AT$2,0,0,ROW()-1,40),ROW()-1,FALSE))</f>
        <v>40.860418240000001</v>
      </c>
      <c r="AA27">
        <f ca="1">IF(AND($B$294=1,LEN($AA$178) * LEN($AA$177)&gt;0),$AA$178/$AA$177*100,HLOOKUP(INDIRECT(ADDRESS(2,COLUMN())),OFFSET($AT$2,0,0,ROW()-1,40),ROW()-1,FALSE))</f>
        <v>43.35695028</v>
      </c>
      <c r="AB27">
        <f ca="1">IF(AND($B$294=1,LEN($AB$178) * LEN($AB$177)&gt;0),$AB$178/$AB$177*100,HLOOKUP(INDIRECT(ADDRESS(2,COLUMN())),OFFSET($AT$2,0,0,ROW()-1,40),ROW()-1,FALSE))</f>
        <v>32.95624127</v>
      </c>
      <c r="AC27">
        <f ca="1">IF(AND($B$294=1,LEN($AC$178) * LEN($AC$177)&gt;0),$AC$178/$AC$177*100,HLOOKUP(INDIRECT(ADDRESS(2,COLUMN())),OFFSET($AT$2,0,0,ROW()-1,40),ROW()-1,FALSE))</f>
        <v>47.948344089999999</v>
      </c>
      <c r="AD27">
        <f ca="1">IF(AND($B$294=1,LEN($AD$178) * LEN($AD$177)&gt;0),$AD$178/$AD$177*100,HLOOKUP(INDIRECT(ADDRESS(2,COLUMN())),OFFSET($AT$2,0,0,ROW()-1,40),ROW()-1,FALSE))</f>
        <v>41.716867469999997</v>
      </c>
      <c r="AE27">
        <f ca="1">IF(AND($B$294=1,LEN($AE$178) * LEN($AE$177)&gt;0),$AE$178/$AE$177*100,HLOOKUP(INDIRECT(ADDRESS(2,COLUMN())),OFFSET($AT$2,0,0,ROW()-1,40),ROW()-1,FALSE))</f>
        <v>38.254361709999998</v>
      </c>
      <c r="AF27">
        <f ca="1">IF(AND($B$294=1,LEN($AF$178) * LEN($AF$177)&gt;0),$AF$178/$AF$177*100,HLOOKUP(INDIRECT(ADDRESS(2,COLUMN())),OFFSET($AT$2,0,0,ROW()-1,40),ROW()-1,FALSE))</f>
        <v>37.601709169999999</v>
      </c>
      <c r="AG27">
        <f ca="1">IF(AND($B$294=1,LEN($AG$178) * LEN($AG$177)&gt;0),$AG$178/$AG$177*100,HLOOKUP(INDIRECT(ADDRESS(2,COLUMN())),OFFSET($AT$2,0,0,ROW()-1,40),ROW()-1,FALSE))</f>
        <v>38.962038300000003</v>
      </c>
      <c r="AH27">
        <f ca="1">IF(AND($B$294=1,LEN($AH$178) * LEN($AH$177)&gt;0),$AH$178/$AH$177*100,HLOOKUP(INDIRECT(ADDRESS(2,COLUMN())),OFFSET($AT$2,0,0,ROW()-1,40),ROW()-1,FALSE))</f>
        <v>37.002286529999999</v>
      </c>
      <c r="AI27">
        <f ca="1">IF(AND($B$294=1,LEN($AI$178) * LEN($AI$177)&gt;0),$AI$178/$AI$177*100,HLOOKUP(INDIRECT(ADDRESS(2,COLUMN())),OFFSET($AT$2,0,0,ROW()-1,40),ROW()-1,FALSE))</f>
        <v>38.379986979999998</v>
      </c>
      <c r="AJ27">
        <f ca="1">IF(AND($B$294=1,LEN($AJ$178) * LEN($AJ$177)&gt;0),$AJ$178/$AJ$177*100,HLOOKUP(INDIRECT(ADDRESS(2,COLUMN())),OFFSET($AT$2,0,0,ROW()-1,40),ROW()-1,FALSE))</f>
        <v>32.614949529999997</v>
      </c>
      <c r="AK27">
        <f ca="1">IF(AND($B$294=1,LEN($AK$178) * LEN($AK$177)&gt;0),$AK$178/$AK$177*100,HLOOKUP(INDIRECT(ADDRESS(2,COLUMN())),OFFSET($AT$2,0,0,ROW()-1,40),ROW()-1,FALSE))</f>
        <v>32.848555359999999</v>
      </c>
      <c r="AL27">
        <f ca="1">IF(AND($B$294=1,LEN($AL$178) * LEN($AL$177)&gt;0),$AL$178/$AL$177*100,HLOOKUP(INDIRECT(ADDRESS(2,COLUMN())),OFFSET($AT$2,0,0,ROW()-1,40),ROW()-1,FALSE))</f>
        <v>39.292929289999996</v>
      </c>
      <c r="AM27">
        <f ca="1">IF(AND($B$294=1,LEN($AM$178) * LEN($AM$177)&gt;0),$AM$178/$AM$177*100,HLOOKUP(INDIRECT(ADDRESS(2,COLUMN())),OFFSET($AT$2,0,0,ROW()-1,40),ROW()-1,FALSE))</f>
        <v>44.638231740000002</v>
      </c>
      <c r="AN27">
        <f ca="1">IF(AND($B$294=1,LEN($AN$178) * LEN($AN$177)&gt;0),$AN$178/$AN$177*100,HLOOKUP(INDIRECT(ADDRESS(2,COLUMN())),OFFSET($AT$2,0,0,ROW()-1,40),ROW()-1,FALSE))</f>
        <v>35.018606439999999</v>
      </c>
      <c r="AO27">
        <f ca="1">IF(AND($B$294=1,LEN($AO$178) * LEN($AO$177)&gt;0),$AO$178/$AO$177*100,HLOOKUP(INDIRECT(ADDRESS(2,COLUMN())),OFFSET($AT$2,0,0,ROW()-1,40),ROW()-1,FALSE))</f>
        <v>34.065605169999998</v>
      </c>
      <c r="AP27">
        <f ca="1">IF(AND($B$294=1,LEN($AP$178) * LEN($AP$177)&gt;0),$AP$178/$AP$177*100,HLOOKUP(INDIRECT(ADDRESS(2,COLUMN())),OFFSET($AT$2,0,0,ROW()-1,40),ROW()-1,FALSE))</f>
        <v>37.00526507</v>
      </c>
      <c r="AQ27">
        <f ca="1">IF(AND($B$294=1,LEN($AQ$178) * LEN($AQ$177)&gt;0),$AQ$178/$AQ$177*100,HLOOKUP(INDIRECT(ADDRESS(2,COLUMN())),OFFSET($AT$2,0,0,ROW()-1,40),ROW()-1,FALSE))</f>
        <v>35.989640399999999</v>
      </c>
      <c r="AR27">
        <f ca="1">IF(AND($B$294=1,LEN($AR$178) * LEN($AR$177)&gt;0),$AR$178/$AR$177*100,HLOOKUP(INDIRECT(ADDRESS(2,COLUMN())),OFFSET($AT$2,0,0,ROW()-1,40),ROW()-1,FALSE))</f>
        <v>35.802720739999998</v>
      </c>
      <c r="AS27">
        <f ca="1">IF(AND($B$294=1,LEN($AS$178) * LEN($AS$177)&gt;0),$AS$178/$AS$177*100,HLOOKUP(INDIRECT(ADDRESS(2,COLUMN())),OFFSET($AT$2,0,0,ROW()-1,40),ROW()-1,FALSE))</f>
        <v>34.326610969999997</v>
      </c>
      <c r="AT27">
        <f>35.33020973</f>
        <v>35.33020973</v>
      </c>
      <c r="AU27">
        <f>41.04828211</f>
        <v>41.048282110000002</v>
      </c>
      <c r="AV27">
        <f>34.06734242</f>
        <v>34.067342420000003</v>
      </c>
      <c r="AW27">
        <f>37.78154991</f>
        <v>37.781549910000003</v>
      </c>
      <c r="AX27">
        <f>36.47024841</f>
        <v>36.470248410000004</v>
      </c>
      <c r="AY27">
        <f>42.46676514</f>
        <v>42.46676514</v>
      </c>
      <c r="AZ27">
        <f>35.88464874</f>
        <v>35.884648740000003</v>
      </c>
      <c r="BA27">
        <f>35.97647536</f>
        <v>35.976475360000002</v>
      </c>
      <c r="BB27">
        <f>38.48214286</f>
        <v>38.482142860000003</v>
      </c>
      <c r="BC27">
        <f>37.25328947</f>
        <v>37.253289469999999</v>
      </c>
      <c r="BD27">
        <f>27.99283383</f>
        <v>27.992833829999999</v>
      </c>
      <c r="BE27">
        <f>39.71885534</f>
        <v>39.718855339999998</v>
      </c>
      <c r="BF27">
        <f>32.09722426</f>
        <v>32.097224259999997</v>
      </c>
      <c r="BG27">
        <f>34.2797969</f>
        <v>34.279796900000001</v>
      </c>
      <c r="BH27">
        <f>37.67679252</f>
        <v>37.676792519999999</v>
      </c>
      <c r="BI27">
        <f>34.87397941</f>
        <v>34.873979409999997</v>
      </c>
      <c r="BJ27">
        <f>36.64051433</f>
        <v>36.640514330000002</v>
      </c>
      <c r="BK27">
        <f>40.50369686</f>
        <v>40.503696859999998</v>
      </c>
      <c r="BL27">
        <f>38.22521493</f>
        <v>38.22521493</v>
      </c>
      <c r="BM27">
        <f>42.73734651</f>
        <v>42.737346510000002</v>
      </c>
      <c r="BN27">
        <f>40.86041824</f>
        <v>40.860418240000001</v>
      </c>
      <c r="BO27">
        <f>43.35695028</f>
        <v>43.35695028</v>
      </c>
      <c r="BP27">
        <f>32.95624127</f>
        <v>32.95624127</v>
      </c>
      <c r="BQ27">
        <f>47.94834409</f>
        <v>47.948344089999999</v>
      </c>
      <c r="BR27">
        <f>41.71686747</f>
        <v>41.716867469999997</v>
      </c>
      <c r="BS27">
        <f>38.25436171</f>
        <v>38.254361709999998</v>
      </c>
      <c r="BT27">
        <f>37.60170917</f>
        <v>37.601709169999999</v>
      </c>
      <c r="BU27">
        <f>38.9620383</f>
        <v>38.962038300000003</v>
      </c>
      <c r="BV27">
        <f>37.00228653</f>
        <v>37.002286529999999</v>
      </c>
      <c r="BW27">
        <f>38.37998698</f>
        <v>38.379986979999998</v>
      </c>
      <c r="BX27">
        <f>32.61494953</f>
        <v>32.614949529999997</v>
      </c>
      <c r="BY27">
        <f>32.84855536</f>
        <v>32.848555359999999</v>
      </c>
      <c r="BZ27">
        <f>39.29292929</f>
        <v>39.292929289999996</v>
      </c>
      <c r="CA27">
        <f>44.63823174</f>
        <v>44.638231740000002</v>
      </c>
      <c r="CB27">
        <f>35.01860644</f>
        <v>35.018606439999999</v>
      </c>
      <c r="CC27">
        <f>34.06560517</f>
        <v>34.065605169999998</v>
      </c>
      <c r="CD27">
        <f>37.00526507</f>
        <v>37.00526507</v>
      </c>
      <c r="CE27">
        <f>35.9896404</f>
        <v>35.989640399999999</v>
      </c>
      <c r="CF27">
        <f>35.80272074</f>
        <v>35.802720739999998</v>
      </c>
      <c r="CG27">
        <f>34.32661097</f>
        <v>34.326610969999997</v>
      </c>
    </row>
    <row r="28" spans="1:85" x14ac:dyDescent="0.25">
      <c r="A28" t="str">
        <f>"        Western Star"</f>
        <v xml:space="preserve">        Western Star</v>
      </c>
      <c r="B28" t="str">
        <f>"DAI GR Equity"</f>
        <v>DAI GR Equity</v>
      </c>
      <c r="E28" t="str">
        <f>"Expression"</f>
        <v>Expression</v>
      </c>
      <c r="F28">
        <f ca="1">IF(AND($B$294=1,LEN($F$179) * LEN($F$177)&gt;0),$F$179/$F$177*100,HLOOKUP(INDIRECT(ADDRESS(2,COLUMN())),OFFSET($AT$2,0,0,ROW()-1,40),ROW()-1,FALSE))</f>
        <v>2.0805444</v>
      </c>
      <c r="G28">
        <f ca="1">IF(AND($B$294=1,LEN($G$179) * LEN($G$177)&gt;0),$G$179/$G$177*100,HLOOKUP(INDIRECT(ADDRESS(2,COLUMN())),OFFSET($AT$2,0,0,ROW()-1,40),ROW()-1,FALSE))</f>
        <v>2.3376917420000001</v>
      </c>
      <c r="H28">
        <f ca="1">IF(AND($B$294=1,LEN($H$179) * LEN($H$177)&gt;0),$H$179/$H$177*100,HLOOKUP(INDIRECT(ADDRESS(2,COLUMN())),OFFSET($AT$2,0,0,ROW()-1,40),ROW()-1,FALSE))</f>
        <v>2.7554468129999998</v>
      </c>
      <c r="I28">
        <f ca="1">IF(AND($B$294=1,LEN($I$179) * LEN($I$177)&gt;0),$I$179/$I$177*100,HLOOKUP(INDIRECT(ADDRESS(2,COLUMN())),OFFSET($AT$2,0,0,ROW()-1,40),ROW()-1,FALSE))</f>
        <v>2.8856825750000001</v>
      </c>
      <c r="J28">
        <f ca="1">IF(AND($B$294=1,LEN($J$179) * LEN($J$177)&gt;0),$J$179/$J$177*100,HLOOKUP(INDIRECT(ADDRESS(2,COLUMN())),OFFSET($AT$2,0,0,ROW()-1,40),ROW()-1,FALSE))</f>
        <v>3.2351242060000001</v>
      </c>
      <c r="K28">
        <f ca="1">IF(AND($B$294=1,LEN($K$179) * LEN($K$177)&gt;0),$K$179/$K$177*100,HLOOKUP(INDIRECT(ADDRESS(2,COLUMN())),OFFSET($AT$2,0,0,ROW()-1,40),ROW()-1,FALSE))</f>
        <v>2.492614476</v>
      </c>
      <c r="L28">
        <f ca="1">IF(AND($B$294=1,LEN($L$179) * LEN($L$177)&gt;0),$L$179/$L$177*100,HLOOKUP(INDIRECT(ADDRESS(2,COLUMN())),OFFSET($AT$2,0,0,ROW()-1,40),ROW()-1,FALSE))</f>
        <v>3.1222896790000001</v>
      </c>
      <c r="M28">
        <f ca="1">IF(AND($B$294=1,LEN($M$179) * LEN($M$177)&gt;0),$M$179/$M$177*100,HLOOKUP(INDIRECT(ADDRESS(2,COLUMN())),OFFSET($AT$2,0,0,ROW()-1,40),ROW()-1,FALSE))</f>
        <v>3.021699452</v>
      </c>
      <c r="N28">
        <f ca="1">IF(AND($B$294=1,LEN($N$179) * LEN($N$177)&gt;0),$N$179/$N$177*100,HLOOKUP(INDIRECT(ADDRESS(2,COLUMN())),OFFSET($AT$2,0,0,ROW()-1,40),ROW()-1,FALSE))</f>
        <v>2.5089285710000002</v>
      </c>
      <c r="O28">
        <f ca="1">IF(AND($B$294=1,LEN($O$179) * LEN($O$177)&gt;0),$O$179/$O$177*100,HLOOKUP(INDIRECT(ADDRESS(2,COLUMN())),OFFSET($AT$2,0,0,ROW()-1,40),ROW()-1,FALSE))</f>
        <v>2.4853801170000001</v>
      </c>
      <c r="P28">
        <f ca="1">IF(AND($B$294=1,LEN($P$179) * LEN($P$177)&gt;0),$P$179/$P$177*100,HLOOKUP(INDIRECT(ADDRESS(2,COLUMN())),OFFSET($AT$2,0,0,ROW()-1,40),ROW()-1,FALSE))</f>
        <v>3.3335466120000001</v>
      </c>
      <c r="Q28">
        <f ca="1">IF(AND($B$294=1,LEN($Q$179) * LEN($Q$177)&gt;0),$Q$179/$Q$177*100,HLOOKUP(INDIRECT(ADDRESS(2,COLUMN())),OFFSET($AT$2,0,0,ROW()-1,40),ROW()-1,FALSE))</f>
        <v>2.8903392380000001</v>
      </c>
      <c r="R28">
        <f ca="1">IF(AND($B$294=1,LEN($R$179) * LEN($R$177)&gt;0),$R$179/$R$177*100,HLOOKUP(INDIRECT(ADDRESS(2,COLUMN())),OFFSET($AT$2,0,0,ROW()-1,40),ROW()-1,FALSE))</f>
        <v>2.3718607729999999</v>
      </c>
      <c r="S28">
        <f ca="1">IF(AND($B$294=1,LEN($S$179) * LEN($S$177)&gt;0),$S$179/$S$177*100,HLOOKUP(INDIRECT(ADDRESS(2,COLUMN())),OFFSET($AT$2,0,0,ROW()-1,40),ROW()-1,FALSE))</f>
        <v>2.2247461249999998</v>
      </c>
      <c r="T28">
        <f ca="1">IF(AND($B$294=1,LEN($T$179) * LEN($T$177)&gt;0),$T$179/$T$177*100,HLOOKUP(INDIRECT(ADDRESS(2,COLUMN())),OFFSET($AT$2,0,0,ROW()-1,40),ROW()-1,FALSE))</f>
        <v>2.3736317800000002</v>
      </c>
      <c r="U28">
        <f ca="1">IF(AND($B$294=1,LEN($U$179) * LEN($U$177)&gt;0),$U$179/$U$177*100,HLOOKUP(INDIRECT(ADDRESS(2,COLUMN())),OFFSET($AT$2,0,0,ROW()-1,40),ROW()-1,FALSE))</f>
        <v>2.733404331</v>
      </c>
      <c r="V28">
        <f ca="1">IF(AND($B$294=1,LEN($V$179) * LEN($V$177)&gt;0),$V$179/$V$177*100,HLOOKUP(INDIRECT(ADDRESS(2,COLUMN())),OFFSET($AT$2,0,0,ROW()-1,40),ROW()-1,FALSE))</f>
        <v>2.468126839</v>
      </c>
      <c r="W28">
        <f ca="1">IF(AND($B$294=1,LEN($W$179) * LEN($W$177)&gt;0),$W$179/$W$177*100,HLOOKUP(INDIRECT(ADDRESS(2,COLUMN())),OFFSET($AT$2,0,0,ROW()-1,40),ROW()-1,FALSE))</f>
        <v>2.6744454709999999</v>
      </c>
      <c r="X28">
        <f ca="1">IF(AND($B$294=1,LEN($X$179) * LEN($X$177)&gt;0),$X$179/$X$177*100,HLOOKUP(INDIRECT(ADDRESS(2,COLUMN())),OFFSET($AT$2,0,0,ROW()-1,40),ROW()-1,FALSE))</f>
        <v>2.903865809</v>
      </c>
      <c r="Y28">
        <f ca="1">IF(AND($B$294=1,LEN($Y$179) * LEN($Y$177)&gt;0),$Y$179/$Y$177*100,HLOOKUP(INDIRECT(ADDRESS(2,COLUMN())),OFFSET($AT$2,0,0,ROW()-1,40),ROW()-1,FALSE))</f>
        <v>2.3709693519999999</v>
      </c>
      <c r="Z28">
        <f ca="1">IF(AND($B$294=1,LEN($Z$179) * LEN($Z$177)&gt;0),$Z$179/$Z$177*100,HLOOKUP(INDIRECT(ADDRESS(2,COLUMN())),OFFSET($AT$2,0,0,ROW()-1,40),ROW()-1,FALSE))</f>
        <v>2.3368606700000001</v>
      </c>
      <c r="AA28">
        <f ca="1">IF(AND($B$294=1,LEN($AA$179) * LEN($AA$177)&gt;0),$AA$179/$AA$177*100,HLOOKUP(INDIRECT(ADDRESS(2,COLUMN())),OFFSET($AT$2,0,0,ROW()-1,40),ROW()-1,FALSE))</f>
        <v>2.2133049090000001</v>
      </c>
      <c r="AB28">
        <f ca="1">IF(AND($B$294=1,LEN($AB$179) * LEN($AB$177)&gt;0),$AB$179/$AB$177*100,HLOOKUP(INDIRECT(ADDRESS(2,COLUMN())),OFFSET($AT$2,0,0,ROW()-1,40),ROW()-1,FALSE))</f>
        <v>2.7728301160000002</v>
      </c>
      <c r="AC28">
        <f ca="1">IF(AND($B$294=1,LEN($AC$179) * LEN($AC$177)&gt;0),$AC$179/$AC$177*100,HLOOKUP(INDIRECT(ADDRESS(2,COLUMN())),OFFSET($AT$2,0,0,ROW()-1,40),ROW()-1,FALSE))</f>
        <v>1.989168923</v>
      </c>
      <c r="AD28">
        <f ca="1">IF(AND($B$294=1,LEN($AD$179) * LEN($AD$177)&gt;0),$AD$179/$AD$177*100,HLOOKUP(INDIRECT(ADDRESS(2,COLUMN())),OFFSET($AT$2,0,0,ROW()-1,40),ROW()-1,FALSE))</f>
        <v>2.0357291229999999</v>
      </c>
      <c r="AE28">
        <f ca="1">IF(AND($B$294=1,LEN($AE$179) * LEN($AE$177)&gt;0),$AE$179/$AE$177*100,HLOOKUP(INDIRECT(ADDRESS(2,COLUMN())),OFFSET($AT$2,0,0,ROW()-1,40),ROW()-1,FALSE))</f>
        <v>1.7875869959999999</v>
      </c>
      <c r="AF28">
        <f ca="1">IF(AND($B$294=1,LEN($AF$179) * LEN($AF$177)&gt;0),$AF$179/$AF$177*100,HLOOKUP(INDIRECT(ADDRESS(2,COLUMN())),OFFSET($AT$2,0,0,ROW()-1,40),ROW()-1,FALSE))</f>
        <v>1.8455384340000001</v>
      </c>
      <c r="AG28">
        <f ca="1">IF(AND($B$294=1,LEN($AG$179) * LEN($AG$177)&gt;0),$AG$179/$AG$177*100,HLOOKUP(INDIRECT(ADDRESS(2,COLUMN())),OFFSET($AT$2,0,0,ROW()-1,40),ROW()-1,FALSE))</f>
        <v>1.517612859</v>
      </c>
      <c r="AH28">
        <f ca="1">IF(AND($B$294=1,LEN($AH$179) * LEN($AH$177)&gt;0),$AH$179/$AH$177*100,HLOOKUP(INDIRECT(ADDRESS(2,COLUMN())),OFFSET($AT$2,0,0,ROW()-1,40),ROW()-1,FALSE))</f>
        <v>2.1130647319999998</v>
      </c>
      <c r="AI28">
        <f ca="1">IF(AND($B$294=1,LEN($AI$179) * LEN($AI$177)&gt;0),$AI$179/$AI$177*100,HLOOKUP(INDIRECT(ADDRESS(2,COLUMN())),OFFSET($AT$2,0,0,ROW()-1,40),ROW()-1,FALSE))</f>
        <v>1.818097275</v>
      </c>
      <c r="AJ28">
        <f ca="1">IF(AND($B$294=1,LEN($AJ$179) * LEN($AJ$177)&gt;0),$AJ$179/$AJ$177*100,HLOOKUP(INDIRECT(ADDRESS(2,COLUMN())),OFFSET($AT$2,0,0,ROW()-1,40),ROW()-1,FALSE))</f>
        <v>1.83334146</v>
      </c>
      <c r="AK28">
        <f ca="1">IF(AND($B$294=1,LEN($AK$179) * LEN($AK$177)&gt;0),$AK$179/$AK$177*100,HLOOKUP(INDIRECT(ADDRESS(2,COLUMN())),OFFSET($AT$2,0,0,ROW()-1,40),ROW()-1,FALSE))</f>
        <v>1.973046345</v>
      </c>
      <c r="AL28">
        <f ca="1">IF(AND($B$294=1,LEN($AL$179) * LEN($AL$177)&gt;0),$AL$179/$AL$177*100,HLOOKUP(INDIRECT(ADDRESS(2,COLUMN())),OFFSET($AT$2,0,0,ROW()-1,40),ROW()-1,FALSE))</f>
        <v>1.868686869</v>
      </c>
      <c r="AM28">
        <f ca="1">IF(AND($B$294=1,LEN($AM$179) * LEN($AM$177)&gt;0),$AM$179/$AM$177*100,HLOOKUP(INDIRECT(ADDRESS(2,COLUMN())),OFFSET($AT$2,0,0,ROW()-1,40),ROW()-1,FALSE))</f>
        <v>1.8707189319999999</v>
      </c>
      <c r="AN28">
        <f ca="1">IF(AND($B$294=1,LEN($AN$179) * LEN($AN$177)&gt;0),$AN$179/$AN$177*100,HLOOKUP(INDIRECT(ADDRESS(2,COLUMN())),OFFSET($AT$2,0,0,ROW()-1,40),ROW()-1,FALSE))</f>
        <v>2.7631635229999998</v>
      </c>
      <c r="AO28">
        <f ca="1">IF(AND($B$294=1,LEN($AO$179) * LEN($AO$177)&gt;0),$AO$179/$AO$177*100,HLOOKUP(INDIRECT(ADDRESS(2,COLUMN())),OFFSET($AT$2,0,0,ROW()-1,40),ROW()-1,FALSE))</f>
        <v>1.729917395</v>
      </c>
      <c r="AP28">
        <f ca="1">IF(AND($B$294=1,LEN($AP$179) * LEN($AP$177)&gt;0),$AP$179/$AP$177*100,HLOOKUP(INDIRECT(ADDRESS(2,COLUMN())),OFFSET($AT$2,0,0,ROW()-1,40),ROW()-1,FALSE))</f>
        <v>1.5840595500000001</v>
      </c>
      <c r="AQ28">
        <f ca="1">IF(AND($B$294=1,LEN($AQ$179) * LEN($AQ$177)&gt;0),$AQ$179/$AQ$177*100,HLOOKUP(INDIRECT(ADDRESS(2,COLUMN())),OFFSET($AT$2,0,0,ROW()-1,40),ROW()-1,FALSE))</f>
        <v>1.2451439390000001</v>
      </c>
      <c r="AR28">
        <f ca="1">IF(AND($B$294=1,LEN($AR$179) * LEN($AR$177)&gt;0),$AR$179/$AR$177*100,HLOOKUP(INDIRECT(ADDRESS(2,COLUMN())),OFFSET($AT$2,0,0,ROW()-1,40),ROW()-1,FALSE))</f>
        <v>1.8851582</v>
      </c>
      <c r="AS28">
        <f ca="1">IF(AND($B$294=1,LEN($AS$179) * LEN($AS$177)&gt;0),$AS$179/$AS$177*100,HLOOKUP(INDIRECT(ADDRESS(2,COLUMN())),OFFSET($AT$2,0,0,ROW()-1,40),ROW()-1,FALSE))</f>
        <v>1.1759697760000001</v>
      </c>
      <c r="AT28">
        <f>2.0805444</f>
        <v>2.0805444</v>
      </c>
      <c r="AU28">
        <f>2.337691742</f>
        <v>2.3376917420000001</v>
      </c>
      <c r="AV28">
        <f>2.755446813</f>
        <v>2.7554468129999998</v>
      </c>
      <c r="AW28">
        <f>2.885682575</f>
        <v>2.8856825750000001</v>
      </c>
      <c r="AX28">
        <f>3.235124206</f>
        <v>3.2351242060000001</v>
      </c>
      <c r="AY28">
        <f>2.492614476</f>
        <v>2.492614476</v>
      </c>
      <c r="AZ28">
        <f>3.122289679</f>
        <v>3.1222896790000001</v>
      </c>
      <c r="BA28">
        <f>3.021699452</f>
        <v>3.021699452</v>
      </c>
      <c r="BB28">
        <f>2.508928571</f>
        <v>2.5089285710000002</v>
      </c>
      <c r="BC28">
        <f>2.485380117</f>
        <v>2.4853801170000001</v>
      </c>
      <c r="BD28">
        <f>3.333546612</f>
        <v>3.3335466120000001</v>
      </c>
      <c r="BE28">
        <f>2.890339238</f>
        <v>2.8903392380000001</v>
      </c>
      <c r="BF28">
        <f>2.371860773</f>
        <v>2.3718607729999999</v>
      </c>
      <c r="BG28">
        <f>2.224746125</f>
        <v>2.2247461249999998</v>
      </c>
      <c r="BH28">
        <f>2.37363178</f>
        <v>2.3736317800000002</v>
      </c>
      <c r="BI28">
        <f>2.733404331</f>
        <v>2.733404331</v>
      </c>
      <c r="BJ28">
        <f>2.468126839</f>
        <v>2.468126839</v>
      </c>
      <c r="BK28">
        <f>2.674445471</f>
        <v>2.6744454709999999</v>
      </c>
      <c r="BL28">
        <f>2.903865809</f>
        <v>2.903865809</v>
      </c>
      <c r="BM28">
        <f>2.370969352</f>
        <v>2.3709693519999999</v>
      </c>
      <c r="BN28">
        <f>2.33686067</f>
        <v>2.3368606700000001</v>
      </c>
      <c r="BO28">
        <f>2.213304909</f>
        <v>2.2133049090000001</v>
      </c>
      <c r="BP28">
        <f>2.772830116</f>
        <v>2.7728301160000002</v>
      </c>
      <c r="BQ28">
        <f>1.989168923</f>
        <v>1.989168923</v>
      </c>
      <c r="BR28">
        <f>2.035729123</f>
        <v>2.0357291229999999</v>
      </c>
      <c r="BS28">
        <f>1.787586996</f>
        <v>1.7875869959999999</v>
      </c>
      <c r="BT28">
        <f>1.845538434</f>
        <v>1.8455384340000001</v>
      </c>
      <c r="BU28">
        <f>1.517612859</f>
        <v>1.517612859</v>
      </c>
      <c r="BV28">
        <f>2.113064732</f>
        <v>2.1130647319999998</v>
      </c>
      <c r="BW28">
        <f>1.818097275</f>
        <v>1.818097275</v>
      </c>
      <c r="BX28">
        <f>1.83334146</f>
        <v>1.83334146</v>
      </c>
      <c r="BY28">
        <f>1.973046345</f>
        <v>1.973046345</v>
      </c>
      <c r="BZ28">
        <f>1.868686869</f>
        <v>1.868686869</v>
      </c>
      <c r="CA28">
        <f>1.870718932</f>
        <v>1.8707189319999999</v>
      </c>
      <c r="CB28">
        <f>2.763163523</f>
        <v>2.7631635229999998</v>
      </c>
      <c r="CC28">
        <f>1.729917395</f>
        <v>1.729917395</v>
      </c>
      <c r="CD28">
        <f>1.58405955</f>
        <v>1.5840595500000001</v>
      </c>
      <c r="CE28">
        <f>1.245143939</f>
        <v>1.2451439390000001</v>
      </c>
      <c r="CF28">
        <f>1.8851582</f>
        <v>1.8851582</v>
      </c>
      <c r="CG28">
        <f>1.175969776</f>
        <v>1.1759697760000001</v>
      </c>
    </row>
    <row r="29" spans="1:85" x14ac:dyDescent="0.25">
      <c r="A29" t="str">
        <f>"        Sterling"</f>
        <v xml:space="preserve">        Sterling</v>
      </c>
      <c r="B29" t="str">
        <f>"DAI GR Equity"</f>
        <v>DAI GR Equity</v>
      </c>
      <c r="E29" t="str">
        <f>"Expression"</f>
        <v>Expression</v>
      </c>
      <c r="F29" t="str">
        <f ca="1">IF(AND($B$294=1,LEN($F$180) * LEN($F$177)&gt;0),$F$180/$F$177*100,HLOOKUP(INDIRECT(ADDRESS(2,COLUMN())),OFFSET($AT$2,0,0,ROW()-1,40),ROW()-1,FALSE))</f>
        <v/>
      </c>
      <c r="G29" t="str">
        <f ca="1">IF(AND($B$294=1,LEN($G$180) * LEN($G$177)&gt;0),$G$180/$G$177*100,HLOOKUP(INDIRECT(ADDRESS(2,COLUMN())),OFFSET($AT$2,0,0,ROW()-1,40),ROW()-1,FALSE))</f>
        <v/>
      </c>
      <c r="H29" t="str">
        <f ca="1">IF(AND($B$294=1,LEN($H$180) * LEN($H$177)&gt;0),$H$180/$H$177*100,HLOOKUP(INDIRECT(ADDRESS(2,COLUMN())),OFFSET($AT$2,0,0,ROW()-1,40),ROW()-1,FALSE))</f>
        <v/>
      </c>
      <c r="I29" t="str">
        <f ca="1">IF(AND($B$294=1,LEN($I$180) * LEN($I$177)&gt;0),$I$180/$I$177*100,HLOOKUP(INDIRECT(ADDRESS(2,COLUMN())),OFFSET($AT$2,0,0,ROW()-1,40),ROW()-1,FALSE))</f>
        <v/>
      </c>
      <c r="J29" t="str">
        <f ca="1">IF(AND($B$294=1,LEN($J$180) * LEN($J$177)&gt;0),$J$180/$J$177*100,HLOOKUP(INDIRECT(ADDRESS(2,COLUMN())),OFFSET($AT$2,0,0,ROW()-1,40),ROW()-1,FALSE))</f>
        <v/>
      </c>
      <c r="K29" t="str">
        <f ca="1">IF(AND($B$294=1,LEN($K$180) * LEN($K$177)&gt;0),$K$180/$K$177*100,HLOOKUP(INDIRECT(ADDRESS(2,COLUMN())),OFFSET($AT$2,0,0,ROW()-1,40),ROW()-1,FALSE))</f>
        <v/>
      </c>
      <c r="L29" t="str">
        <f ca="1">IF(AND($B$294=1,LEN($L$180) * LEN($L$177)&gt;0),$L$180/$L$177*100,HLOOKUP(INDIRECT(ADDRESS(2,COLUMN())),OFFSET($AT$2,0,0,ROW()-1,40),ROW()-1,FALSE))</f>
        <v/>
      </c>
      <c r="M29" t="str">
        <f ca="1">IF(AND($B$294=1,LEN($M$180) * LEN($M$177)&gt;0),$M$180/$M$177*100,HLOOKUP(INDIRECT(ADDRESS(2,COLUMN())),OFFSET($AT$2,0,0,ROW()-1,40),ROW()-1,FALSE))</f>
        <v/>
      </c>
      <c r="N29" t="str">
        <f ca="1">IF(AND($B$294=1,LEN($N$180) * LEN($N$177)&gt;0),$N$180/$N$177*100,HLOOKUP(INDIRECT(ADDRESS(2,COLUMN())),OFFSET($AT$2,0,0,ROW()-1,40),ROW()-1,FALSE))</f>
        <v/>
      </c>
      <c r="O29" t="str">
        <f ca="1">IF(AND($B$294=1,LEN($O$180) * LEN($O$177)&gt;0),$O$180/$O$177*100,HLOOKUP(INDIRECT(ADDRESS(2,COLUMN())),OFFSET($AT$2,0,0,ROW()-1,40),ROW()-1,FALSE))</f>
        <v/>
      </c>
      <c r="P29" t="str">
        <f ca="1">IF(AND($B$294=1,LEN($P$180) * LEN($P$177)&gt;0),$P$180/$P$177*100,HLOOKUP(INDIRECT(ADDRESS(2,COLUMN())),OFFSET($AT$2,0,0,ROW()-1,40),ROW()-1,FALSE))</f>
        <v/>
      </c>
      <c r="Q29" t="str">
        <f ca="1">IF(AND($B$294=1,LEN($Q$180) * LEN($Q$177)&gt;0),$Q$180/$Q$177*100,HLOOKUP(INDIRECT(ADDRESS(2,COLUMN())),OFFSET($AT$2,0,0,ROW()-1,40),ROW()-1,FALSE))</f>
        <v/>
      </c>
      <c r="R29" t="str">
        <f ca="1">IF(AND($B$294=1,LEN($R$180) * LEN($R$177)&gt;0),$R$180/$R$177*100,HLOOKUP(INDIRECT(ADDRESS(2,COLUMN())),OFFSET($AT$2,0,0,ROW()-1,40),ROW()-1,FALSE))</f>
        <v/>
      </c>
      <c r="S29" t="str">
        <f ca="1">IF(AND($B$294=1,LEN($S$180) * LEN($S$177)&gt;0),$S$180/$S$177*100,HLOOKUP(INDIRECT(ADDRESS(2,COLUMN())),OFFSET($AT$2,0,0,ROW()-1,40),ROW()-1,FALSE))</f>
        <v/>
      </c>
      <c r="T29" t="str">
        <f ca="1">IF(AND($B$294=1,LEN($T$180) * LEN($T$177)&gt;0),$T$180/$T$177*100,HLOOKUP(INDIRECT(ADDRESS(2,COLUMN())),OFFSET($AT$2,0,0,ROW()-1,40),ROW()-1,FALSE))</f>
        <v/>
      </c>
      <c r="U29" t="str">
        <f ca="1">IF(AND($B$294=1,LEN($U$180) * LEN($U$177)&gt;0),$U$180/$U$177*100,HLOOKUP(INDIRECT(ADDRESS(2,COLUMN())),OFFSET($AT$2,0,0,ROW()-1,40),ROW()-1,FALSE))</f>
        <v/>
      </c>
      <c r="V29" t="str">
        <f ca="1">IF(AND($B$294=1,LEN($V$180) * LEN($V$177)&gt;0),$V$180/$V$177*100,HLOOKUP(INDIRECT(ADDRESS(2,COLUMN())),OFFSET($AT$2,0,0,ROW()-1,40),ROW()-1,FALSE))</f>
        <v/>
      </c>
      <c r="W29" t="str">
        <f ca="1">IF(AND($B$294=1,LEN($W$180) * LEN($W$177)&gt;0),$W$180/$W$177*100,HLOOKUP(INDIRECT(ADDRESS(2,COLUMN())),OFFSET($AT$2,0,0,ROW()-1,40),ROW()-1,FALSE))</f>
        <v/>
      </c>
      <c r="X29" t="str">
        <f ca="1">IF(AND($B$294=1,LEN($X$180) * LEN($X$177)&gt;0),$X$180/$X$177*100,HLOOKUP(INDIRECT(ADDRESS(2,COLUMN())),OFFSET($AT$2,0,0,ROW()-1,40),ROW()-1,FALSE))</f>
        <v/>
      </c>
      <c r="Y29" t="str">
        <f ca="1">IF(AND($B$294=1,LEN($Y$180) * LEN($Y$177)&gt;0),$Y$180/$Y$177*100,HLOOKUP(INDIRECT(ADDRESS(2,COLUMN())),OFFSET($AT$2,0,0,ROW()-1,40),ROW()-1,FALSE))</f>
        <v/>
      </c>
      <c r="Z29" t="str">
        <f ca="1">IF(AND($B$294=1,LEN($Z$180) * LEN($Z$177)&gt;0),$Z$180/$Z$177*100,HLOOKUP(INDIRECT(ADDRESS(2,COLUMN())),OFFSET($AT$2,0,0,ROW()-1,40),ROW()-1,FALSE))</f>
        <v/>
      </c>
      <c r="AA29" t="str">
        <f ca="1">IF(AND($B$294=1,LEN($AA$180) * LEN($AA$177)&gt;0),$AA$180/$AA$177*100,HLOOKUP(INDIRECT(ADDRESS(2,COLUMN())),OFFSET($AT$2,0,0,ROW()-1,40),ROW()-1,FALSE))</f>
        <v/>
      </c>
      <c r="AB29" t="str">
        <f ca="1">IF(AND($B$294=1,LEN($AB$180) * LEN($AB$177)&gt;0),$AB$180/$AB$177*100,HLOOKUP(INDIRECT(ADDRESS(2,COLUMN())),OFFSET($AT$2,0,0,ROW()-1,40),ROW()-1,FALSE))</f>
        <v/>
      </c>
      <c r="AC29" t="str">
        <f ca="1">IF(AND($B$294=1,LEN($AC$180) * LEN($AC$177)&gt;0),$AC$180/$AC$177*100,HLOOKUP(INDIRECT(ADDRESS(2,COLUMN())),OFFSET($AT$2,0,0,ROW()-1,40),ROW()-1,FALSE))</f>
        <v/>
      </c>
      <c r="AD29" t="str">
        <f ca="1">IF(AND($B$294=1,LEN($AD$180) * LEN($AD$177)&gt;0),$AD$180/$AD$177*100,HLOOKUP(INDIRECT(ADDRESS(2,COLUMN())),OFFSET($AT$2,0,0,ROW()-1,40),ROW()-1,FALSE))</f>
        <v/>
      </c>
      <c r="AE29" t="str">
        <f ca="1">IF(AND($B$294=1,LEN($AE$180) * LEN($AE$177)&gt;0),$AE$180/$AE$177*100,HLOOKUP(INDIRECT(ADDRESS(2,COLUMN())),OFFSET($AT$2,0,0,ROW()-1,40),ROW()-1,FALSE))</f>
        <v/>
      </c>
      <c r="AF29" t="str">
        <f ca="1">IF(AND($B$294=1,LEN($AF$180) * LEN($AF$177)&gt;0),$AF$180/$AF$177*100,HLOOKUP(INDIRECT(ADDRESS(2,COLUMN())),OFFSET($AT$2,0,0,ROW()-1,40),ROW()-1,FALSE))</f>
        <v/>
      </c>
      <c r="AG29" t="str">
        <f ca="1">IF(AND($B$294=1,LEN($AG$180) * LEN($AG$177)&gt;0),$AG$180/$AG$177*100,HLOOKUP(INDIRECT(ADDRESS(2,COLUMN())),OFFSET($AT$2,0,0,ROW()-1,40),ROW()-1,FALSE))</f>
        <v/>
      </c>
      <c r="AH29" t="str">
        <f ca="1">IF(AND($B$294=1,LEN($AH$180) * LEN($AH$177)&gt;0),$AH$180/$AH$177*100,HLOOKUP(INDIRECT(ADDRESS(2,COLUMN())),OFFSET($AT$2,0,0,ROW()-1,40),ROW()-1,FALSE))</f>
        <v/>
      </c>
      <c r="AI29" t="str">
        <f ca="1">IF(AND($B$294=1,LEN($AI$180) * LEN($AI$177)&gt;0),$AI$180/$AI$177*100,HLOOKUP(INDIRECT(ADDRESS(2,COLUMN())),OFFSET($AT$2,0,0,ROW()-1,40),ROW()-1,FALSE))</f>
        <v/>
      </c>
      <c r="AJ29" t="str">
        <f ca="1">IF(AND($B$294=1,LEN($AJ$180) * LEN($AJ$177)&gt;0),$AJ$180/$AJ$177*100,HLOOKUP(INDIRECT(ADDRESS(2,COLUMN())),OFFSET($AT$2,0,0,ROW()-1,40),ROW()-1,FALSE))</f>
        <v/>
      </c>
      <c r="AK29" t="str">
        <f ca="1">IF(AND($B$294=1,LEN($AK$180) * LEN($AK$177)&gt;0),$AK$180/$AK$177*100,HLOOKUP(INDIRECT(ADDRESS(2,COLUMN())),OFFSET($AT$2,0,0,ROW()-1,40),ROW()-1,FALSE))</f>
        <v/>
      </c>
      <c r="AL29" t="str">
        <f ca="1">IF(AND($B$294=1,LEN($AL$180) * LEN($AL$177)&gt;0),$AL$180/$AL$177*100,HLOOKUP(INDIRECT(ADDRESS(2,COLUMN())),OFFSET($AT$2,0,0,ROW()-1,40),ROW()-1,FALSE))</f>
        <v/>
      </c>
      <c r="AM29" t="str">
        <f ca="1">IF(AND($B$294=1,LEN($AM$180) * LEN($AM$177)&gt;0),$AM$180/$AM$177*100,HLOOKUP(INDIRECT(ADDRESS(2,COLUMN())),OFFSET($AT$2,0,0,ROW()-1,40),ROW()-1,FALSE))</f>
        <v/>
      </c>
      <c r="AN29" t="str">
        <f ca="1">IF(AND($B$294=1,LEN($AN$180) * LEN($AN$177)&gt;0),$AN$180/$AN$177*100,HLOOKUP(INDIRECT(ADDRESS(2,COLUMN())),OFFSET($AT$2,0,0,ROW()-1,40),ROW()-1,FALSE))</f>
        <v/>
      </c>
      <c r="AO29" t="str">
        <f ca="1">IF(AND($B$294=1,LEN($AO$180) * LEN($AO$177)&gt;0),$AO$180/$AO$177*100,HLOOKUP(INDIRECT(ADDRESS(2,COLUMN())),OFFSET($AT$2,0,0,ROW()-1,40),ROW()-1,FALSE))</f>
        <v/>
      </c>
      <c r="AP29" t="str">
        <f ca="1">IF(AND($B$294=1,LEN($AP$180) * LEN($AP$177)&gt;0),$AP$180/$AP$177*100,HLOOKUP(INDIRECT(ADDRESS(2,COLUMN())),OFFSET($AT$2,0,0,ROW()-1,40),ROW()-1,FALSE))</f>
        <v/>
      </c>
      <c r="AQ29" t="str">
        <f ca="1">IF(AND($B$294=1,LEN($AQ$180) * LEN($AQ$177)&gt;0),$AQ$180/$AQ$177*100,HLOOKUP(INDIRECT(ADDRESS(2,COLUMN())),OFFSET($AT$2,0,0,ROW()-1,40),ROW()-1,FALSE))</f>
        <v/>
      </c>
      <c r="AR29" t="str">
        <f ca="1">IF(AND($B$294=1,LEN($AR$180) * LEN($AR$177)&gt;0),$AR$180/$AR$177*100,HLOOKUP(INDIRECT(ADDRESS(2,COLUMN())),OFFSET($AT$2,0,0,ROW()-1,40),ROW()-1,FALSE))</f>
        <v/>
      </c>
      <c r="AS29" t="str">
        <f ca="1">IF(AND($B$294=1,LEN($AS$180) * LEN($AS$177)&gt;0),$AS$180/$AS$177*100,HLOOKUP(INDIRECT(ADDRESS(2,COLUMN())),OFFSET($AT$2,0,0,ROW()-1,40),ROW()-1,FALSE))</f>
        <v/>
      </c>
      <c r="AT29" t="str">
        <f>""</f>
        <v/>
      </c>
      <c r="AU29" t="str">
        <f>""</f>
        <v/>
      </c>
      <c r="AV29" t="str">
        <f>""</f>
        <v/>
      </c>
      <c r="AW29" t="str">
        <f>""</f>
        <v/>
      </c>
      <c r="AX29" t="str">
        <f>""</f>
        <v/>
      </c>
      <c r="AY29" t="str">
        <f>""</f>
        <v/>
      </c>
      <c r="AZ29" t="str">
        <f>""</f>
        <v/>
      </c>
      <c r="BA29" t="str">
        <f>""</f>
        <v/>
      </c>
      <c r="BB29" t="str">
        <f>""</f>
        <v/>
      </c>
      <c r="BC29" t="str">
        <f>""</f>
        <v/>
      </c>
      <c r="BD29" t="str">
        <f>""</f>
        <v/>
      </c>
      <c r="BE29" t="str">
        <f>""</f>
        <v/>
      </c>
      <c r="BF29" t="str">
        <f>""</f>
        <v/>
      </c>
      <c r="BG29" t="str">
        <f>""</f>
        <v/>
      </c>
      <c r="BH29" t="str">
        <f>""</f>
        <v/>
      </c>
      <c r="BI29" t="str">
        <f>""</f>
        <v/>
      </c>
      <c r="BJ29" t="str">
        <f>""</f>
        <v/>
      </c>
      <c r="BK29" t="str">
        <f>""</f>
        <v/>
      </c>
      <c r="BL29" t="str">
        <f>""</f>
        <v/>
      </c>
      <c r="BM29" t="str">
        <f>""</f>
        <v/>
      </c>
      <c r="BN29" t="str">
        <f>""</f>
        <v/>
      </c>
      <c r="BO29" t="str">
        <f>""</f>
        <v/>
      </c>
      <c r="BP29" t="str">
        <f>""</f>
        <v/>
      </c>
      <c r="BQ29" t="str">
        <f>""</f>
        <v/>
      </c>
      <c r="BR29" t="str">
        <f>""</f>
        <v/>
      </c>
      <c r="BS29" t="str">
        <f>""</f>
        <v/>
      </c>
      <c r="BT29" t="str">
        <f>""</f>
        <v/>
      </c>
      <c r="BU29" t="str">
        <f>""</f>
        <v/>
      </c>
      <c r="BV29" t="str">
        <f>""</f>
        <v/>
      </c>
      <c r="BW29" t="str">
        <f>""</f>
        <v/>
      </c>
      <c r="BX29" t="str">
        <f>""</f>
        <v/>
      </c>
      <c r="BY29" t="str">
        <f>""</f>
        <v/>
      </c>
      <c r="BZ29" t="str">
        <f>""</f>
        <v/>
      </c>
      <c r="CA29" t="str">
        <f>""</f>
        <v/>
      </c>
      <c r="CB29" t="str">
        <f>""</f>
        <v/>
      </c>
      <c r="CC29" t="str">
        <f>""</f>
        <v/>
      </c>
      <c r="CD29" t="str">
        <f>""</f>
        <v/>
      </c>
      <c r="CE29" t="str">
        <f>""</f>
        <v/>
      </c>
      <c r="CF29" t="str">
        <f>""</f>
        <v/>
      </c>
      <c r="CG29" t="str">
        <f>""</f>
        <v/>
      </c>
    </row>
    <row r="30" spans="1:85" x14ac:dyDescent="0.25">
      <c r="A30" t="str">
        <f>"    PACCAR"</f>
        <v xml:space="preserve">    PACCAR</v>
      </c>
      <c r="B30" t="str">
        <f>"PCAR US Equity"</f>
        <v>PCAR US Equity</v>
      </c>
      <c r="E30" t="str">
        <f>"Sum"</f>
        <v>Sum</v>
      </c>
      <c r="F30">
        <f ca="1">IF(ISERROR(IF(SUM($F$31:$F$32) = 0, "", SUM($F$31:$F$32))), "", (IF(SUM($F$31:$F$32) = 0, "", SUM($F$31:$F$32))))</f>
        <v>32.602632749999998</v>
      </c>
      <c r="G30">
        <f ca="1">IF(ISERROR(IF(SUM($G$31:$G$32) = 0, "", SUM($G$31:$G$32))), "", (IF(SUM($G$31:$G$32) = 0, "", SUM($G$31:$G$32))))</f>
        <v>29.959812079999999</v>
      </c>
      <c r="H30">
        <f ca="1">IF(ISERROR(IF(SUM($H$31:$H$32) = 0, "", SUM($H$31:$H$32))), "", (IF(SUM($H$31:$H$32) = 0, "", SUM($H$31:$H$32))))</f>
        <v>30.222532910000002</v>
      </c>
      <c r="I30">
        <f ca="1">IF(ISERROR(IF(SUM($I$31:$I$32) = 0, "", SUM($I$31:$I$32))), "", (IF(SUM($I$31:$I$32) = 0, "", SUM($I$31:$I$32))))</f>
        <v>32.767513219999998</v>
      </c>
      <c r="J30">
        <f ca="1">IF(ISERROR(IF(SUM($J$31:$J$32) = 0, "", SUM($J$31:$J$32))), "", (IF(SUM($J$31:$J$32) = 0, "", SUM($J$31:$J$32))))</f>
        <v>30.681686890000002</v>
      </c>
      <c r="K30">
        <f ca="1">IF(ISERROR(IF(SUM($K$31:$K$32) = 0, "", SUM($K$31:$K$32))), "", (IF(SUM($K$31:$K$32) = 0, "", SUM($K$31:$K$32))))</f>
        <v>29.960610540000001</v>
      </c>
      <c r="L30">
        <f ca="1">IF(ISERROR(IF(SUM($L$31:$L$32) = 0, "", SUM($L$31:$L$32))), "", (IF(SUM($L$31:$L$32) = 0, "", SUM($L$31:$L$32))))</f>
        <v>33.304423249999999</v>
      </c>
      <c r="M30">
        <f ca="1">IF(ISERROR(IF(SUM($M$31:$M$32) = 0, "", SUM($M$31:$M$32))), "", (IF(SUM($M$31:$M$32) = 0, "", SUM($M$31:$M$32))))</f>
        <v>29.094842159999999</v>
      </c>
      <c r="N30">
        <f ca="1">IF(ISERROR(IF(SUM($N$31:$N$32) = 0, "", SUM($N$31:$N$32))), "", (IF(SUM($N$31:$N$32) = 0, "", SUM($N$31:$N$32))))</f>
        <v>28.098214280000001</v>
      </c>
      <c r="O30">
        <f ca="1">IF(ISERROR(IF(SUM($O$31:$O$32) = 0, "", SUM($O$31:$O$32))), "", (IF(SUM($O$31:$O$32) = 0, "", SUM($O$31:$O$32))))</f>
        <v>27.86915205</v>
      </c>
      <c r="P30">
        <f ca="1">IF(ISERROR(IF(SUM($P$31:$P$32) = 0, "", SUM($P$31:$P$32))), "", (IF(SUM($P$31:$P$32) = 0, "", SUM($P$31:$P$32))))</f>
        <v>33.265084139999999</v>
      </c>
      <c r="Q30">
        <f ca="1">IF(ISERROR(IF(SUM($Q$31:$Q$32) = 0, "", SUM($Q$31:$Q$32))), "", (IF(SUM($Q$31:$Q$32) = 0, "", SUM($Q$31:$Q$32))))</f>
        <v>28.881876210000001</v>
      </c>
      <c r="R30">
        <f ca="1">IF(ISERROR(IF(SUM($R$31:$R$32) = 0, "", SUM($R$31:$R$32))), "", (IF(SUM($R$31:$R$32) = 0, "", SUM($R$31:$R$32))))</f>
        <v>30.672639150000002</v>
      </c>
      <c r="S30">
        <f ca="1">IF(ISERROR(IF(SUM($S$31:$S$32) = 0, "", SUM($S$31:$S$32))), "", (IF(SUM($S$31:$S$32) = 0, "", SUM($S$31:$S$32))))</f>
        <v>33.023784070000005</v>
      </c>
      <c r="T30">
        <f ca="1">IF(ISERROR(IF(SUM($T$31:$T$32) = 0, "", SUM($T$31:$T$32))), "", (IF(SUM($T$31:$T$32) = 0, "", SUM($T$31:$T$32))))</f>
        <v>29.36908129</v>
      </c>
      <c r="U30">
        <f ca="1">IF(ISERROR(IF(SUM($U$31:$U$32) = 0, "", SUM($U$31:$U$32))), "", (IF(SUM($U$31:$U$32) = 0, "", SUM($U$31:$U$32))))</f>
        <v>32.438764640000002</v>
      </c>
      <c r="V30">
        <f ca="1">IF(ISERROR(IF(SUM($V$31:$V$32) = 0, "", SUM($V$31:$V$32))), "", (IF(SUM($V$31:$V$32) = 0, "", SUM($V$31:$V$32))))</f>
        <v>27.645199959999999</v>
      </c>
      <c r="W30">
        <f ca="1">IF(ISERROR(IF(SUM($W$31:$W$32) = 0, "", SUM($W$31:$W$32))), "", (IF(SUM($W$31:$W$32) = 0, "", SUM($W$31:$W$32))))</f>
        <v>28.500462110000001</v>
      </c>
      <c r="X30">
        <f ca="1">IF(ISERROR(IF(SUM($X$31:$X$32) = 0, "", SUM($X$31:$X$32))), "", (IF(SUM($X$31:$X$32) = 0, "", SUM($X$31:$X$32))))</f>
        <v>29.279143869999999</v>
      </c>
      <c r="Y30">
        <f ca="1">IF(ISERROR(IF(SUM($Y$31:$Y$32) = 0, "", SUM($Y$31:$Y$32))), "", (IF(SUM($Y$31:$Y$32) = 0, "", SUM($Y$31:$Y$32))))</f>
        <v>26.220425280000001</v>
      </c>
      <c r="Z30">
        <f ca="1">IF(ISERROR(IF(SUM($Z$31:$Z$32) = 0, "", SUM($Z$31:$Z$32))), "", (IF(SUM($Z$31:$Z$32) = 0, "", SUM($Z$31:$Z$32))))</f>
        <v>27.569916859999999</v>
      </c>
      <c r="AA30">
        <f ca="1">IF(ISERROR(IF(SUM($AA$31:$AA$32) = 0, "", SUM($AA$31:$AA$32))), "", (IF(SUM($AA$31:$AA$32) = 0, "", SUM($AA$31:$AA$32))))</f>
        <v>23.86356511</v>
      </c>
      <c r="AB30">
        <f ca="1">IF(ISERROR(IF(SUM($AB$31:$AB$32) = 0, "", SUM($AB$31:$AB$32))), "", (IF(SUM($AB$31:$AB$32) = 0, "", SUM($AB$31:$AB$32))))</f>
        <v>26.1782121</v>
      </c>
      <c r="AC30">
        <f ca="1">IF(ISERROR(IF(SUM($AC$31:$AC$32) = 0, "", SUM($AC$31:$AC$32))), "", (IF(SUM($AC$31:$AC$32) = 0, "", SUM($AC$31:$AC$32))))</f>
        <v>23.583628416</v>
      </c>
      <c r="AD30">
        <f ca="1">IF(ISERROR(IF(SUM($AD$31:$AD$32) = 0, "", SUM($AD$31:$AD$32))), "", (IF(SUM($AD$31:$AD$32) = 0, "", SUM($AD$31:$AD$32))))</f>
        <v>26.661819690000002</v>
      </c>
      <c r="AE30">
        <f ca="1">IF(ISERROR(IF(SUM($AE$31:$AE$32) = 0, "", SUM($AE$31:$AE$32))), "", (IF(SUM($AE$31:$AE$32) = 0, "", SUM($AE$31:$AE$32))))</f>
        <v>29.56430546</v>
      </c>
      <c r="AF30">
        <f ca="1">IF(ISERROR(IF(SUM($AF$31:$AF$32) = 0, "", SUM($AF$31:$AF$32))), "", (IF(SUM($AF$31:$AF$32) = 0, "", SUM($AF$31:$AF$32))))</f>
        <v>30.155916179999998</v>
      </c>
      <c r="AG30">
        <f ca="1">IF(ISERROR(IF(SUM($AG$31:$AG$32) = 0, "", SUM($AG$31:$AG$32))), "", (IF(SUM($AG$31:$AG$32) = 0, "", SUM($AG$31:$AG$32))))</f>
        <v>28.048050619999998</v>
      </c>
      <c r="AH30">
        <f ca="1">IF(ISERROR(IF(SUM($AH$31:$AH$32) = 0, "", SUM($AH$31:$AH$32))), "", (IF(SUM($AH$31:$AH$32) = 0, "", SUM($AH$31:$AH$32))))</f>
        <v>26.29109832</v>
      </c>
      <c r="AI30">
        <f ca="1">IF(ISERROR(IF(SUM($AI$31:$AI$32) = 0, "", SUM($AI$31:$AI$32))), "", (IF(SUM($AI$31:$AI$32) = 0, "", SUM($AI$31:$AI$32))))</f>
        <v>28.080535670000003</v>
      </c>
      <c r="AJ30">
        <f ca="1">IF(ISERROR(IF(SUM($AJ$31:$AJ$32) = 0, "", SUM($AJ$31:$AJ$32))), "", (IF(SUM($AJ$31:$AJ$32) = 0, "", SUM($AJ$31:$AJ$32))))</f>
        <v>31.196060269999997</v>
      </c>
      <c r="AK30">
        <f ca="1">IF(ISERROR(IF(SUM($AK$31:$AK$32) = 0, "", SUM($AK$31:$AK$32))), "", (IF(SUM($AK$31:$AK$32) = 0, "", SUM($AK$31:$AK$32))))</f>
        <v>27.845646690000002</v>
      </c>
      <c r="AL30">
        <f ca="1">IF(ISERROR(IF(SUM($AL$31:$AL$32) = 0, "", SUM($AL$31:$AL$32))), "", (IF(SUM($AL$31:$AL$32) = 0, "", SUM($AL$31:$AL$32))))</f>
        <v>28.98428732</v>
      </c>
      <c r="AM30">
        <f ca="1">IF(ISERROR(IF(SUM($AM$31:$AM$32) = 0, "", SUM($AM$31:$AM$32))), "", (IF(SUM($AM$31:$AM$32) = 0, "", SUM($AM$31:$AM$32))))</f>
        <v>25.378460830000002</v>
      </c>
      <c r="AN30">
        <f ca="1">IF(ISERROR(IF(SUM($AN$31:$AN$32) = 0, "", SUM($AN$31:$AN$32))), "", (IF(SUM($AN$31:$AN$32) = 0, "", SUM($AN$31:$AN$32))))</f>
        <v>27.866889090000001</v>
      </c>
      <c r="AO30">
        <f ca="1">IF(ISERROR(IF(SUM($AO$31:$AO$32) = 0, "", SUM($AO$31:$AO$32))), "", (IF(SUM($AO$31:$AO$32) = 0, "", SUM($AO$31:$AO$32))))</f>
        <v>31.95259188</v>
      </c>
      <c r="AP30">
        <f ca="1">IF(ISERROR(IF(SUM($AP$31:$AP$32) = 0, "", SUM($AP$31:$AP$32))), "", (IF(SUM($AP$31:$AP$32) = 0, "", SUM($AP$31:$AP$32))))</f>
        <v>27.814088599999998</v>
      </c>
      <c r="AQ30">
        <f ca="1">IF(ISERROR(IF(SUM($AQ$31:$AQ$32) = 0, "", SUM($AQ$31:$AQ$32))), "", (IF(SUM($AQ$31:$AQ$32) = 0, "", SUM($AQ$31:$AQ$32))))</f>
        <v>27.75176811</v>
      </c>
      <c r="AR30">
        <f ca="1">IF(ISERROR(IF(SUM($AR$31:$AR$32) = 0, "", SUM($AR$31:$AR$32))), "", (IF(SUM($AR$31:$AR$32) = 0, "", SUM($AR$31:$AR$32))))</f>
        <v>26.84567178</v>
      </c>
      <c r="AS30">
        <f ca="1">IF(ISERROR(IF(SUM($AS$31:$AS$32) = 0, "", SUM($AS$31:$AS$32))), "", (IF(SUM($AS$31:$AS$32) = 0, "", SUM($AS$31:$AS$32))))</f>
        <v>27.76565742</v>
      </c>
      <c r="AT30">
        <f>32.60263275</f>
        <v>32.602632749999998</v>
      </c>
      <c r="AU30">
        <f>29.95981208</f>
        <v>29.959812079999999</v>
      </c>
      <c r="AV30">
        <f>30.22253291</f>
        <v>30.222532910000002</v>
      </c>
      <c r="AW30">
        <f>32.76751322</f>
        <v>32.767513219999998</v>
      </c>
      <c r="AX30">
        <f>30.68168689</f>
        <v>30.681686890000002</v>
      </c>
      <c r="AY30">
        <f>29.96061054</f>
        <v>29.960610540000001</v>
      </c>
      <c r="AZ30">
        <f>33.30442324</f>
        <v>33.304423239999998</v>
      </c>
      <c r="BA30">
        <f>29.09484216</f>
        <v>29.094842159999999</v>
      </c>
      <c r="BB30">
        <f>28.09821429</f>
        <v>28.098214290000001</v>
      </c>
      <c r="BC30">
        <f>27.86915205</f>
        <v>27.86915205</v>
      </c>
      <c r="BD30">
        <f>33.26508414</f>
        <v>33.265084139999999</v>
      </c>
      <c r="BE30">
        <f>28.88187621</f>
        <v>28.881876210000001</v>
      </c>
      <c r="BF30">
        <f>30.67263915</f>
        <v>30.672639149999998</v>
      </c>
      <c r="BG30">
        <f>33.02378407</f>
        <v>33.023784069999998</v>
      </c>
      <c r="BH30">
        <f>29.36908129</f>
        <v>29.36908129</v>
      </c>
      <c r="BI30">
        <f>32.43876464</f>
        <v>32.438764640000002</v>
      </c>
      <c r="BJ30">
        <f>27.64519996</f>
        <v>27.645199959999999</v>
      </c>
      <c r="BK30">
        <f>28.50046211</f>
        <v>28.500462110000001</v>
      </c>
      <c r="BL30">
        <f>29.27914387</f>
        <v>29.279143869999999</v>
      </c>
      <c r="BM30">
        <f>26.22042528</f>
        <v>26.220425280000001</v>
      </c>
      <c r="BN30">
        <f>27.56991686</f>
        <v>27.569916859999999</v>
      </c>
      <c r="BO30">
        <f>23.86356511</f>
        <v>23.86356511</v>
      </c>
      <c r="BP30">
        <f>26.1782121</f>
        <v>26.1782121</v>
      </c>
      <c r="BQ30">
        <f>23.58362841</f>
        <v>23.583628409999999</v>
      </c>
      <c r="BR30">
        <f>26.66181969</f>
        <v>26.661819690000002</v>
      </c>
      <c r="BS30">
        <f>29.56430546</f>
        <v>29.56430546</v>
      </c>
      <c r="BT30">
        <f>30.15591618</f>
        <v>30.155916179999998</v>
      </c>
      <c r="BU30">
        <f>28.04805062</f>
        <v>28.048050620000001</v>
      </c>
      <c r="BV30">
        <f>26.29109832</f>
        <v>26.29109832</v>
      </c>
      <c r="BW30">
        <f>28.08053566</f>
        <v>28.080535659999999</v>
      </c>
      <c r="BX30">
        <f>31.19606027</f>
        <v>31.19606027</v>
      </c>
      <c r="BY30">
        <f>27.84564669</f>
        <v>27.845646689999999</v>
      </c>
      <c r="BZ30">
        <f>28.98428732</f>
        <v>28.98428732</v>
      </c>
      <c r="CA30">
        <f>25.37846083</f>
        <v>25.378460830000002</v>
      </c>
      <c r="CB30">
        <f>27.86688909</f>
        <v>27.866889090000001</v>
      </c>
      <c r="CC30">
        <f>31.95259188</f>
        <v>31.95259188</v>
      </c>
      <c r="CD30">
        <f>27.8140886</f>
        <v>27.814088600000002</v>
      </c>
      <c r="CE30">
        <f>27.7517681</f>
        <v>27.7517681</v>
      </c>
      <c r="CF30">
        <f>26.84567178</f>
        <v>26.84567178</v>
      </c>
      <c r="CG30">
        <f>27.76565743</f>
        <v>27.765657430000001</v>
      </c>
    </row>
    <row r="31" spans="1:85" x14ac:dyDescent="0.25">
      <c r="A31" t="str">
        <f>"        Kenworth"</f>
        <v xml:space="preserve">        Kenworth</v>
      </c>
      <c r="B31" t="str">
        <f>"PCAR US Equity"</f>
        <v>PCAR US Equity</v>
      </c>
      <c r="E31" t="str">
        <f>"Expression"</f>
        <v>Expression</v>
      </c>
      <c r="F31">
        <f ca="1">IF(AND($B$294=1,LEN($F$181) * LEN($F$177)&gt;0),$F$181/$F$177*100,HLOOKUP(INDIRECT(ADDRESS(2,COLUMN())),OFFSET($AT$2,0,0,ROW()-1,40),ROW()-1,FALSE))</f>
        <v>15.445113790000001</v>
      </c>
      <c r="G31">
        <f ca="1">IF(AND($B$294=1,LEN($G$181) * LEN($G$177)&gt;0),$G$181/$G$177*100,HLOOKUP(INDIRECT(ADDRESS(2,COLUMN())),OFFSET($AT$2,0,0,ROW()-1,40),ROW()-1,FALSE))</f>
        <v>15.22046754</v>
      </c>
      <c r="H31">
        <f ca="1">IF(AND($B$294=1,LEN($H$181) * LEN($H$177)&gt;0),$H$181/$H$177*100,HLOOKUP(INDIRECT(ADDRESS(2,COLUMN())),OFFSET($AT$2,0,0,ROW()-1,40),ROW()-1,FALSE))</f>
        <v>14.138413140000001</v>
      </c>
      <c r="I31">
        <f ca="1">IF(AND($B$294=1,LEN($I$181) * LEN($I$177)&gt;0),$I$181/$I$177*100,HLOOKUP(INDIRECT(ADDRESS(2,COLUMN())),OFFSET($AT$2,0,0,ROW()-1,40),ROW()-1,FALSE))</f>
        <v>15.87778286</v>
      </c>
      <c r="J31">
        <f ca="1">IF(AND($B$294=1,LEN($J$181) * LEN($J$177)&gt;0),$J$181/$J$177*100,HLOOKUP(INDIRECT(ADDRESS(2,COLUMN())),OFFSET($AT$2,0,0,ROW()-1,40),ROW()-1,FALSE))</f>
        <v>14.615829</v>
      </c>
      <c r="K31">
        <f ca="1">IF(AND($B$294=1,LEN($K$181) * LEN($K$177)&gt;0),$K$181/$K$177*100,HLOOKUP(INDIRECT(ADDRESS(2,COLUMN())),OFFSET($AT$2,0,0,ROW()-1,40),ROW()-1,FALSE))</f>
        <v>14.8572132</v>
      </c>
      <c r="L31">
        <f ca="1">IF(AND($B$294=1,LEN($L$181) * LEN($L$177)&gt;0),$L$181/$L$177*100,HLOOKUP(INDIRECT(ADDRESS(2,COLUMN())),OFFSET($AT$2,0,0,ROW()-1,40),ROW()-1,FALSE))</f>
        <v>16.789534549999999</v>
      </c>
      <c r="M31">
        <f ca="1">IF(AND($B$294=1,LEN($M$181) * LEN($M$177)&gt;0),$M$181/$M$177*100,HLOOKUP(INDIRECT(ADDRESS(2,COLUMN())),OFFSET($AT$2,0,0,ROW()-1,40),ROW()-1,FALSE))</f>
        <v>14.27702292</v>
      </c>
      <c r="N31">
        <f ca="1">IF(AND($B$294=1,LEN($N$181) * LEN($N$177)&gt;0),$N$181/$N$177*100,HLOOKUP(INDIRECT(ADDRESS(2,COLUMN())),OFFSET($AT$2,0,0,ROW()-1,40),ROW()-1,FALSE))</f>
        <v>11.88392857</v>
      </c>
      <c r="O31">
        <f ca="1">IF(AND($B$294=1,LEN($O$181) * LEN($O$177)&gt;0),$O$181/$O$177*100,HLOOKUP(INDIRECT(ADDRESS(2,COLUMN())),OFFSET($AT$2,0,0,ROW()-1,40),ROW()-1,FALSE))</f>
        <v>10.85526316</v>
      </c>
      <c r="P31">
        <f ca="1">IF(AND($B$294=1,LEN($P$181) * LEN($P$177)&gt;0),$P$181/$P$177*100,HLOOKUP(INDIRECT(ADDRESS(2,COLUMN())),OFFSET($AT$2,0,0,ROW()-1,40),ROW()-1,FALSE))</f>
        <v>19.70055666</v>
      </c>
      <c r="Q31">
        <f ca="1">IF(AND($B$294=1,LEN($Q$181) * LEN($Q$177)&gt;0),$Q$181/$Q$177*100,HLOOKUP(INDIRECT(ADDRESS(2,COLUMN())),OFFSET($AT$2,0,0,ROW()-1,40),ROW()-1,FALSE))</f>
        <v>14.09309331</v>
      </c>
      <c r="R31">
        <f ca="1">IF(AND($B$294=1,LEN($R$181) * LEN($R$177)&gt;0),$R$181/$R$177*100,HLOOKUP(INDIRECT(ADDRESS(2,COLUMN())),OFFSET($AT$2,0,0,ROW()-1,40),ROW()-1,FALSE))</f>
        <v>15.47951241</v>
      </c>
      <c r="S31">
        <f ca="1">IF(AND($B$294=1,LEN($S$181) * LEN($S$177)&gt;0),$S$181/$S$177*100,HLOOKUP(INDIRECT(ADDRESS(2,COLUMN())),OFFSET($AT$2,0,0,ROW()-1,40),ROW()-1,FALSE))</f>
        <v>18.646445750000002</v>
      </c>
      <c r="T31">
        <f ca="1">IF(AND($B$294=1,LEN($T$181) * LEN($T$177)&gt;0),$T$181/$T$177*100,HLOOKUP(INDIRECT(ADDRESS(2,COLUMN())),OFFSET($AT$2,0,0,ROW()-1,40),ROW()-1,FALSE))</f>
        <v>15.471651700000001</v>
      </c>
      <c r="U31">
        <f ca="1">IF(AND($B$294=1,LEN($U$181) * LEN($U$177)&gt;0),$U$181/$U$177*100,HLOOKUP(INDIRECT(ADDRESS(2,COLUMN())),OFFSET($AT$2,0,0,ROW()-1,40),ROW()-1,FALSE))</f>
        <v>16.563720270000001</v>
      </c>
      <c r="V31">
        <f ca="1">IF(AND($B$294=1,LEN($V$181) * LEN($V$177)&gt;0),$V$181/$V$177*100,HLOOKUP(INDIRECT(ADDRESS(2,COLUMN())),OFFSET($AT$2,0,0,ROW()-1,40),ROW()-1,FALSE))</f>
        <v>14.934074320000001</v>
      </c>
      <c r="W31">
        <f ca="1">IF(AND($B$294=1,LEN($W$181) * LEN($W$177)&gt;0),$W$181/$W$177*100,HLOOKUP(INDIRECT(ADDRESS(2,COLUMN())),OFFSET($AT$2,0,0,ROW()-1,40),ROW()-1,FALSE))</f>
        <v>14.943391869999999</v>
      </c>
      <c r="X31">
        <f ca="1">IF(AND($B$294=1,LEN($X$181) * LEN($X$177)&gt;0),$X$181/$X$177*100,HLOOKUP(INDIRECT(ADDRESS(2,COLUMN())),OFFSET($AT$2,0,0,ROW()-1,40),ROW()-1,FALSE))</f>
        <v>15.258822820000001</v>
      </c>
      <c r="Y31">
        <f ca="1">IF(AND($B$294=1,LEN($Y$181) * LEN($Y$177)&gt;0),$Y$181/$Y$177*100,HLOOKUP(INDIRECT(ADDRESS(2,COLUMN())),OFFSET($AT$2,0,0,ROW()-1,40),ROW()-1,FALSE))</f>
        <v>14.60517121</v>
      </c>
      <c r="Z31">
        <f ca="1">IF(AND($B$294=1,LEN($Z$181) * LEN($Z$177)&gt;0),$Z$181/$Z$177*100,HLOOKUP(INDIRECT(ADDRESS(2,COLUMN())),OFFSET($AT$2,0,0,ROW()-1,40),ROW()-1,FALSE))</f>
        <v>13.90778534</v>
      </c>
      <c r="AA31">
        <f ca="1">IF(AND($B$294=1,LEN($AA$181) * LEN($AA$177)&gt;0),$AA$181/$AA$177*100,HLOOKUP(INDIRECT(ADDRESS(2,COLUMN())),OFFSET($AT$2,0,0,ROW()-1,40),ROW()-1,FALSE))</f>
        <v>10.546115739999999</v>
      </c>
      <c r="AB31">
        <f ca="1">IF(AND($B$294=1,LEN($AB$181) * LEN($AB$177)&gt;0),$AB$181/$AB$177*100,HLOOKUP(INDIRECT(ADDRESS(2,COLUMN())),OFFSET($AT$2,0,0,ROW()-1,40),ROW()-1,FALSE))</f>
        <v>14.5332884</v>
      </c>
      <c r="AC31">
        <f ca="1">IF(AND($B$294=1,LEN($AC$181) * LEN($AC$177)&gt;0),$AC$181/$AC$177*100,HLOOKUP(INDIRECT(ADDRESS(2,COLUMN())),OFFSET($AT$2,0,0,ROW()-1,40),ROW()-1,FALSE))</f>
        <v>13.91376797</v>
      </c>
      <c r="AD31">
        <f ca="1">IF(AND($B$294=1,LEN($AD$181) * LEN($AD$177)&gt;0),$AD$181/$AD$177*100,HLOOKUP(INDIRECT(ADDRESS(2,COLUMN())),OFFSET($AT$2,0,0,ROW()-1,40),ROW()-1,FALSE))</f>
        <v>15.17449107</v>
      </c>
      <c r="AE31">
        <f ca="1">IF(AND($B$294=1,LEN($AE$181) * LEN($AE$177)&gt;0),$AE$181/$AE$177*100,HLOOKUP(INDIRECT(ADDRESS(2,COLUMN())),OFFSET($AT$2,0,0,ROW()-1,40),ROW()-1,FALSE))</f>
        <v>16.159786440000001</v>
      </c>
      <c r="AF31">
        <f ca="1">IF(AND($B$294=1,LEN($AF$181) * LEN($AF$177)&gt;0),$AF$181/$AF$177*100,HLOOKUP(INDIRECT(ADDRESS(2,COLUMN())),OFFSET($AT$2,0,0,ROW()-1,40),ROW()-1,FALSE))</f>
        <v>16.35528888</v>
      </c>
      <c r="AG31">
        <f ca="1">IF(AND($B$294=1,LEN($AG$181) * LEN($AG$177)&gt;0),$AG$181/$AG$177*100,HLOOKUP(INDIRECT(ADDRESS(2,COLUMN())),OFFSET($AT$2,0,0,ROW()-1,40),ROW()-1,FALSE))</f>
        <v>14.902530779999999</v>
      </c>
      <c r="AH31">
        <f ca="1">IF(AND($B$294=1,LEN($AH$181) * LEN($AH$177)&gt;0),$AH$181/$AH$177*100,HLOOKUP(INDIRECT(ADDRESS(2,COLUMN())),OFFSET($AT$2,0,0,ROW()-1,40),ROW()-1,FALSE))</f>
        <v>14.720492</v>
      </c>
      <c r="AI31">
        <f ca="1">IF(AND($B$294=1,LEN($AI$181) * LEN($AI$177)&gt;0),$AI$181/$AI$177*100,HLOOKUP(INDIRECT(ADDRESS(2,COLUMN())),OFFSET($AT$2,0,0,ROW()-1,40),ROW()-1,FALSE))</f>
        <v>14.623825910000001</v>
      </c>
      <c r="AJ31">
        <f ca="1">IF(AND($B$294=1,LEN($AJ$181) * LEN($AJ$177)&gt;0),$AJ$181/$AJ$177*100,HLOOKUP(INDIRECT(ADDRESS(2,COLUMN())),OFFSET($AT$2,0,0,ROW()-1,40),ROW()-1,FALSE))</f>
        <v>16.660978109999999</v>
      </c>
      <c r="AK31">
        <f ca="1">IF(AND($B$294=1,LEN($AK$181) * LEN($AK$177)&gt;0),$AK$181/$AK$177*100,HLOOKUP(INDIRECT(ADDRESS(2,COLUMN())),OFFSET($AT$2,0,0,ROW()-1,40),ROW()-1,FALSE))</f>
        <v>14.31064572</v>
      </c>
      <c r="AL31">
        <f ca="1">IF(AND($B$294=1,LEN($AL$181) * LEN($AL$177)&gt;0),$AL$181/$AL$177*100,HLOOKUP(INDIRECT(ADDRESS(2,COLUMN())),OFFSET($AT$2,0,0,ROW()-1,40),ROW()-1,FALSE))</f>
        <v>15.123456790000001</v>
      </c>
      <c r="AM31">
        <f ca="1">IF(AND($B$294=1,LEN($AM$181) * LEN($AM$177)&gt;0),$AM$181/$AM$177*100,HLOOKUP(INDIRECT(ADDRESS(2,COLUMN())),OFFSET($AT$2,0,0,ROW()-1,40),ROW()-1,FALSE))</f>
        <v>12.496402460000001</v>
      </c>
      <c r="AN31">
        <f ca="1">IF(AND($B$294=1,LEN($AN$181) * LEN($AN$177)&gt;0),$AN$181/$AN$177*100,HLOOKUP(INDIRECT(ADDRESS(2,COLUMN())),OFFSET($AT$2,0,0,ROW()-1,40),ROW()-1,FALSE))</f>
        <v>15.505368069999999</v>
      </c>
      <c r="AO31">
        <f ca="1">IF(AND($B$294=1,LEN($AO$181) * LEN($AO$177)&gt;0),$AO$181/$AO$177*100,HLOOKUP(INDIRECT(ADDRESS(2,COLUMN())),OFFSET($AT$2,0,0,ROW()-1,40),ROW()-1,FALSE))</f>
        <v>15.952352449999999</v>
      </c>
      <c r="AP31">
        <f ca="1">IF(AND($B$294=1,LEN($AP$181) * LEN($AP$177)&gt;0),$AP$181/$AP$177*100,HLOOKUP(INDIRECT(ADDRESS(2,COLUMN())),OFFSET($AT$2,0,0,ROW()-1,40),ROW()-1,FALSE))</f>
        <v>13.83442266</v>
      </c>
      <c r="AQ31">
        <f ca="1">IF(AND($B$294=1,LEN($AQ$181) * LEN($AQ$177)&gt;0),$AQ$181/$AQ$177*100,HLOOKUP(INDIRECT(ADDRESS(2,COLUMN())),OFFSET($AT$2,0,0,ROW()-1,40),ROW()-1,FALSE))</f>
        <v>13.8460006</v>
      </c>
      <c r="AR31">
        <f ca="1">IF(AND($B$294=1,LEN($AR$181) * LEN($AR$177)&gt;0),$AR$181/$AR$177*100,HLOOKUP(INDIRECT(ADDRESS(2,COLUMN())),OFFSET($AT$2,0,0,ROW()-1,40),ROW()-1,FALSE))</f>
        <v>13.420288380000001</v>
      </c>
      <c r="AS31">
        <f ca="1">IF(AND($B$294=1,LEN($AS$181) * LEN($AS$177)&gt;0),$AS$181/$AS$177*100,HLOOKUP(INDIRECT(ADDRESS(2,COLUMN())),OFFSET($AT$2,0,0,ROW()-1,40),ROW()-1,FALSE))</f>
        <v>14.356409299999999</v>
      </c>
      <c r="AT31">
        <f>15.44511379</f>
        <v>15.445113790000001</v>
      </c>
      <c r="AU31">
        <f>15.22046754</f>
        <v>15.22046754</v>
      </c>
      <c r="AV31">
        <f>14.13841314</f>
        <v>14.138413140000001</v>
      </c>
      <c r="AW31">
        <f>15.87778286</f>
        <v>15.87778286</v>
      </c>
      <c r="AX31">
        <f>14.615829</f>
        <v>14.615829</v>
      </c>
      <c r="AY31">
        <f>14.8572132</f>
        <v>14.8572132</v>
      </c>
      <c r="AZ31">
        <f>16.78953455</f>
        <v>16.789534549999999</v>
      </c>
      <c r="BA31">
        <f>14.27702292</f>
        <v>14.27702292</v>
      </c>
      <c r="BB31">
        <f>11.88392857</f>
        <v>11.88392857</v>
      </c>
      <c r="BC31">
        <f>10.85526316</f>
        <v>10.85526316</v>
      </c>
      <c r="BD31">
        <f>19.70055666</f>
        <v>19.70055666</v>
      </c>
      <c r="BE31">
        <f>14.09309331</f>
        <v>14.09309331</v>
      </c>
      <c r="BF31">
        <f>15.47951241</f>
        <v>15.47951241</v>
      </c>
      <c r="BG31">
        <f>18.64644575</f>
        <v>18.646445750000002</v>
      </c>
      <c r="BH31">
        <f>15.4716517</f>
        <v>15.471651700000001</v>
      </c>
      <c r="BI31">
        <f>16.56372027</f>
        <v>16.563720270000001</v>
      </c>
      <c r="BJ31">
        <f>14.93407432</f>
        <v>14.934074320000001</v>
      </c>
      <c r="BK31">
        <f>14.94339187</f>
        <v>14.943391869999999</v>
      </c>
      <c r="BL31">
        <f>15.25882282</f>
        <v>15.258822820000001</v>
      </c>
      <c r="BM31">
        <f>14.60517121</f>
        <v>14.60517121</v>
      </c>
      <c r="BN31">
        <f>13.90778534</f>
        <v>13.90778534</v>
      </c>
      <c r="BO31">
        <f>10.54611574</f>
        <v>10.546115739999999</v>
      </c>
      <c r="BP31">
        <f>14.5332884</f>
        <v>14.5332884</v>
      </c>
      <c r="BQ31">
        <f>13.91376797</f>
        <v>13.91376797</v>
      </c>
      <c r="BR31">
        <f>15.17449107</f>
        <v>15.17449107</v>
      </c>
      <c r="BS31">
        <f>16.15978644</f>
        <v>16.159786440000001</v>
      </c>
      <c r="BT31">
        <f>16.35528888</f>
        <v>16.35528888</v>
      </c>
      <c r="BU31">
        <f>14.90253078</f>
        <v>14.902530779999999</v>
      </c>
      <c r="BV31">
        <f>14.720492</f>
        <v>14.720492</v>
      </c>
      <c r="BW31">
        <f>14.62382591</f>
        <v>14.623825910000001</v>
      </c>
      <c r="BX31">
        <f>16.66097811</f>
        <v>16.660978109999999</v>
      </c>
      <c r="BY31">
        <f>14.31064572</f>
        <v>14.31064572</v>
      </c>
      <c r="BZ31">
        <f>15.12345679</f>
        <v>15.123456790000001</v>
      </c>
      <c r="CA31">
        <f>12.49640246</f>
        <v>12.496402460000001</v>
      </c>
      <c r="CB31">
        <f>15.50536807</f>
        <v>15.505368069999999</v>
      </c>
      <c r="CC31">
        <f>15.95235245</f>
        <v>15.952352449999999</v>
      </c>
      <c r="CD31">
        <f>13.83442266</f>
        <v>13.83442266</v>
      </c>
      <c r="CE31">
        <f>13.8460006</f>
        <v>13.8460006</v>
      </c>
      <c r="CF31">
        <f>13.42028838</f>
        <v>13.420288380000001</v>
      </c>
      <c r="CG31">
        <f>14.3564093</f>
        <v>14.356409299999999</v>
      </c>
    </row>
    <row r="32" spans="1:85" x14ac:dyDescent="0.25">
      <c r="A32" t="str">
        <f>"        Peterbilt"</f>
        <v xml:space="preserve">        Peterbilt</v>
      </c>
      <c r="B32" t="str">
        <f>"PCAR US Equity"</f>
        <v>PCAR US Equity</v>
      </c>
      <c r="E32" t="str">
        <f>"Expression"</f>
        <v>Expression</v>
      </c>
      <c r="F32">
        <f ca="1">IF(AND($B$294=1,LEN($F$182) * LEN($F$177)&gt;0),$F$182/$F$177*100,HLOOKUP(INDIRECT(ADDRESS(2,COLUMN())),OFFSET($AT$2,0,0,ROW()-1,40),ROW()-1,FALSE))</f>
        <v>17.157518960000001</v>
      </c>
      <c r="G32">
        <f ca="1">IF(AND($B$294=1,LEN($G$182) * LEN($G$177)&gt;0),$G$182/$G$177*100,HLOOKUP(INDIRECT(ADDRESS(2,COLUMN())),OFFSET($AT$2,0,0,ROW()-1,40),ROW()-1,FALSE))</f>
        <v>14.739344539999999</v>
      </c>
      <c r="H32">
        <f ca="1">IF(AND($B$294=1,LEN($H$182) * LEN($H$177)&gt;0),$H$182/$H$177*100,HLOOKUP(INDIRECT(ADDRESS(2,COLUMN())),OFFSET($AT$2,0,0,ROW()-1,40),ROW()-1,FALSE))</f>
        <v>16.084119770000001</v>
      </c>
      <c r="I32">
        <f ca="1">IF(AND($B$294=1,LEN($I$182) * LEN($I$177)&gt;0),$I$182/$I$177*100,HLOOKUP(INDIRECT(ADDRESS(2,COLUMN())),OFFSET($AT$2,0,0,ROW()-1,40),ROW()-1,FALSE))</f>
        <v>16.889730360000001</v>
      </c>
      <c r="J32">
        <f ca="1">IF(AND($B$294=1,LEN($J$182) * LEN($J$177)&gt;0),$J$182/$J$177*100,HLOOKUP(INDIRECT(ADDRESS(2,COLUMN())),OFFSET($AT$2,0,0,ROW()-1,40),ROW()-1,FALSE))</f>
        <v>16.06585789</v>
      </c>
      <c r="K32">
        <f ca="1">IF(AND($B$294=1,LEN($K$182) * LEN($K$177)&gt;0),$K$182/$K$177*100,HLOOKUP(INDIRECT(ADDRESS(2,COLUMN())),OFFSET($AT$2,0,0,ROW()-1,40),ROW()-1,FALSE))</f>
        <v>15.103397340000001</v>
      </c>
      <c r="L32">
        <f ca="1">IF(AND($B$294=1,LEN($L$182) * LEN($L$177)&gt;0),$L$182/$L$177*100,HLOOKUP(INDIRECT(ADDRESS(2,COLUMN())),OFFSET($AT$2,0,0,ROW()-1,40),ROW()-1,FALSE))</f>
        <v>16.5148887</v>
      </c>
      <c r="M32">
        <f ca="1">IF(AND($B$294=1,LEN($M$182) * LEN($M$177)&gt;0),$M$182/$M$177*100,HLOOKUP(INDIRECT(ADDRESS(2,COLUMN())),OFFSET($AT$2,0,0,ROW()-1,40),ROW()-1,FALSE))</f>
        <v>14.81781924</v>
      </c>
      <c r="N32">
        <f ca="1">IF(AND($B$294=1,LEN($N$182) * LEN($N$177)&gt;0),$N$182/$N$177*100,HLOOKUP(INDIRECT(ADDRESS(2,COLUMN())),OFFSET($AT$2,0,0,ROW()-1,40),ROW()-1,FALSE))</f>
        <v>16.214285709999999</v>
      </c>
      <c r="O32">
        <f ca="1">IF(AND($B$294=1,LEN($O$182) * LEN($O$177)&gt;0),$O$182/$O$177*100,HLOOKUP(INDIRECT(ADDRESS(2,COLUMN())),OFFSET($AT$2,0,0,ROW()-1,40),ROW()-1,FALSE))</f>
        <v>17.01388889</v>
      </c>
      <c r="P32">
        <f ca="1">IF(AND($B$294=1,LEN($P$182) * LEN($P$177)&gt;0),$P$182/$P$177*100,HLOOKUP(INDIRECT(ADDRESS(2,COLUMN())),OFFSET($AT$2,0,0,ROW()-1,40),ROW()-1,FALSE))</f>
        <v>13.564527480000001</v>
      </c>
      <c r="Q32">
        <f ca="1">IF(AND($B$294=1,LEN($Q$182) * LEN($Q$177)&gt;0),$Q$182/$Q$177*100,HLOOKUP(INDIRECT(ADDRESS(2,COLUMN())),OFFSET($AT$2,0,0,ROW()-1,40),ROW()-1,FALSE))</f>
        <v>14.788782899999999</v>
      </c>
      <c r="R32">
        <f ca="1">IF(AND($B$294=1,LEN($R$182) * LEN($R$177)&gt;0),$R$182/$R$177*100,HLOOKUP(INDIRECT(ADDRESS(2,COLUMN())),OFFSET($AT$2,0,0,ROW()-1,40),ROW()-1,FALSE))</f>
        <v>15.19312674</v>
      </c>
      <c r="S32">
        <f ca="1">IF(AND($B$294=1,LEN($S$182) * LEN($S$177)&gt;0),$S$182/$S$177*100,HLOOKUP(INDIRECT(ADDRESS(2,COLUMN())),OFFSET($AT$2,0,0,ROW()-1,40),ROW()-1,FALSE))</f>
        <v>14.37733832</v>
      </c>
      <c r="T32">
        <f ca="1">IF(AND($B$294=1,LEN($T$182) * LEN($T$177)&gt;0),$T$182/$T$177*100,HLOOKUP(INDIRECT(ADDRESS(2,COLUMN())),OFFSET($AT$2,0,0,ROW()-1,40),ROW()-1,FALSE))</f>
        <v>13.89742959</v>
      </c>
      <c r="U32">
        <f ca="1">IF(AND($B$294=1,LEN($U$182) * LEN($U$177)&gt;0),$U$182/$U$177*100,HLOOKUP(INDIRECT(ADDRESS(2,COLUMN())),OFFSET($AT$2,0,0,ROW()-1,40),ROW()-1,FALSE))</f>
        <v>15.875044369999999</v>
      </c>
      <c r="V32">
        <f ca="1">IF(AND($B$294=1,LEN($V$182) * LEN($V$177)&gt;0),$V$182/$V$177*100,HLOOKUP(INDIRECT(ADDRESS(2,COLUMN())),OFFSET($AT$2,0,0,ROW()-1,40),ROW()-1,FALSE))</f>
        <v>12.711125640000001</v>
      </c>
      <c r="W32">
        <f ca="1">IF(AND($B$294=1,LEN($W$182) * LEN($W$177)&gt;0),$W$182/$W$177*100,HLOOKUP(INDIRECT(ADDRESS(2,COLUMN())),OFFSET($AT$2,0,0,ROW()-1,40),ROW()-1,FALSE))</f>
        <v>13.55707024</v>
      </c>
      <c r="X32">
        <f ca="1">IF(AND($B$294=1,LEN($X$182) * LEN($X$177)&gt;0),$X$182/$X$177*100,HLOOKUP(INDIRECT(ADDRESS(2,COLUMN())),OFFSET($AT$2,0,0,ROW()-1,40),ROW()-1,FALSE))</f>
        <v>14.02032105</v>
      </c>
      <c r="Y32">
        <f ca="1">IF(AND($B$294=1,LEN($Y$182) * LEN($Y$177)&gt;0),$Y$182/$Y$177*100,HLOOKUP(INDIRECT(ADDRESS(2,COLUMN())),OFFSET($AT$2,0,0,ROW()-1,40),ROW()-1,FALSE))</f>
        <v>11.615254070000001</v>
      </c>
      <c r="Z32">
        <f ca="1">IF(AND($B$294=1,LEN($Z$182) * LEN($Z$177)&gt;0),$Z$182/$Z$177*100,HLOOKUP(INDIRECT(ADDRESS(2,COLUMN())),OFFSET($AT$2,0,0,ROW()-1,40),ROW()-1,FALSE))</f>
        <v>13.662131520000001</v>
      </c>
      <c r="AA32">
        <f ca="1">IF(AND($B$294=1,LEN($AA$182) * LEN($AA$177)&gt;0),$AA$182/$AA$177*100,HLOOKUP(INDIRECT(ADDRESS(2,COLUMN())),OFFSET($AT$2,0,0,ROW()-1,40),ROW()-1,FALSE))</f>
        <v>13.31744937</v>
      </c>
      <c r="AB32">
        <f ca="1">IF(AND($B$294=1,LEN($AB$182) * LEN($AB$177)&gt;0),$AB$182/$AB$177*100,HLOOKUP(INDIRECT(ADDRESS(2,COLUMN())),OFFSET($AT$2,0,0,ROW()-1,40),ROW()-1,FALSE))</f>
        <v>11.6449237</v>
      </c>
      <c r="AC32">
        <f ca="1">IF(AND($B$294=1,LEN($AC$182) * LEN($AC$177)&gt;0),$AC$182/$AC$177*100,HLOOKUP(INDIRECT(ADDRESS(2,COLUMN())),OFFSET($AT$2,0,0,ROW()-1,40),ROW()-1,FALSE))</f>
        <v>9.6698604459999995</v>
      </c>
      <c r="AD32">
        <f ca="1">IF(AND($B$294=1,LEN($AD$182) * LEN($AD$177)&gt;0),$AD$182/$AD$177*100,HLOOKUP(INDIRECT(ADDRESS(2,COLUMN())),OFFSET($AT$2,0,0,ROW()-1,40),ROW()-1,FALSE))</f>
        <v>11.48732862</v>
      </c>
      <c r="AE32">
        <f ca="1">IF(AND($B$294=1,LEN($AE$182) * LEN($AE$177)&gt;0),$AE$182/$AE$177*100,HLOOKUP(INDIRECT(ADDRESS(2,COLUMN())),OFFSET($AT$2,0,0,ROW()-1,40),ROW()-1,FALSE))</f>
        <v>13.40451902</v>
      </c>
      <c r="AF32">
        <f ca="1">IF(AND($B$294=1,LEN($AF$182) * LEN($AF$177)&gt;0),$AF$182/$AF$177*100,HLOOKUP(INDIRECT(ADDRESS(2,COLUMN())),OFFSET($AT$2,0,0,ROW()-1,40),ROW()-1,FALSE))</f>
        <v>13.8006273</v>
      </c>
      <c r="AG32">
        <f ca="1">IF(AND($B$294=1,LEN($AG$182) * LEN($AG$177)&gt;0),$AG$182/$AG$177*100,HLOOKUP(INDIRECT(ADDRESS(2,COLUMN())),OFFSET($AT$2,0,0,ROW()-1,40),ROW()-1,FALSE))</f>
        <v>13.14551984</v>
      </c>
      <c r="AH32">
        <f ca="1">IF(AND($B$294=1,LEN($AH$182) * LEN($AH$177)&gt;0),$AH$182/$AH$177*100,HLOOKUP(INDIRECT(ADDRESS(2,COLUMN())),OFFSET($AT$2,0,0,ROW()-1,40),ROW()-1,FALSE))</f>
        <v>11.57060632</v>
      </c>
      <c r="AI32">
        <f ca="1">IF(AND($B$294=1,LEN($AI$182) * LEN($AI$177)&gt;0),$AI$182/$AI$177*100,HLOOKUP(INDIRECT(ADDRESS(2,COLUMN())),OFFSET($AT$2,0,0,ROW()-1,40),ROW()-1,FALSE))</f>
        <v>13.456709760000001</v>
      </c>
      <c r="AJ32">
        <f ca="1">IF(AND($B$294=1,LEN($AJ$182) * LEN($AJ$177)&gt;0),$AJ$182/$AJ$177*100,HLOOKUP(INDIRECT(ADDRESS(2,COLUMN())),OFFSET($AT$2,0,0,ROW()-1,40),ROW()-1,FALSE))</f>
        <v>14.53508216</v>
      </c>
      <c r="AK32">
        <f ca="1">IF(AND($B$294=1,LEN($AK$182) * LEN($AK$177)&gt;0),$AK$182/$AK$177*100,HLOOKUP(INDIRECT(ADDRESS(2,COLUMN())),OFFSET($AT$2,0,0,ROW()-1,40),ROW()-1,FALSE))</f>
        <v>13.53500097</v>
      </c>
      <c r="AL32">
        <f ca="1">IF(AND($B$294=1,LEN($AL$182) * LEN($AL$177)&gt;0),$AL$182/$AL$177*100,HLOOKUP(INDIRECT(ADDRESS(2,COLUMN())),OFFSET($AT$2,0,0,ROW()-1,40),ROW()-1,FALSE))</f>
        <v>13.860830529999999</v>
      </c>
      <c r="AM32">
        <f ca="1">IF(AND($B$294=1,LEN($AM$182) * LEN($AM$177)&gt;0),$AM$182/$AM$177*100,HLOOKUP(INDIRECT(ADDRESS(2,COLUMN())),OFFSET($AT$2,0,0,ROW()-1,40),ROW()-1,FALSE))</f>
        <v>12.882058369999999</v>
      </c>
      <c r="AN32">
        <f ca="1">IF(AND($B$294=1,LEN($AN$182) * LEN($AN$177)&gt;0),$AN$182/$AN$177*100,HLOOKUP(INDIRECT(ADDRESS(2,COLUMN())),OFFSET($AT$2,0,0,ROW()-1,40),ROW()-1,FALSE))</f>
        <v>12.36152102</v>
      </c>
      <c r="AO32">
        <f ca="1">IF(AND($B$294=1,LEN($AO$182) * LEN($AO$177)&gt;0),$AO$182/$AO$177*100,HLOOKUP(INDIRECT(ADDRESS(2,COLUMN())),OFFSET($AT$2,0,0,ROW()-1,40),ROW()-1,FALSE))</f>
        <v>16.000239430000001</v>
      </c>
      <c r="AP32">
        <f ca="1">IF(AND($B$294=1,LEN($AP$182) * LEN($AP$177)&gt;0),$AP$182/$AP$177*100,HLOOKUP(INDIRECT(ADDRESS(2,COLUMN())),OFFSET($AT$2,0,0,ROW()-1,40),ROW()-1,FALSE))</f>
        <v>13.97966594</v>
      </c>
      <c r="AQ32">
        <f ca="1">IF(AND($B$294=1,LEN($AQ$182) * LEN($AQ$177)&gt;0),$AQ$182/$AQ$177*100,HLOOKUP(INDIRECT(ADDRESS(2,COLUMN())),OFFSET($AT$2,0,0,ROW()-1,40),ROW()-1,FALSE))</f>
        <v>13.90576751</v>
      </c>
      <c r="AR32">
        <f ca="1">IF(AND($B$294=1,LEN($AR$182) * LEN($AR$177)&gt;0),$AR$182/$AR$177*100,HLOOKUP(INDIRECT(ADDRESS(2,COLUMN())),OFFSET($AT$2,0,0,ROW()-1,40),ROW()-1,FALSE))</f>
        <v>13.425383399999999</v>
      </c>
      <c r="AS32">
        <f ca="1">IF(AND($B$294=1,LEN($AS$182) * LEN($AS$177)&gt;0),$AS$182/$AS$177*100,HLOOKUP(INDIRECT(ADDRESS(2,COLUMN())),OFFSET($AT$2,0,0,ROW()-1,40),ROW()-1,FALSE))</f>
        <v>13.409248120000001</v>
      </c>
      <c r="AT32">
        <f>17.15751896</f>
        <v>17.157518960000001</v>
      </c>
      <c r="AU32">
        <f>14.73934454</f>
        <v>14.739344539999999</v>
      </c>
      <c r="AV32">
        <f>16.08411977</f>
        <v>16.084119770000001</v>
      </c>
      <c r="AW32">
        <f>16.88973036</f>
        <v>16.889730360000001</v>
      </c>
      <c r="AX32">
        <f>16.06585789</f>
        <v>16.06585789</v>
      </c>
      <c r="AY32">
        <f>15.10339734</f>
        <v>15.103397340000001</v>
      </c>
      <c r="AZ32">
        <f>16.5148887</f>
        <v>16.5148887</v>
      </c>
      <c r="BA32">
        <f>14.81781924</f>
        <v>14.81781924</v>
      </c>
      <c r="BB32">
        <f>16.21428571</f>
        <v>16.214285709999999</v>
      </c>
      <c r="BC32">
        <f>17.01388889</f>
        <v>17.01388889</v>
      </c>
      <c r="BD32">
        <f>13.56452748</f>
        <v>13.564527480000001</v>
      </c>
      <c r="BE32">
        <f>14.7887829</f>
        <v>14.788782899999999</v>
      </c>
      <c r="BF32">
        <f>15.19312674</f>
        <v>15.19312674</v>
      </c>
      <c r="BG32">
        <f>14.37733832</f>
        <v>14.37733832</v>
      </c>
      <c r="BH32">
        <f>13.89742959</f>
        <v>13.89742959</v>
      </c>
      <c r="BI32">
        <f>15.87504437</f>
        <v>15.875044369999999</v>
      </c>
      <c r="BJ32">
        <f>12.71112564</f>
        <v>12.711125640000001</v>
      </c>
      <c r="BK32">
        <f>13.55707024</f>
        <v>13.55707024</v>
      </c>
      <c r="BL32">
        <f>14.02032105</f>
        <v>14.02032105</v>
      </c>
      <c r="BM32">
        <f>11.61525407</f>
        <v>11.615254070000001</v>
      </c>
      <c r="BN32">
        <f>13.66213152</f>
        <v>13.662131520000001</v>
      </c>
      <c r="BO32">
        <f>13.31744937</f>
        <v>13.31744937</v>
      </c>
      <c r="BP32">
        <f>11.6449237</f>
        <v>11.6449237</v>
      </c>
      <c r="BQ32">
        <f>9.669860446</f>
        <v>9.6698604459999995</v>
      </c>
      <c r="BR32">
        <f>11.48732862</f>
        <v>11.48732862</v>
      </c>
      <c r="BS32">
        <f>13.40451902</f>
        <v>13.40451902</v>
      </c>
      <c r="BT32">
        <f>13.8006273</f>
        <v>13.8006273</v>
      </c>
      <c r="BU32">
        <f>13.14551984</f>
        <v>13.14551984</v>
      </c>
      <c r="BV32">
        <f>11.57060632</f>
        <v>11.57060632</v>
      </c>
      <c r="BW32">
        <f>13.45670976</f>
        <v>13.456709760000001</v>
      </c>
      <c r="BX32">
        <f>14.53508216</f>
        <v>14.53508216</v>
      </c>
      <c r="BY32">
        <f>13.53500097</f>
        <v>13.53500097</v>
      </c>
      <c r="BZ32">
        <f>13.86083053</f>
        <v>13.860830529999999</v>
      </c>
      <c r="CA32">
        <f>12.88205837</f>
        <v>12.882058369999999</v>
      </c>
      <c r="CB32">
        <f>12.36152102</f>
        <v>12.36152102</v>
      </c>
      <c r="CC32">
        <f>16.00023943</f>
        <v>16.000239430000001</v>
      </c>
      <c r="CD32">
        <f>13.97966594</f>
        <v>13.97966594</v>
      </c>
      <c r="CE32">
        <f>13.90576751</f>
        <v>13.90576751</v>
      </c>
      <c r="CF32">
        <f>13.4253834</f>
        <v>13.425383399999999</v>
      </c>
      <c r="CG32">
        <f>13.40924812</f>
        <v>13.409248120000001</v>
      </c>
    </row>
    <row r="33" spans="1:85" x14ac:dyDescent="0.25">
      <c r="A33" t="str">
        <f>"    Volvo"</f>
        <v xml:space="preserve">    Volvo</v>
      </c>
      <c r="B33" t="str">
        <f>"VOLVB SS Equity"</f>
        <v>VOLVB SS Equity</v>
      </c>
      <c r="E33" t="str">
        <f>"Sum"</f>
        <v>Sum</v>
      </c>
      <c r="F33">
        <f ca="1">IF(ISERROR(IF(SUM($F$34:$F$35) = 0, "", SUM($F$34:$F$35))), "", (IF(SUM($F$34:$F$35) = 0, "", SUM($F$34:$F$35))))</f>
        <v>14.296073181000001</v>
      </c>
      <c r="G33">
        <f ca="1">IF(ISERROR(IF(SUM($G$34:$G$35) = 0, "", SUM($G$34:$G$35))), "", (IF(SUM($G$34:$G$35) = 0, "", SUM($G$34:$G$35))))</f>
        <v>15.260089432000001</v>
      </c>
      <c r="H33">
        <f ca="1">IF(ISERROR(IF(SUM($H$34:$H$35) = 0, "", SUM($H$34:$H$35))), "", (IF(SUM($H$34:$H$35) = 0, "", SUM($H$34:$H$35))))</f>
        <v>16.806477921999999</v>
      </c>
      <c r="I33">
        <f ca="1">IF(ISERROR(IF(SUM($I$34:$I$35) = 0, "", SUM($I$34:$I$35))), "", (IF(SUM($I$34:$I$35) = 0, "", SUM($I$34:$I$35))))</f>
        <v>15.819024613</v>
      </c>
      <c r="J33">
        <f ca="1">IF(ISERROR(IF(SUM($J$34:$J$35) = 0, "", SUM($J$34:$J$35))), "", (IF(SUM($J$34:$J$35) = 0, "", SUM($J$34:$J$35))))</f>
        <v>19.607163491000001</v>
      </c>
      <c r="K33">
        <f ca="1">IF(ISERROR(IF(SUM($K$34:$K$35) = 0, "", SUM($K$34:$K$35))), "", (IF(SUM($K$34:$K$35) = 0, "", SUM($K$34:$K$35))))</f>
        <v>15.552683407</v>
      </c>
      <c r="L33">
        <f ca="1">IF(ISERROR(IF(SUM($L$34:$L$35) = 0, "", SUM($L$34:$L$35))), "", (IF(SUM($L$34:$L$35) = 0, "", SUM($L$34:$L$35))))</f>
        <v>16.529343740999998</v>
      </c>
      <c r="M33">
        <f ca="1">IF(ISERROR(IF(SUM($M$34:$M$35) = 0, "", SUM($M$34:$M$35))), "", (IF(SUM($M$34:$M$35) = 0, "", SUM($M$34:$M$35))))</f>
        <v>22.294328399999998</v>
      </c>
      <c r="N33">
        <f ca="1">IF(ISERROR(IF(SUM($N$34:$N$35) = 0, "", SUM($N$34:$N$35))), "", (IF(SUM($N$34:$N$35) = 0, "", SUM($N$34:$N$35))))</f>
        <v>19.223214286000001</v>
      </c>
      <c r="O33">
        <f ca="1">IF(ISERROR(IF(SUM($O$34:$O$35) = 0, "", SUM($O$34:$O$35))), "", (IF(SUM($O$34:$O$35) = 0, "", SUM($O$34:$O$35))))</f>
        <v>20.540935674</v>
      </c>
      <c r="P33">
        <f ca="1">IF(ISERROR(IF(SUM($P$34:$P$35) = 0, "", SUM($P$34:$P$35))), "", (IF(SUM($P$34:$P$35) = 0, "", SUM($P$34:$P$35))))</f>
        <v>27.237827110000001</v>
      </c>
      <c r="Q33">
        <f ca="1">IF(ISERROR(IF(SUM($Q$34:$Q$35) = 0, "", SUM($Q$34:$Q$35))), "", (IF(SUM($Q$34:$Q$35) = 0, "", SUM($Q$34:$Q$35))))</f>
        <v>18.267230868999999</v>
      </c>
      <c r="R33">
        <f ca="1">IF(ISERROR(IF(SUM($R$34:$R$35) = 0, "", SUM($R$34:$R$35))), "", (IF(SUM($R$34:$R$35) = 0, "", SUM($R$34:$R$35))))</f>
        <v>18.769275958999998</v>
      </c>
      <c r="S33">
        <f ca="1">IF(ISERROR(IF(SUM($S$34:$S$35) = 0, "", SUM($S$34:$S$35))), "", (IF(SUM($S$34:$S$35) = 0, "", SUM($S$34:$S$35))))</f>
        <v>19.568412611999999</v>
      </c>
      <c r="T33">
        <f ca="1">IF(ISERROR(IF(SUM($T$34:$T$35) = 0, "", SUM($T$34:$T$35))), "", (IF(SUM($T$34:$T$35) = 0, "", SUM($T$34:$T$35))))</f>
        <v>18.374123726000001</v>
      </c>
      <c r="U33">
        <f ca="1">IF(ISERROR(IF(SUM($U$34:$U$35) = 0, "", SUM($U$34:$U$35))), "", (IF(SUM($U$34:$U$35) = 0, "", SUM($U$34:$U$35))))</f>
        <v>20.816471427</v>
      </c>
      <c r="V33">
        <f ca="1">IF(ISERROR(IF(SUM($V$34:$V$35) = 0, "", SUM($V$34:$V$35))), "", (IF(SUM($V$34:$V$35) = 0, "", SUM($V$34:$V$35))))</f>
        <v>24.626784350000001</v>
      </c>
      <c r="W33">
        <f ca="1">IF(ISERROR(IF(SUM($W$34:$W$35) = 0, "", SUM($W$34:$W$35))), "", (IF(SUM($W$34:$W$35) = 0, "", SUM($W$34:$W$35))))</f>
        <v>18.201247692999999</v>
      </c>
      <c r="X33">
        <f ca="1">IF(ISERROR(IF(SUM($X$34:$X$35) = 0, "", SUM($X$34:$X$35))), "", (IF(SUM($X$34:$X$35) = 0, "", SUM($X$34:$X$35))))</f>
        <v>18.168700771000001</v>
      </c>
      <c r="Y33">
        <f ca="1">IF(ISERROR(IF(SUM($Y$34:$Y$35) = 0, "", SUM($Y$34:$Y$35))), "", (IF(SUM($Y$34:$Y$35) = 0, "", SUM($Y$34:$Y$35))))</f>
        <v>16.901267845</v>
      </c>
      <c r="Z33">
        <f ca="1">IF(ISERROR(IF(SUM($Z$34:$Z$35) = 0, "", SUM($Z$34:$Z$35))), "", (IF(SUM($Z$34:$Z$35) = 0, "", SUM($Z$34:$Z$35))))</f>
        <v>19.790879312000001</v>
      </c>
      <c r="AA33">
        <f ca="1">IF(ISERROR(IF(SUM($AA$34:$AA$35) = 0, "", SUM($AA$34:$AA$35))), "", (IF(SUM($AA$34:$AA$35) = 0, "", SUM($AA$34:$AA$35))))</f>
        <v>14.207787322000001</v>
      </c>
      <c r="AB33">
        <f ca="1">IF(ISERROR(IF(SUM($AB$34:$AB$35) = 0, "", SUM($AB$34:$AB$35))), "", (IF(SUM($AB$34:$AB$35) = 0, "", SUM($AB$34:$AB$35))))</f>
        <v>27.651278100000003</v>
      </c>
      <c r="AC33">
        <f ca="1">IF(ISERROR(IF(SUM($AC$34:$AC$35) = 0, "", SUM($AC$34:$AC$35))), "", (IF(SUM($AC$34:$AC$35) = 0, "", SUM($AC$34:$AC$35))))</f>
        <v>19.074151219000001</v>
      </c>
      <c r="AD33">
        <f ca="1">IF(ISERROR(IF(SUM($AD$34:$AD$35) = 0, "", SUM($AD$34:$AD$35))), "", (IF(SUM($AD$34:$AD$35) = 0, "", SUM($AD$34:$AD$35))))</f>
        <v>18.368300787999999</v>
      </c>
      <c r="AE33">
        <f ca="1">IF(ISERROR(IF(SUM($AE$34:$AE$35) = 0, "", SUM($AE$34:$AE$35))), "", (IF(SUM($AE$34:$AE$35) = 0, "", SUM($AE$34:$AE$35))))</f>
        <v>19.458480317000003</v>
      </c>
      <c r="AF33">
        <f ca="1">IF(ISERROR(IF(SUM($AF$34:$AF$35) = 0, "", SUM($AF$34:$AF$35))), "", (IF(SUM($AF$34:$AF$35) = 0, "", SUM($AF$34:$AF$35))))</f>
        <v>19.382699217999999</v>
      </c>
      <c r="AG33">
        <f ca="1">IF(ISERROR(IF(SUM($AG$34:$AG$35) = 0, "", SUM($AG$34:$AG$35))), "", (IF(SUM($AG$34:$AG$35) = 0, "", SUM($AG$34:$AG$35))))</f>
        <v>18.826949388999999</v>
      </c>
      <c r="AH33">
        <f ca="1">IF(ISERROR(IF(SUM($AH$34:$AH$35) = 0, "", SUM($AH$34:$AH$35))), "", (IF(SUM($AH$34:$AH$35) = 0, "", SUM($AH$34:$AH$35))))</f>
        <v>21.371126703999998</v>
      </c>
      <c r="AI33">
        <f ca="1">IF(ISERROR(IF(SUM($AI$34:$AI$35) = 0, "", SUM($AI$34:$AI$35))), "", (IF(SUM($AI$34:$AI$35) = 0, "", SUM($AI$34:$AI$35))))</f>
        <v>20.538454388999998</v>
      </c>
      <c r="AJ33">
        <f ca="1">IF(ISERROR(IF(SUM($AJ$34:$AJ$35) = 0, "", SUM($AJ$34:$AJ$35))), "", (IF(SUM($AJ$34:$AJ$35) = 0, "", SUM($AJ$34:$AJ$35))))</f>
        <v>21.741674387</v>
      </c>
      <c r="AK33">
        <f ca="1">IF(ISERROR(IF(SUM($AK$34:$AK$35) = 0, "", SUM($AK$34:$AK$35))), "", (IF(SUM($AK$34:$AK$35) = 0, "", SUM($AK$34:$AK$35))))</f>
        <v>22.430676754</v>
      </c>
      <c r="AL33">
        <f ca="1">IF(ISERROR(IF(SUM($AL$34:$AL$35) = 0, "", SUM($AL$34:$AL$35))), "", (IF(SUM($AL$34:$AL$35) = 0, "", SUM($AL$34:$AL$35))))</f>
        <v>19.175084177999999</v>
      </c>
      <c r="AM33">
        <f ca="1">IF(ISERROR(IF(SUM($AM$34:$AM$35) = 0, "", SUM($AM$34:$AM$35))), "", (IF(SUM($AM$34:$AM$35) = 0, "", SUM($AM$34:$AM$35))))</f>
        <v>15.662234502</v>
      </c>
      <c r="AN33">
        <f ca="1">IF(ISERROR(IF(SUM($AN$34:$AN$35) = 0, "", SUM($AN$34:$AN$35))), "", (IF(SUM($AN$34:$AN$35) = 0, "", SUM($AN$34:$AN$35))))</f>
        <v>24.611831129999999</v>
      </c>
      <c r="AO33">
        <f ca="1">IF(ISERROR(IF(SUM($AO$34:$AO$35) = 0, "", SUM($AO$34:$AO$35))), "", (IF(SUM($AO$34:$AO$35) = 0, "", SUM($AO$34:$AO$35))))</f>
        <v>21.597031010000002</v>
      </c>
      <c r="AP33">
        <f ca="1">IF(ISERROR(IF(SUM($AP$34:$AP$35) = 0, "", SUM($AP$34:$AP$35))), "", (IF(SUM($AP$34:$AP$35) = 0, "", SUM($AP$34:$AP$35))))</f>
        <v>17.633442264999999</v>
      </c>
      <c r="AQ33">
        <f ca="1">IF(ISERROR(IF(SUM($AQ$34:$AQ$35) = 0, "", SUM($AQ$34:$AQ$35))), "", (IF(SUM($AQ$34:$AQ$35) = 0, "", SUM($AQ$34:$AQ$35))))</f>
        <v>20.584719589999999</v>
      </c>
      <c r="AR33">
        <f ca="1">IF(ISERROR(IF(SUM($AR$34:$AR$35) = 0, "", SUM($AR$34:$AR$35))), "", (IF(SUM($AR$34:$AR$35) = 0, "", SUM($AR$34:$AR$35))))</f>
        <v>21.337952817999998</v>
      </c>
      <c r="AS33">
        <f ca="1">IF(ISERROR(IF(SUM($AS$34:$AS$35) = 0, "", SUM($AS$34:$AS$35))), "", (IF(SUM($AS$34:$AS$35) = 0, "", SUM($AS$34:$AS$35))))</f>
        <v>20.23625818</v>
      </c>
      <c r="AT33">
        <f>14.29607318</f>
        <v>14.29607318</v>
      </c>
      <c r="AU33">
        <f>15.26008943</f>
        <v>15.260089430000001</v>
      </c>
      <c r="AV33">
        <f>16.80647792</f>
        <v>16.806477919999999</v>
      </c>
      <c r="AW33">
        <f>15.81902461</f>
        <v>15.81902461</v>
      </c>
      <c r="AX33">
        <f>19.60716349</f>
        <v>19.607163490000001</v>
      </c>
      <c r="AY33">
        <f>15.55268341</f>
        <v>15.55268341</v>
      </c>
      <c r="AZ33">
        <f>16.52934374</f>
        <v>16.529343740000002</v>
      </c>
      <c r="BA33">
        <f>22.2943284</f>
        <v>22.294328400000001</v>
      </c>
      <c r="BB33">
        <f>19.22321429</f>
        <v>19.223214290000001</v>
      </c>
      <c r="BC33">
        <f>20.54093567</f>
        <v>20.54093567</v>
      </c>
      <c r="BD33">
        <f>27.23782712</f>
        <v>27.237827119999999</v>
      </c>
      <c r="BE33">
        <f>18.26723087</f>
        <v>18.267230869999999</v>
      </c>
      <c r="BF33">
        <f>18.76927596</f>
        <v>18.769275960000002</v>
      </c>
      <c r="BG33">
        <f>19.56841261</f>
        <v>19.568412609999999</v>
      </c>
      <c r="BH33">
        <f>18.37412372</f>
        <v>18.37412372</v>
      </c>
      <c r="BI33">
        <f>20.81647142</f>
        <v>20.816471419999999</v>
      </c>
      <c r="BJ33">
        <f>24.62678435</f>
        <v>24.626784350000001</v>
      </c>
      <c r="BK33">
        <f>18.20124769</f>
        <v>18.201247689999999</v>
      </c>
      <c r="BL33">
        <f>18.16870078</f>
        <v>18.168700780000002</v>
      </c>
      <c r="BM33">
        <f>16.90126784</f>
        <v>16.901267839999999</v>
      </c>
      <c r="BN33">
        <f>19.79087931</f>
        <v>19.790879310000001</v>
      </c>
      <c r="BO33">
        <f>14.20778732</f>
        <v>14.20778732</v>
      </c>
      <c r="BP33">
        <f>27.6512781</f>
        <v>27.651278099999999</v>
      </c>
      <c r="BQ33">
        <f>19.07415122</f>
        <v>19.074151220000001</v>
      </c>
      <c r="BR33">
        <f>18.36830079</f>
        <v>18.368300789999999</v>
      </c>
      <c r="BS33">
        <f>19.45848031</f>
        <v>19.458480309999999</v>
      </c>
      <c r="BT33">
        <f>19.38269921</f>
        <v>19.382699209999998</v>
      </c>
      <c r="BU33">
        <f>18.82694938</f>
        <v>18.826949379999999</v>
      </c>
      <c r="BV33">
        <f>21.37112671</f>
        <v>21.371126709999999</v>
      </c>
      <c r="BW33">
        <f>20.53845438</f>
        <v>20.538454380000001</v>
      </c>
      <c r="BX33">
        <f>21.74167439</f>
        <v>21.74167439</v>
      </c>
      <c r="BY33">
        <f>22.43067675</f>
        <v>22.43067675</v>
      </c>
      <c r="BZ33">
        <f>19.17508418</f>
        <v>19.175084179999999</v>
      </c>
      <c r="CA33">
        <f>15.6622345</f>
        <v>15.6622345</v>
      </c>
      <c r="CB33">
        <f>24.61183113</f>
        <v>24.611831129999999</v>
      </c>
      <c r="CC33">
        <f>21.59703101</f>
        <v>21.597031009999998</v>
      </c>
      <c r="CD33">
        <f>17.63344227</f>
        <v>17.63344227</v>
      </c>
      <c r="CE33">
        <f>20.58471959</f>
        <v>20.584719589999999</v>
      </c>
      <c r="CF33">
        <f>21.33795282</f>
        <v>21.337952820000002</v>
      </c>
      <c r="CG33">
        <f>20.23625818</f>
        <v>20.23625818</v>
      </c>
    </row>
    <row r="34" spans="1:85" x14ac:dyDescent="0.25">
      <c r="A34" t="str">
        <f>"        Volvo Truck"</f>
        <v xml:space="preserve">        Volvo Truck</v>
      </c>
      <c r="B34" t="str">
        <f>"VOLVB SS Equity"</f>
        <v>VOLVB SS Equity</v>
      </c>
      <c r="E34" t="str">
        <f>"Expression"</f>
        <v>Expression</v>
      </c>
      <c r="F34">
        <f ca="1">IF(AND($B$294=1,LEN($F$183) * LEN($F$177)&gt;0),$F$183/$F$177*100,HLOOKUP(INDIRECT(ADDRESS(2,COLUMN())),OFFSET($AT$2,0,0,ROW()-1,40),ROW()-1,FALSE))</f>
        <v>8.3668005349999994</v>
      </c>
      <c r="G34">
        <f ca="1">IF(AND($B$294=1,LEN($G$183) * LEN($G$177)&gt;0),$G$183/$G$177*100,HLOOKUP(INDIRECT(ADDRESS(2,COLUMN())),OFFSET($AT$2,0,0,ROW()-1,40),ROW()-1,FALSE))</f>
        <v>7.8338144559999998</v>
      </c>
      <c r="H34">
        <f ca="1">IF(AND($B$294=1,LEN($H$183) * LEN($H$177)&gt;0),$H$183/$H$177*100,HLOOKUP(INDIRECT(ADDRESS(2,COLUMN())),OFFSET($AT$2,0,0,ROW()-1,40),ROW()-1,FALSE))</f>
        <v>8.8139345220000003</v>
      </c>
      <c r="I34">
        <f ca="1">IF(AND($B$294=1,LEN($I$183) * LEN($I$177)&gt;0),$I$183/$I$177*100,HLOOKUP(INDIRECT(ADDRESS(2,COLUMN())),OFFSET($AT$2,0,0,ROW()-1,40),ROW()-1,FALSE))</f>
        <v>8.3697852059999995</v>
      </c>
      <c r="J34">
        <f ca="1">IF(AND($B$294=1,LEN($J$183) * LEN($J$177)&gt;0),$J$183/$J$177*100,HLOOKUP(INDIRECT(ADDRESS(2,COLUMN())),OFFSET($AT$2,0,0,ROW()-1,40),ROW()-1,FALSE))</f>
        <v>9.4165222409999991</v>
      </c>
      <c r="K34">
        <f ca="1">IF(AND($B$294=1,LEN($K$183) * LEN($K$177)&gt;0),$K$183/$K$177*100,HLOOKUP(INDIRECT(ADDRESS(2,COLUMN())),OFFSET($AT$2,0,0,ROW()-1,40),ROW()-1,FALSE))</f>
        <v>8.3148695220000004</v>
      </c>
      <c r="L34">
        <f ca="1">IF(AND($B$294=1,LEN($L$183) * LEN($L$177)&gt;0),$L$183/$L$177*100,HLOOKUP(INDIRECT(ADDRESS(2,COLUMN())),OFFSET($AT$2,0,0,ROW()-1,40),ROW()-1,FALSE))</f>
        <v>8.8609424689999994</v>
      </c>
      <c r="M34">
        <f ca="1">IF(AND($B$294=1,LEN($M$183) * LEN($M$177)&gt;0),$M$183/$M$177*100,HLOOKUP(INDIRECT(ADDRESS(2,COLUMN())),OFFSET($AT$2,0,0,ROW()-1,40),ROW()-1,FALSE))</f>
        <v>11.08632461</v>
      </c>
      <c r="N34">
        <f ca="1">IF(AND($B$294=1,LEN($N$183) * LEN($N$177)&gt;0),$N$183/$N$177*100,HLOOKUP(INDIRECT(ADDRESS(2,COLUMN())),OFFSET($AT$2,0,0,ROW()-1,40),ROW()-1,FALSE))</f>
        <v>9.3571428569999995</v>
      </c>
      <c r="O34">
        <f ca="1">IF(AND($B$294=1,LEN($O$183) * LEN($O$177)&gt;0),$O$183/$O$177*100,HLOOKUP(INDIRECT(ADDRESS(2,COLUMN())),OFFSET($AT$2,0,0,ROW()-1,40),ROW()-1,FALSE))</f>
        <v>10.76388889</v>
      </c>
      <c r="P34">
        <f ca="1">IF(AND($B$294=1,LEN($P$183) * LEN($P$177)&gt;0),$P$183/$P$177*100,HLOOKUP(INDIRECT(ADDRESS(2,COLUMN())),OFFSET($AT$2,0,0,ROW()-1,40),ROW()-1,FALSE))</f>
        <v>15.061744190000001</v>
      </c>
      <c r="Q34">
        <f ca="1">IF(AND($B$294=1,LEN($Q$183) * LEN($Q$177)&gt;0),$Q$183/$Q$177*100,HLOOKUP(INDIRECT(ADDRESS(2,COLUMN())),OFFSET($AT$2,0,0,ROW()-1,40),ROW()-1,FALSE))</f>
        <v>10.406655669999999</v>
      </c>
      <c r="R34">
        <f ca="1">IF(AND($B$294=1,LEN($R$183) * LEN($R$177)&gt;0),$R$183/$R$177*100,HLOOKUP(INDIRECT(ADDRESS(2,COLUMN())),OFFSET($AT$2,0,0,ROW()-1,40),ROW()-1,FALSE))</f>
        <v>10.383316199999999</v>
      </c>
      <c r="S34">
        <f ca="1">IF(AND($B$294=1,LEN($S$183) * LEN($S$177)&gt;0),$S$183/$S$177*100,HLOOKUP(INDIRECT(ADDRESS(2,COLUMN())),OFFSET($AT$2,0,0,ROW()-1,40),ROW()-1,FALSE))</f>
        <v>10.40219134</v>
      </c>
      <c r="T34">
        <f ca="1">IF(AND($B$294=1,LEN($T$183) * LEN($T$177)&gt;0),$T$183/$T$177*100,HLOOKUP(INDIRECT(ADDRESS(2,COLUMN())),OFFSET($AT$2,0,0,ROW()-1,40),ROW()-1,FALSE))</f>
        <v>10.429221500000001</v>
      </c>
      <c r="U34">
        <f ca="1">IF(AND($B$294=1,LEN($U$183) * LEN($U$177)&gt;0),$U$183/$U$177*100,HLOOKUP(INDIRECT(ADDRESS(2,COLUMN())),OFFSET($AT$2,0,0,ROW()-1,40),ROW()-1,FALSE))</f>
        <v>11.089811859999999</v>
      </c>
      <c r="V34">
        <f ca="1">IF(AND($B$294=1,LEN($V$183) * LEN($V$177)&gt;0),$V$183/$V$177*100,HLOOKUP(INDIRECT(ADDRESS(2,COLUMN())),OFFSET($AT$2,0,0,ROW()-1,40),ROW()-1,FALSE))</f>
        <v>13.430314920000001</v>
      </c>
      <c r="W34">
        <f ca="1">IF(AND($B$294=1,LEN($W$183) * LEN($W$177)&gt;0),$W$183/$W$177*100,HLOOKUP(INDIRECT(ADDRESS(2,COLUMN())),OFFSET($AT$2,0,0,ROW()-1,40),ROW()-1,FALSE))</f>
        <v>10.253003700000001</v>
      </c>
      <c r="X34">
        <f ca="1">IF(AND($B$294=1,LEN($X$183) * LEN($X$177)&gt;0),$X$183/$X$177*100,HLOOKUP(INDIRECT(ADDRESS(2,COLUMN())),OFFSET($AT$2,0,0,ROW()-1,40),ROW()-1,FALSE))</f>
        <v>10.9902002</v>
      </c>
      <c r="Y34">
        <f ca="1">IF(AND($B$294=1,LEN($Y$183) * LEN($Y$177)&gt;0),$Y$183/$Y$177*100,HLOOKUP(INDIRECT(ADDRESS(2,COLUMN())),OFFSET($AT$2,0,0,ROW()-1,40),ROW()-1,FALSE))</f>
        <v>7.3275431769999999</v>
      </c>
      <c r="Z34">
        <f ca="1">IF(AND($B$294=1,LEN($Z$183) * LEN($Z$177)&gt;0),$Z$183/$Z$177*100,HLOOKUP(INDIRECT(ADDRESS(2,COLUMN())),OFFSET($AT$2,0,0,ROW()-1,40),ROW()-1,FALSE))</f>
        <v>11.89216427</v>
      </c>
      <c r="AA34">
        <f ca="1">IF(AND($B$294=1,LEN($AA$183) * LEN($AA$177)&gt;0),$AA$183/$AA$177*100,HLOOKUP(INDIRECT(ADDRESS(2,COLUMN())),OFFSET($AT$2,0,0,ROW()-1,40),ROW()-1,FALSE))</f>
        <v>6.8029343530000004</v>
      </c>
      <c r="AB34">
        <f ca="1">IF(AND($B$294=1,LEN($AB$183) * LEN($AB$177)&gt;0),$AB$183/$AB$177*100,HLOOKUP(INDIRECT(ADDRESS(2,COLUMN())),OFFSET($AT$2,0,0,ROW()-1,40),ROW()-1,FALSE))</f>
        <v>16.338516340000002</v>
      </c>
      <c r="AC34">
        <f ca="1">IF(AND($B$294=1,LEN($AC$183) * LEN($AC$177)&gt;0),$AC$183/$AC$177*100,HLOOKUP(INDIRECT(ADDRESS(2,COLUMN())),OFFSET($AT$2,0,0,ROW()-1,40),ROW()-1,FALSE))</f>
        <v>11.414288689999999</v>
      </c>
      <c r="AD34">
        <f ca="1">IF(AND($B$294=1,LEN($AD$183) * LEN($AD$177)&gt;0),$AD$183/$AD$177*100,HLOOKUP(INDIRECT(ADDRESS(2,COLUMN())),OFFSET($AT$2,0,0,ROW()-1,40),ROW()-1,FALSE))</f>
        <v>12.032613209999999</v>
      </c>
      <c r="AE34">
        <f ca="1">IF(AND($B$294=1,LEN($AE$183) * LEN($AE$177)&gt;0),$AE$183/$AE$177*100,HLOOKUP(INDIRECT(ADDRESS(2,COLUMN())),OFFSET($AT$2,0,0,ROW()-1,40),ROW()-1,FALSE))</f>
        <v>10.830393750000001</v>
      </c>
      <c r="AF34">
        <f ca="1">IF(AND($B$294=1,LEN($AF$183) * LEN($AF$177)&gt;0),$AF$183/$AF$177*100,HLOOKUP(INDIRECT(ADDRESS(2,COLUMN())),OFFSET($AT$2,0,0,ROW()-1,40),ROW()-1,FALSE))</f>
        <v>11.36415292</v>
      </c>
      <c r="AG34">
        <f ca="1">IF(AND($B$294=1,LEN($AG$183) * LEN($AG$177)&gt;0),$AG$183/$AG$177*100,HLOOKUP(INDIRECT(ADDRESS(2,COLUMN())),OFFSET($AT$2,0,0,ROW()-1,40),ROW()-1,FALSE))</f>
        <v>11.354309170000001</v>
      </c>
      <c r="AH34">
        <f ca="1">IF(AND($B$294=1,LEN($AH$183) * LEN($AH$177)&gt;0),$AH$183/$AH$177*100,HLOOKUP(INDIRECT(ADDRESS(2,COLUMN())),OFFSET($AT$2,0,0,ROW()-1,40),ROW()-1,FALSE))</f>
        <v>12.91492549</v>
      </c>
      <c r="AI34">
        <f ca="1">IF(AND($B$294=1,LEN($AI$183) * LEN($AI$177)&gt;0),$AI$183/$AI$177*100,HLOOKUP(INDIRECT(ADDRESS(2,COLUMN())),OFFSET($AT$2,0,0,ROW()-1,40),ROW()-1,FALSE))</f>
        <v>13.014972569999999</v>
      </c>
      <c r="AJ34">
        <f ca="1">IF(AND($B$294=1,LEN($AJ$183) * LEN($AJ$177)&gt;0),$AJ$183/$AJ$177*100,HLOOKUP(INDIRECT(ADDRESS(2,COLUMN())),OFFSET($AT$2,0,0,ROW()-1,40),ROW()-1,FALSE))</f>
        <v>13.223462870000001</v>
      </c>
      <c r="AK34">
        <f ca="1">IF(AND($B$294=1,LEN($AK$183) * LEN($AK$177)&gt;0),$AK$183/$AK$177*100,HLOOKUP(INDIRECT(ADDRESS(2,COLUMN())),OFFSET($AT$2,0,0,ROW()-1,40),ROW()-1,FALSE))</f>
        <v>13.932518910000001</v>
      </c>
      <c r="AL34">
        <f ca="1">IF(AND($B$294=1,LEN($AL$183) * LEN($AL$177)&gt;0),$AL$183/$AL$177*100,HLOOKUP(INDIRECT(ADDRESS(2,COLUMN())),OFFSET($AT$2,0,0,ROW()-1,40),ROW()-1,FALSE))</f>
        <v>12.407407409999999</v>
      </c>
      <c r="AM34">
        <f ca="1">IF(AND($B$294=1,LEN($AM$183) * LEN($AM$177)&gt;0),$AM$183/$AM$177*100,HLOOKUP(INDIRECT(ADDRESS(2,COLUMN())),OFFSET($AT$2,0,0,ROW()-1,40),ROW()-1,FALSE))</f>
        <v>9.9407125999999995</v>
      </c>
      <c r="AN34">
        <f ca="1">IF(AND($B$294=1,LEN($AN$183) * LEN($AN$177)&gt;0),$AN$183/$AN$177*100,HLOOKUP(INDIRECT(ADDRESS(2,COLUMN())),OFFSET($AT$2,0,0,ROW()-1,40),ROW()-1,FALSE))</f>
        <v>12.5283374</v>
      </c>
      <c r="AO34">
        <f ca="1">IF(AND($B$294=1,LEN($AO$183) * LEN($AO$177)&gt;0),$AO$183/$AO$177*100,HLOOKUP(INDIRECT(ADDRESS(2,COLUMN())),OFFSET($AT$2,0,0,ROW()-1,40),ROW()-1,FALSE))</f>
        <v>11.397102840000001</v>
      </c>
      <c r="AP34">
        <f ca="1">IF(AND($B$294=1,LEN($AP$183) * LEN($AP$177)&gt;0),$AP$183/$AP$177*100,HLOOKUP(INDIRECT(ADDRESS(2,COLUMN())),OFFSET($AT$2,0,0,ROW()-1,40),ROW()-1,FALSE))</f>
        <v>10.79339143</v>
      </c>
      <c r="AQ34">
        <f ca="1">IF(AND($B$294=1,LEN($AQ$183) * LEN($AQ$177)&gt;0),$AQ$183/$AQ$177*100,HLOOKUP(INDIRECT(ADDRESS(2,COLUMN())),OFFSET($AT$2,0,0,ROW()-1,40),ROW()-1,FALSE))</f>
        <v>12.336886140000001</v>
      </c>
      <c r="AR34">
        <f ca="1">IF(AND($B$294=1,LEN($AR$183) * LEN($AR$177)&gt;0),$AR$183/$AR$177*100,HLOOKUP(INDIRECT(ADDRESS(2,COLUMN())),OFFSET($AT$2,0,0,ROW()-1,40),ROW()-1,FALSE))</f>
        <v>11.85102155</v>
      </c>
      <c r="AS34">
        <f ca="1">IF(AND($B$294=1,LEN($AS$183) * LEN($AS$177)&gt;0),$AS$183/$AS$177*100,HLOOKUP(INDIRECT(ADDRESS(2,COLUMN())),OFFSET($AT$2,0,0,ROW()-1,40),ROW()-1,FALSE))</f>
        <v>10.2697813</v>
      </c>
      <c r="AT34">
        <f>8.366800535</f>
        <v>8.3668005349999994</v>
      </c>
      <c r="AU34">
        <f>7.833814456</f>
        <v>7.8338144559999998</v>
      </c>
      <c r="AV34">
        <f>8.813934522</f>
        <v>8.8139345220000003</v>
      </c>
      <c r="AW34">
        <f>8.369785206</f>
        <v>8.3697852059999995</v>
      </c>
      <c r="AX34">
        <f>9.416522241</f>
        <v>9.4165222409999991</v>
      </c>
      <c r="AY34">
        <f>8.314869522</f>
        <v>8.3148695220000004</v>
      </c>
      <c r="AZ34">
        <f>8.860942469</f>
        <v>8.8609424689999994</v>
      </c>
      <c r="BA34">
        <f>11.08632461</f>
        <v>11.08632461</v>
      </c>
      <c r="BB34">
        <f>9.357142857</f>
        <v>9.3571428569999995</v>
      </c>
      <c r="BC34">
        <f>10.76388889</f>
        <v>10.76388889</v>
      </c>
      <c r="BD34">
        <f>15.06174419</f>
        <v>15.061744190000001</v>
      </c>
      <c r="BE34">
        <f>10.40665567</f>
        <v>10.406655669999999</v>
      </c>
      <c r="BF34">
        <f>10.3833162</f>
        <v>10.383316199999999</v>
      </c>
      <c r="BG34">
        <f>10.40219134</f>
        <v>10.40219134</v>
      </c>
      <c r="BH34">
        <f>10.4292215</f>
        <v>10.429221500000001</v>
      </c>
      <c r="BI34">
        <f>11.08981186</f>
        <v>11.089811859999999</v>
      </c>
      <c r="BJ34">
        <f>13.43031492</f>
        <v>13.430314920000001</v>
      </c>
      <c r="BK34">
        <f>10.2530037</f>
        <v>10.253003700000001</v>
      </c>
      <c r="BL34">
        <f>10.9902002</f>
        <v>10.9902002</v>
      </c>
      <c r="BM34">
        <f>7.327543177</f>
        <v>7.3275431769999999</v>
      </c>
      <c r="BN34">
        <f>11.89216427</f>
        <v>11.89216427</v>
      </c>
      <c r="BO34">
        <f>6.802934353</f>
        <v>6.8029343530000004</v>
      </c>
      <c r="BP34">
        <f>16.33851634</f>
        <v>16.338516340000002</v>
      </c>
      <c r="BQ34">
        <f>11.41428869</f>
        <v>11.414288689999999</v>
      </c>
      <c r="BR34">
        <f>12.03261321</f>
        <v>12.032613209999999</v>
      </c>
      <c r="BS34">
        <f>10.83039375</f>
        <v>10.830393750000001</v>
      </c>
      <c r="BT34">
        <f>11.36415292</f>
        <v>11.36415292</v>
      </c>
      <c r="BU34">
        <f>11.35430917</f>
        <v>11.354309170000001</v>
      </c>
      <c r="BV34">
        <f>12.91492549</f>
        <v>12.91492549</v>
      </c>
      <c r="BW34">
        <f>13.01497257</f>
        <v>13.014972569999999</v>
      </c>
      <c r="BX34">
        <f>13.22346287</f>
        <v>13.223462870000001</v>
      </c>
      <c r="BY34">
        <f>13.93251891</f>
        <v>13.932518910000001</v>
      </c>
      <c r="BZ34">
        <f>12.40740741</f>
        <v>12.407407409999999</v>
      </c>
      <c r="CA34">
        <f>9.9407126</f>
        <v>9.9407125999999995</v>
      </c>
      <c r="CB34">
        <f>12.5283374</f>
        <v>12.5283374</v>
      </c>
      <c r="CC34">
        <f>11.39710284</f>
        <v>11.397102840000001</v>
      </c>
      <c r="CD34">
        <f>10.79339143</f>
        <v>10.79339143</v>
      </c>
      <c r="CE34">
        <f>12.33688614</f>
        <v>12.336886140000001</v>
      </c>
      <c r="CF34">
        <f>11.85102155</f>
        <v>11.85102155</v>
      </c>
      <c r="CG34">
        <f>10.2697813</f>
        <v>10.2697813</v>
      </c>
    </row>
    <row r="35" spans="1:85" x14ac:dyDescent="0.25">
      <c r="A35" t="str">
        <f>"        Mack"</f>
        <v xml:space="preserve">        Mack</v>
      </c>
      <c r="B35" t="str">
        <f>"VOLVB SS Equity"</f>
        <v>VOLVB SS Equity</v>
      </c>
      <c r="E35" t="str">
        <f>"Expression"</f>
        <v>Expression</v>
      </c>
      <c r="F35">
        <f ca="1">IF(AND($B$294=1,LEN($F$184) * LEN($F$177)&gt;0),$F$184/$F$177*100,HLOOKUP(INDIRECT(ADDRESS(2,COLUMN())),OFFSET($AT$2,0,0,ROW()-1,40),ROW()-1,FALSE))</f>
        <v>5.9292726460000003</v>
      </c>
      <c r="G35">
        <f ca="1">IF(AND($B$294=1,LEN($G$184) * LEN($G$177)&gt;0),$G$184/$G$177*100,HLOOKUP(INDIRECT(ADDRESS(2,COLUMN())),OFFSET($AT$2,0,0,ROW()-1,40),ROW()-1,FALSE))</f>
        <v>7.4262749760000002</v>
      </c>
      <c r="H35">
        <f ca="1">IF(AND($B$294=1,LEN($H$184) * LEN($H$177)&gt;0),$H$184/$H$177*100,HLOOKUP(INDIRECT(ADDRESS(2,COLUMN())),OFFSET($AT$2,0,0,ROW()-1,40),ROW()-1,FALSE))</f>
        <v>7.9925433999999997</v>
      </c>
      <c r="I35">
        <f ca="1">IF(AND($B$294=1,LEN($I$184) * LEN($I$177)&gt;0),$I$184/$I$177*100,HLOOKUP(INDIRECT(ADDRESS(2,COLUMN())),OFFSET($AT$2,0,0,ROW()-1,40),ROW()-1,FALSE))</f>
        <v>7.4492394070000003</v>
      </c>
      <c r="J35">
        <f ca="1">IF(AND($B$294=1,LEN($J$184) * LEN($J$177)&gt;0),$J$184/$J$177*100,HLOOKUP(INDIRECT(ADDRESS(2,COLUMN())),OFFSET($AT$2,0,0,ROW()-1,40),ROW()-1,FALSE))</f>
        <v>10.190641250000001</v>
      </c>
      <c r="K35">
        <f ca="1">IF(AND($B$294=1,LEN($K$184) * LEN($K$177)&gt;0),$K$184/$K$177*100,HLOOKUP(INDIRECT(ADDRESS(2,COLUMN())),OFFSET($AT$2,0,0,ROW()-1,40),ROW()-1,FALSE))</f>
        <v>7.2378138849999996</v>
      </c>
      <c r="L35">
        <f ca="1">IF(AND($B$294=1,LEN($L$184) * LEN($L$177)&gt;0),$L$184/$L$177*100,HLOOKUP(INDIRECT(ADDRESS(2,COLUMN())),OFFSET($AT$2,0,0,ROW()-1,40),ROW()-1,FALSE))</f>
        <v>7.6684012719999997</v>
      </c>
      <c r="M35">
        <f ca="1">IF(AND($B$294=1,LEN($M$184) * LEN($M$177)&gt;0),$M$184/$M$177*100,HLOOKUP(INDIRECT(ADDRESS(2,COLUMN())),OFFSET($AT$2,0,0,ROW()-1,40),ROW()-1,FALSE))</f>
        <v>11.208003789999999</v>
      </c>
      <c r="N35">
        <f ca="1">IF(AND($B$294=1,LEN($N$184) * LEN($N$177)&gt;0),$N$184/$N$177*100,HLOOKUP(INDIRECT(ADDRESS(2,COLUMN())),OFFSET($AT$2,0,0,ROW()-1,40),ROW()-1,FALSE))</f>
        <v>9.8660714289999998</v>
      </c>
      <c r="O35">
        <f ca="1">IF(AND($B$294=1,LEN($O$184) * LEN($O$177)&gt;0),$O$184/$O$177*100,HLOOKUP(INDIRECT(ADDRESS(2,COLUMN())),OFFSET($AT$2,0,0,ROW()-1,40),ROW()-1,FALSE))</f>
        <v>9.7770467839999995</v>
      </c>
      <c r="P35">
        <f ca="1">IF(AND($B$294=1,LEN($P$184) * LEN($P$177)&gt;0),$P$184/$P$177*100,HLOOKUP(INDIRECT(ADDRESS(2,COLUMN())),OFFSET($AT$2,0,0,ROW()-1,40),ROW()-1,FALSE))</f>
        <v>12.176082920000001</v>
      </c>
      <c r="Q35">
        <f ca="1">IF(AND($B$294=1,LEN($Q$184) * LEN($Q$177)&gt;0),$Q$184/$Q$177*100,HLOOKUP(INDIRECT(ADDRESS(2,COLUMN())),OFFSET($AT$2,0,0,ROW()-1,40),ROW()-1,FALSE))</f>
        <v>7.8605751990000003</v>
      </c>
      <c r="R35">
        <f ca="1">IF(AND($B$294=1,LEN($R$184) * LEN($R$177)&gt;0),$R$184/$R$177*100,HLOOKUP(INDIRECT(ADDRESS(2,COLUMN())),OFFSET($AT$2,0,0,ROW()-1,40),ROW()-1,FALSE))</f>
        <v>8.3859597590000003</v>
      </c>
      <c r="S35">
        <f ca="1">IF(AND($B$294=1,LEN($S$184) * LEN($S$177)&gt;0),$S$184/$S$177*100,HLOOKUP(INDIRECT(ADDRESS(2,COLUMN())),OFFSET($AT$2,0,0,ROW()-1,40),ROW()-1,FALSE))</f>
        <v>9.1662212719999996</v>
      </c>
      <c r="T35">
        <f ca="1">IF(AND($B$294=1,LEN($T$184) * LEN($T$177)&gt;0),$T$184/$T$177*100,HLOOKUP(INDIRECT(ADDRESS(2,COLUMN())),OFFSET($AT$2,0,0,ROW()-1,40),ROW()-1,FALSE))</f>
        <v>7.944902226</v>
      </c>
      <c r="U35">
        <f ca="1">IF(AND($B$294=1,LEN($U$184) * LEN($U$177)&gt;0),$U$184/$U$177*100,HLOOKUP(INDIRECT(ADDRESS(2,COLUMN())),OFFSET($AT$2,0,0,ROW()-1,40),ROW()-1,FALSE))</f>
        <v>9.7266595670000005</v>
      </c>
      <c r="V35">
        <f ca="1">IF(AND($B$294=1,LEN($V$184) * LEN($V$177)&gt;0),$V$184/$V$177*100,HLOOKUP(INDIRECT(ADDRESS(2,COLUMN())),OFFSET($AT$2,0,0,ROW()-1,40),ROW()-1,FALSE))</f>
        <v>11.196469430000001</v>
      </c>
      <c r="W35">
        <f ca="1">IF(AND($B$294=1,LEN($W$184) * LEN($W$177)&gt;0),$W$184/$W$177*100,HLOOKUP(INDIRECT(ADDRESS(2,COLUMN())),OFFSET($AT$2,0,0,ROW()-1,40),ROW()-1,FALSE))</f>
        <v>7.9482439930000002</v>
      </c>
      <c r="X35">
        <f ca="1">IF(AND($B$294=1,LEN($X$184) * LEN($X$177)&gt;0),$X$184/$X$177*100,HLOOKUP(INDIRECT(ADDRESS(2,COLUMN())),OFFSET($AT$2,0,0,ROW()-1,40),ROW()-1,FALSE))</f>
        <v>7.1785005709999998</v>
      </c>
      <c r="Y35">
        <f ca="1">IF(AND($B$294=1,LEN($Y$184) * LEN($Y$177)&gt;0),$Y$184/$Y$177*100,HLOOKUP(INDIRECT(ADDRESS(2,COLUMN())),OFFSET($AT$2,0,0,ROW()-1,40),ROW()-1,FALSE))</f>
        <v>9.5737246680000005</v>
      </c>
      <c r="Z35">
        <f ca="1">IF(AND($B$294=1,LEN($Z$184) * LEN($Z$177)&gt;0),$Z$184/$Z$177*100,HLOOKUP(INDIRECT(ADDRESS(2,COLUMN())),OFFSET($AT$2,0,0,ROW()-1,40),ROW()-1,FALSE))</f>
        <v>7.8987150420000001</v>
      </c>
      <c r="AA35">
        <f ca="1">IF(AND($B$294=1,LEN($AA$184) * LEN($AA$177)&gt;0),$AA$184/$AA$177*100,HLOOKUP(INDIRECT(ADDRESS(2,COLUMN())),OFFSET($AT$2,0,0,ROW()-1,40),ROW()-1,FALSE))</f>
        <v>7.4048529690000002</v>
      </c>
      <c r="AB35">
        <f ca="1">IF(AND($B$294=1,LEN($AB$184) * LEN($AB$177)&gt;0),$AB$184/$AB$177*100,HLOOKUP(INDIRECT(ADDRESS(2,COLUMN())),OFFSET($AT$2,0,0,ROW()-1,40),ROW()-1,FALSE))</f>
        <v>11.312761760000001</v>
      </c>
      <c r="AC35">
        <f ca="1">IF(AND($B$294=1,LEN($AC$184) * LEN($AC$177)&gt;0),$AC$184/$AC$177*100,HLOOKUP(INDIRECT(ADDRESS(2,COLUMN())),OFFSET($AT$2,0,0,ROW()-1,40),ROW()-1,FALSE))</f>
        <v>7.6598625289999998</v>
      </c>
      <c r="AD35">
        <f ca="1">IF(AND($B$294=1,LEN($AD$184) * LEN($AD$177)&gt;0),$AD$184/$AD$177*100,HLOOKUP(INDIRECT(ADDRESS(2,COLUMN())),OFFSET($AT$2,0,0,ROW()-1,40),ROW()-1,FALSE))</f>
        <v>6.3356875779999999</v>
      </c>
      <c r="AE35">
        <f ca="1">IF(AND($B$294=1,LEN($AE$184) * LEN($AE$177)&gt;0),$AE$184/$AE$177*100,HLOOKUP(INDIRECT(ADDRESS(2,COLUMN())),OFFSET($AT$2,0,0,ROW()-1,40),ROW()-1,FALSE))</f>
        <v>8.6280865670000004</v>
      </c>
      <c r="AF35">
        <f ca="1">IF(AND($B$294=1,LEN($AF$184) * LEN($AF$177)&gt;0),$AF$184/$AF$177*100,HLOOKUP(INDIRECT(ADDRESS(2,COLUMN())),OFFSET($AT$2,0,0,ROW()-1,40),ROW()-1,FALSE))</f>
        <v>8.0185462980000004</v>
      </c>
      <c r="AG35">
        <f ca="1">IF(AND($B$294=1,LEN($AG$184) * LEN($AG$177)&gt;0),$AG$184/$AG$177*100,HLOOKUP(INDIRECT(ADDRESS(2,COLUMN())),OFFSET($AT$2,0,0,ROW()-1,40),ROW()-1,FALSE))</f>
        <v>7.4726402189999996</v>
      </c>
      <c r="AH35">
        <f ca="1">IF(AND($B$294=1,LEN($AH$184) * LEN($AH$177)&gt;0),$AH$184/$AH$177*100,HLOOKUP(INDIRECT(ADDRESS(2,COLUMN())),OFFSET($AT$2,0,0,ROW()-1,40),ROW()-1,FALSE))</f>
        <v>8.456201214</v>
      </c>
      <c r="AI35">
        <f ca="1">IF(AND($B$294=1,LEN($AI$184) * LEN($AI$177)&gt;0),$AI$184/$AI$177*100,HLOOKUP(INDIRECT(ADDRESS(2,COLUMN())),OFFSET($AT$2,0,0,ROW()-1,40),ROW()-1,FALSE))</f>
        <v>7.5234818189999997</v>
      </c>
      <c r="AJ35">
        <f ca="1">IF(AND($B$294=1,LEN($AJ$184) * LEN($AJ$177)&gt;0),$AJ$184/$AJ$177*100,HLOOKUP(INDIRECT(ADDRESS(2,COLUMN())),OFFSET($AT$2,0,0,ROW()-1,40),ROW()-1,FALSE))</f>
        <v>8.5182115169999992</v>
      </c>
      <c r="AK35">
        <f ca="1">IF(AND($B$294=1,LEN($AK$184) * LEN($AK$177)&gt;0),$AK$184/$AK$177*100,HLOOKUP(INDIRECT(ADDRESS(2,COLUMN())),OFFSET($AT$2,0,0,ROW()-1,40),ROW()-1,FALSE))</f>
        <v>8.4981578439999996</v>
      </c>
      <c r="AL35">
        <f ca="1">IF(AND($B$294=1,LEN($AL$184) * LEN($AL$177)&gt;0),$AL$184/$AL$177*100,HLOOKUP(INDIRECT(ADDRESS(2,COLUMN())),OFFSET($AT$2,0,0,ROW()-1,40),ROW()-1,FALSE))</f>
        <v>6.7676767680000003</v>
      </c>
      <c r="AM35">
        <f ca="1">IF(AND($B$294=1,LEN($AM$184) * LEN($AM$177)&gt;0),$AM$184/$AM$177*100,HLOOKUP(INDIRECT(ADDRESS(2,COLUMN())),OFFSET($AT$2,0,0,ROW()-1,40),ROW()-1,FALSE))</f>
        <v>5.7215219020000001</v>
      </c>
      <c r="AN35">
        <f ca="1">IF(AND($B$294=1,LEN($AN$184) * LEN($AN$177)&gt;0),$AN$184/$AN$177*100,HLOOKUP(INDIRECT(ADDRESS(2,COLUMN())),OFFSET($AT$2,0,0,ROW()-1,40),ROW()-1,FALSE))</f>
        <v>12.083493730000001</v>
      </c>
      <c r="AO35">
        <f ca="1">IF(AND($B$294=1,LEN($AO$184) * LEN($AO$177)&gt;0),$AO$184/$AO$177*100,HLOOKUP(INDIRECT(ADDRESS(2,COLUMN())),OFFSET($AT$2,0,0,ROW()-1,40),ROW()-1,FALSE))</f>
        <v>10.19992817</v>
      </c>
      <c r="AP35">
        <f ca="1">IF(AND($B$294=1,LEN($AP$184) * LEN($AP$177)&gt;0),$AP$184/$AP$177*100,HLOOKUP(INDIRECT(ADDRESS(2,COLUMN())),OFFSET($AT$2,0,0,ROW()-1,40),ROW()-1,FALSE))</f>
        <v>6.8400508350000004</v>
      </c>
      <c r="AQ35">
        <f ca="1">IF(AND($B$294=1,LEN($AQ$184) * LEN($AQ$177)&gt;0),$AQ$184/$AQ$177*100,HLOOKUP(INDIRECT(ADDRESS(2,COLUMN())),OFFSET($AT$2,0,0,ROW()-1,40),ROW()-1,FALSE))</f>
        <v>8.2478334499999999</v>
      </c>
      <c r="AR35">
        <f ca="1">IF(AND($B$294=1,LEN($AR$184) * LEN($AR$177)&gt;0),$AR$184/$AR$177*100,HLOOKUP(INDIRECT(ADDRESS(2,COLUMN())),OFFSET($AT$2,0,0,ROW()-1,40),ROW()-1,FALSE))</f>
        <v>9.4869312679999993</v>
      </c>
      <c r="AS35">
        <f ca="1">IF(AND($B$294=1,LEN($AS$184) * LEN($AS$177)&gt;0),$AS$184/$AS$177*100,HLOOKUP(INDIRECT(ADDRESS(2,COLUMN())),OFFSET($AT$2,0,0,ROW()-1,40),ROW()-1,FALSE))</f>
        <v>9.9664768800000001</v>
      </c>
      <c r="AT35">
        <f>5.929272646</f>
        <v>5.9292726460000003</v>
      </c>
      <c r="AU35">
        <f>7.426274976</f>
        <v>7.4262749760000002</v>
      </c>
      <c r="AV35">
        <f>7.9925434</f>
        <v>7.9925433999999997</v>
      </c>
      <c r="AW35">
        <f>7.449239407</f>
        <v>7.4492394070000003</v>
      </c>
      <c r="AX35">
        <f>10.19064125</f>
        <v>10.190641250000001</v>
      </c>
      <c r="AY35">
        <f>7.237813885</f>
        <v>7.2378138849999996</v>
      </c>
      <c r="AZ35">
        <f>7.668401272</f>
        <v>7.6684012719999997</v>
      </c>
      <c r="BA35">
        <f>11.20800379</f>
        <v>11.208003789999999</v>
      </c>
      <c r="BB35">
        <f>9.866071429</f>
        <v>9.8660714289999998</v>
      </c>
      <c r="BC35">
        <f>9.777046784</f>
        <v>9.7770467839999995</v>
      </c>
      <c r="BD35">
        <f>12.17608292</f>
        <v>12.176082920000001</v>
      </c>
      <c r="BE35">
        <f>7.860575199</f>
        <v>7.8605751990000003</v>
      </c>
      <c r="BF35">
        <f>8.385959759</f>
        <v>8.3859597590000003</v>
      </c>
      <c r="BG35">
        <f>9.166221272</f>
        <v>9.1662212719999996</v>
      </c>
      <c r="BH35">
        <f>7.944902226</f>
        <v>7.944902226</v>
      </c>
      <c r="BI35">
        <f>9.726659567</f>
        <v>9.7266595670000005</v>
      </c>
      <c r="BJ35">
        <f>11.19646943</f>
        <v>11.196469430000001</v>
      </c>
      <c r="BK35">
        <f>7.948243993</f>
        <v>7.9482439930000002</v>
      </c>
      <c r="BL35">
        <f>7.178500571</f>
        <v>7.1785005709999998</v>
      </c>
      <c r="BM35">
        <f>9.573724668</f>
        <v>9.5737246680000005</v>
      </c>
      <c r="BN35">
        <f>7.898715042</f>
        <v>7.8987150420000001</v>
      </c>
      <c r="BO35">
        <f>7.404852969</f>
        <v>7.4048529690000002</v>
      </c>
      <c r="BP35">
        <f>11.31276176</f>
        <v>11.312761760000001</v>
      </c>
      <c r="BQ35">
        <f>7.659862529</f>
        <v>7.6598625289999998</v>
      </c>
      <c r="BR35">
        <f>6.335687578</f>
        <v>6.3356875779999999</v>
      </c>
      <c r="BS35">
        <f>8.628086567</f>
        <v>8.6280865670000004</v>
      </c>
      <c r="BT35">
        <f>8.018546298</f>
        <v>8.0185462980000004</v>
      </c>
      <c r="BU35">
        <f>7.472640219</f>
        <v>7.4726402189999996</v>
      </c>
      <c r="BV35">
        <f>8.456201214</f>
        <v>8.456201214</v>
      </c>
      <c r="BW35">
        <f>7.523481819</f>
        <v>7.5234818189999997</v>
      </c>
      <c r="BX35">
        <f>8.518211517</f>
        <v>8.5182115169999992</v>
      </c>
      <c r="BY35">
        <f>8.498157844</f>
        <v>8.4981578439999996</v>
      </c>
      <c r="BZ35">
        <f>6.767676768</f>
        <v>6.7676767680000003</v>
      </c>
      <c r="CA35">
        <f>5.721521902</f>
        <v>5.7215219020000001</v>
      </c>
      <c r="CB35">
        <f>12.08349373</f>
        <v>12.083493730000001</v>
      </c>
      <c r="CC35">
        <f>10.19992817</f>
        <v>10.19992817</v>
      </c>
      <c r="CD35">
        <f>6.840050835</f>
        <v>6.8400508350000004</v>
      </c>
      <c r="CE35">
        <f>8.24783345</f>
        <v>8.2478334499999999</v>
      </c>
      <c r="CF35">
        <f>9.486931268</f>
        <v>9.4869312679999993</v>
      </c>
      <c r="CG35">
        <f>9.96647688</f>
        <v>9.9664768800000001</v>
      </c>
    </row>
    <row r="36" spans="1:85" x14ac:dyDescent="0.25">
      <c r="A36" t="str">
        <f>"    Navistar"</f>
        <v xml:space="preserve">    Navistar</v>
      </c>
      <c r="B36" t="str">
        <f>"NAV US Equity"</f>
        <v>NAV US Equity</v>
      </c>
      <c r="E36" t="str">
        <f>"Sum"</f>
        <v>Sum</v>
      </c>
      <c r="F36">
        <f ca="1">IF(ISERROR(IF(SUM($F$37:$F$37) = 0, "", SUM($F$37:$F$37))), "", (IF(SUM($F$37:$F$37) = 0, "", SUM($F$37:$F$37))))</f>
        <v>15.623605530000001</v>
      </c>
      <c r="G36">
        <f ca="1">IF(ISERROR(IF(SUM($G$37:$G$37) = 0, "", SUM($G$37:$G$37))), "", (IF(SUM($G$37:$G$37) = 0, "", SUM($G$37:$G$37))))</f>
        <v>11.29223977</v>
      </c>
      <c r="H36">
        <f ca="1">IF(ISERROR(IF(SUM($H$37:$H$37) = 0, "", SUM($H$37:$H$37))), "", (IF(SUM($H$37:$H$37) = 0, "", SUM($H$37:$H$37))))</f>
        <v>16.025865079999999</v>
      </c>
      <c r="I36">
        <f ca="1">IF(ISERROR(IF(SUM($I$37:$I$37) = 0, "", SUM($I$37:$I$37))), "", (IF(SUM($I$37:$I$37) = 0, "", SUM($I$37:$I$37))))</f>
        <v>10.609127109999999</v>
      </c>
      <c r="J36">
        <f ca="1">IF(ISERROR(IF(SUM($J$37:$J$37) = 0, "", SUM($J$37:$J$37))), "", (IF(SUM($J$37:$J$37) = 0, "", SUM($J$37:$J$37))))</f>
        <v>9.8786828419999999</v>
      </c>
      <c r="K36">
        <f ca="1">IF(ISERROR(IF(SUM($K$37:$K$37) = 0, "", SUM($K$37:$K$37))), "", (IF(SUM($K$37:$K$37) = 0, "", SUM($K$37:$K$37))))</f>
        <v>9.4596257999999995</v>
      </c>
      <c r="L36">
        <f ca="1">IF(ISERROR(IF(SUM($L$37:$L$37) = 0, "", SUM($L$37:$L$37))), "", (IF(SUM($L$37:$L$37) = 0, "", SUM($L$37:$L$37))))</f>
        <v>11.094246890000001</v>
      </c>
      <c r="M36">
        <f ca="1">IF(ISERROR(IF(SUM($M$37:$M$37) = 0, "", SUM($M$37:$M$37))), "", (IF(SUM($M$37:$M$37) = 0, "", SUM($M$37:$M$37))))</f>
        <v>9.5991347260000008</v>
      </c>
      <c r="N36">
        <f ca="1">IF(ISERROR(IF(SUM($N$37:$N$37) = 0, "", SUM($N$37:$N$37))), "", (IF(SUM($N$37:$N$37) = 0, "", SUM($N$37:$N$37))))</f>
        <v>11.66071429</v>
      </c>
      <c r="O36">
        <f ca="1">IF(ISERROR(IF(SUM($O$37:$O$37) = 0, "", SUM($O$37:$O$37))), "", (IF(SUM($O$37:$O$37) = 0, "", SUM($O$37:$O$37))))</f>
        <v>11.81469298</v>
      </c>
      <c r="P36">
        <f ca="1">IF(ISERROR(IF(SUM($P$37:$P$37) = 0, "", SUM($P$37:$P$37))), "", (IF(SUM($P$37:$P$37) = 0, "", SUM($P$37:$P$37))))</f>
        <v>8.1195214030000002</v>
      </c>
      <c r="Q36">
        <f ca="1">IF(ISERROR(IF(SUM($Q$37:$Q$37) = 0, "", SUM($Q$37:$Q$37))), "", (IF(SUM($Q$37:$Q$37) = 0, "", SUM($Q$37:$Q$37))))</f>
        <v>10.169977769999999</v>
      </c>
      <c r="R36">
        <f ca="1">IF(ISERROR(IF(SUM($R$37:$R$37) = 0, "", SUM($R$37:$R$37))), "", (IF(SUM($R$37:$R$37) = 0, "", SUM($R$37:$R$37))))</f>
        <v>16.066970189999999</v>
      </c>
      <c r="S36">
        <f ca="1">IF(ISERROR(IF(SUM($S$37:$S$37) = 0, "", SUM($S$37:$S$37))), "", (IF(SUM($S$37:$S$37) = 0, "", SUM($S$37:$S$37))))</f>
        <v>10.742918230000001</v>
      </c>
      <c r="T36">
        <f ca="1">IF(ISERROR(IF(SUM($T$37:$T$37) = 0, "", SUM($T$37:$T$37))), "", (IF(SUM($T$37:$T$37) = 0, "", SUM($T$37:$T$37))))</f>
        <v>12.095683190000001</v>
      </c>
      <c r="U36">
        <f ca="1">IF(ISERROR(IF(SUM($U$37:$U$37) = 0, "", SUM($U$37:$U$37))), "", (IF(SUM($U$37:$U$37) = 0, "", SUM($U$37:$U$37))))</f>
        <v>9.0592829249999998</v>
      </c>
      <c r="V36">
        <f ca="1">IF(ISERROR(IF(SUM($V$37:$V$37) = 0, "", SUM($V$37:$V$37))), "", (IF(SUM($V$37:$V$37) = 0, "", SUM($V$37:$V$37))))</f>
        <v>8.4559224149999999</v>
      </c>
      <c r="W36">
        <f ca="1">IF(ISERROR(IF(SUM($W$37:$W$37) = 0, "", SUM($W$37:$W$37))), "", (IF(SUM($W$37:$W$37) = 0, "", SUM($W$37:$W$37))))</f>
        <v>10.06816081</v>
      </c>
      <c r="X36">
        <f ca="1">IF(ISERROR(IF(SUM($X$37:$X$37) = 0, "", SUM($X$37:$X$37))), "", (IF(SUM($X$37:$X$37) = 0, "", SUM($X$37:$X$37))))</f>
        <v>11.380989599999999</v>
      </c>
      <c r="Y36">
        <f ca="1">IF(ISERROR(IF(SUM($Y$37:$Y$37) = 0, "", SUM($Y$37:$Y$37))), "", (IF(SUM($Y$37:$Y$37) = 0, "", SUM($Y$37:$Y$37))))</f>
        <v>11.750024959999999</v>
      </c>
      <c r="Z36">
        <f ca="1">IF(ISERROR(IF(SUM($Z$37:$Z$37) = 0, "", SUM($Z$37:$Z$37))), "", (IF(SUM($Z$37:$Z$37) = 0, "", SUM($Z$37:$Z$37))))</f>
        <v>9.4419249179999998</v>
      </c>
      <c r="AA36">
        <f ca="1">IF(ISERROR(IF(SUM($AA$37:$AA$37) = 0, "", SUM($AA$37:$AA$37))), "", (IF(SUM($AA$37:$AA$37) = 0, "", SUM($AA$37:$AA$37))))</f>
        <v>16.333312429999999</v>
      </c>
      <c r="AB36">
        <f ca="1">IF(ISERROR(IF(SUM($AB$37:$AB$37) = 0, "", SUM($AB$37:$AB$37))), "", (IF(SUM($AB$37:$AB$37) = 0, "", SUM($AB$37:$AB$37))))</f>
        <v>10.426996580000001</v>
      </c>
      <c r="AC36">
        <f ca="1">IF(ISERROR(IF(SUM($AC$37:$AC$37) = 0, "", SUM($AC$37:$AC$37))), "", (IF(SUM($AC$37:$AC$37) = 0, "", SUM($AC$37:$AC$37))))</f>
        <v>7.3942928559999999</v>
      </c>
      <c r="AD36">
        <f ca="1">IF(ISERROR(IF(SUM($AD$37:$AD$37) = 0, "", SUM($AD$37:$AD$37))), "", (IF(SUM($AD$37:$AD$37) = 0, "", SUM($AD$37:$AD$37))))</f>
        <v>11.191316990000001</v>
      </c>
      <c r="AE36">
        <f ca="1">IF(ISERROR(IF(SUM($AE$37:$AE$37) = 0, "", SUM($AE$37:$AE$37))), "", (IF(SUM($AE$37:$AE$37) = 0, "", SUM($AE$37:$AE$37))))</f>
        <v>10.91619792</v>
      </c>
      <c r="AF36">
        <f ca="1">IF(ISERROR(IF(SUM($AF$37:$AF$37) = 0, "", SUM($AF$37:$AF$37))), "", (IF(SUM($AF$37:$AF$37) = 0, "", SUM($AF$37:$AF$37))))</f>
        <v>10.94595209</v>
      </c>
      <c r="AG36">
        <f ca="1">IF(ISERROR(IF(SUM($AG$37:$AG$37) = 0, "", SUM($AG$37:$AG$37))), "", (IF(SUM($AG$37:$AG$37) = 0, "", SUM($AG$37:$AG$37))))</f>
        <v>12.58977428</v>
      </c>
      <c r="AH36">
        <f ca="1">IF(ISERROR(IF(SUM($AH$37:$AH$37) = 0, "", SUM($AH$37:$AH$37))), "", (IF(SUM($AH$37:$AH$37) = 0, "", SUM($AH$37:$AH$37))))</f>
        <v>13.16328944</v>
      </c>
      <c r="AI36">
        <f ca="1">IF(ISERROR(IF(SUM($AI$37:$AI$37) = 0, "", SUM($AI$37:$AI$37))), "", (IF(SUM($AI$37:$AI$37) = 0, "", SUM($AI$37:$AI$37))))</f>
        <v>11.16432623</v>
      </c>
      <c r="AJ36">
        <f ca="1">IF(ISERROR(IF(SUM($AJ$37:$AJ$37) = 0, "", SUM($AJ$37:$AJ$37))), "", (IF(SUM($AJ$37:$AJ$37) = 0, "", SUM($AJ$37:$AJ$37))))</f>
        <v>12.5847189</v>
      </c>
      <c r="AK36">
        <f ca="1">IF(ISERROR(IF(SUM($AK$37:$AK$37) = 0, "", SUM($AK$37:$AK$37))), "", (IF(SUM($AK$37:$AK$37) = 0, "", SUM($AK$37:$AK$37))))</f>
        <v>14.89722707</v>
      </c>
      <c r="AL36">
        <f ca="1">IF(ISERROR(IF(SUM($AL$37:$AL$37) = 0, "", SUM($AL$37:$AL$37))), "", (IF(SUM($AL$37:$AL$37) = 0, "", SUM($AL$37:$AL$37))))</f>
        <v>10.673400669999999</v>
      </c>
      <c r="AM36">
        <f ca="1">IF(ISERROR(IF(SUM($AM$37:$AM$37) = 0, "", SUM($AM$37:$AM$37))), "", (IF(SUM($AM$37:$AM$37) = 0, "", SUM($AM$37:$AM$37))))</f>
        <v>12.433085820000001</v>
      </c>
      <c r="AN36">
        <f ca="1">IF(ISERROR(IF(SUM($AN$37:$AN$37) = 0, "", SUM($AN$37:$AN$37))), "", (IF(SUM($AN$37:$AN$37) = 0, "", SUM($AN$37:$AN$37))))</f>
        <v>9.735232474</v>
      </c>
      <c r="AO36">
        <f ca="1">IF(ISERROR(IF(SUM($AO$37:$AO$37) = 0, "", SUM($AO$37:$AO$37))), "", (IF(SUM($AO$37:$AO$37) = 0, "", SUM($AO$37:$AO$37))))</f>
        <v>10.612953429999999</v>
      </c>
      <c r="AP36">
        <f ca="1">IF(ISERROR(IF(SUM($AP$37:$AP$37) = 0, "", SUM($AP$37:$AP$37))), "", (IF(SUM($AP$37:$AP$37) = 0, "", SUM($AP$37:$AP$37))))</f>
        <v>15.949527959999999</v>
      </c>
      <c r="AQ36">
        <f ca="1">IF(ISERROR(IF(SUM($AQ$37:$AQ$37) = 0, "", SUM($AQ$37:$AQ$37))), "", (IF(SUM($AQ$37:$AQ$37) = 0, "", SUM($AQ$37:$AQ$37))))</f>
        <v>14.403825080000001</v>
      </c>
      <c r="AR36">
        <f ca="1">IF(ISERROR(IF(SUM($AR$37:$AR$37) = 0, "", SUM($AR$37:$AR$37))), "", (IF(SUM($AR$37:$AR$37) = 0, "", SUM($AR$37:$AR$37))))</f>
        <v>14.07245122</v>
      </c>
      <c r="AS36">
        <f ca="1">IF(ISERROR(IF(SUM($AS$37:$AS$37) = 0, "", SUM($AS$37:$AS$37))), "", (IF(SUM($AS$37:$AS$37) = 0, "", SUM($AS$37:$AS$37))))</f>
        <v>16.431650080000001</v>
      </c>
      <c r="AT36">
        <f>15.62360553</f>
        <v>15.623605530000001</v>
      </c>
      <c r="AU36">
        <f>11.29223977</f>
        <v>11.29223977</v>
      </c>
      <c r="AV36">
        <f>16.02586508</f>
        <v>16.025865079999999</v>
      </c>
      <c r="AW36">
        <f>10.60912711</f>
        <v>10.609127109999999</v>
      </c>
      <c r="AX36">
        <f>9.878682842</f>
        <v>9.8786828419999999</v>
      </c>
      <c r="AY36">
        <f>9.4596258</f>
        <v>9.4596257999999995</v>
      </c>
      <c r="AZ36">
        <f>11.09424689</f>
        <v>11.094246890000001</v>
      </c>
      <c r="BA36">
        <f>9.599134726</f>
        <v>9.5991347260000008</v>
      </c>
      <c r="BB36">
        <f>11.66071429</f>
        <v>11.66071429</v>
      </c>
      <c r="BC36">
        <f>11.81469298</f>
        <v>11.81469298</v>
      </c>
      <c r="BD36">
        <f>8.119521403</f>
        <v>8.1195214030000002</v>
      </c>
      <c r="BE36">
        <f>10.16997777</f>
        <v>10.169977769999999</v>
      </c>
      <c r="BF36">
        <f>16.06697019</f>
        <v>16.066970189999999</v>
      </c>
      <c r="BG36">
        <f>10.74291823</f>
        <v>10.742918230000001</v>
      </c>
      <c r="BH36">
        <f>12.09568319</f>
        <v>12.095683190000001</v>
      </c>
      <c r="BI36">
        <f>9.059282925</f>
        <v>9.0592829249999998</v>
      </c>
      <c r="BJ36">
        <f>8.455922415</f>
        <v>8.4559224149999999</v>
      </c>
      <c r="BK36">
        <f>10.06816081</f>
        <v>10.06816081</v>
      </c>
      <c r="BL36">
        <f>11.3809896</f>
        <v>11.380989599999999</v>
      </c>
      <c r="BM36">
        <f>11.75002496</f>
        <v>11.750024959999999</v>
      </c>
      <c r="BN36">
        <f>9.441924918</f>
        <v>9.4419249179999998</v>
      </c>
      <c r="BO36">
        <f>16.33331243</f>
        <v>16.333312429999999</v>
      </c>
      <c r="BP36">
        <f>10.42699658</f>
        <v>10.426996580000001</v>
      </c>
      <c r="BQ36">
        <f>7.394292856</f>
        <v>7.3942928559999999</v>
      </c>
      <c r="BR36">
        <f>11.19131699</f>
        <v>11.191316990000001</v>
      </c>
      <c r="BS36">
        <f>10.91619792</f>
        <v>10.91619792</v>
      </c>
      <c r="BT36">
        <f>10.94595209</f>
        <v>10.94595209</v>
      </c>
      <c r="BU36">
        <f>12.58977428</f>
        <v>12.58977428</v>
      </c>
      <c r="BV36">
        <f>13.16328944</f>
        <v>13.16328944</v>
      </c>
      <c r="BW36">
        <f>11.16432623</f>
        <v>11.16432623</v>
      </c>
      <c r="BX36">
        <f>12.5847189</f>
        <v>12.5847189</v>
      </c>
      <c r="BY36">
        <f>14.89722707</f>
        <v>14.89722707</v>
      </c>
      <c r="BZ36">
        <f>10.67340067</f>
        <v>10.673400669999999</v>
      </c>
      <c r="CA36">
        <f>12.43308582</f>
        <v>12.433085820000001</v>
      </c>
      <c r="CB36">
        <f>9.735232474</f>
        <v>9.735232474</v>
      </c>
      <c r="CC36">
        <f>10.61295343</f>
        <v>10.612953429999999</v>
      </c>
      <c r="CD36">
        <f>15.94952796</f>
        <v>15.949527959999999</v>
      </c>
      <c r="CE36">
        <f>14.40382508</f>
        <v>14.403825080000001</v>
      </c>
      <c r="CF36">
        <f>14.07245122</f>
        <v>14.07245122</v>
      </c>
      <c r="CG36">
        <f>16.43165008</f>
        <v>16.431650080000001</v>
      </c>
    </row>
    <row r="37" spans="1:85" x14ac:dyDescent="0.25">
      <c r="A37" t="str">
        <f>"        International"</f>
        <v xml:space="preserve">        International</v>
      </c>
      <c r="B37" t="str">
        <f>"NAV US Equity"</f>
        <v>NAV US Equity</v>
      </c>
      <c r="E37" t="str">
        <f>"Expression"</f>
        <v>Expression</v>
      </c>
      <c r="F37">
        <f ca="1">IF(AND($B$294=1,LEN($F$185) * LEN($F$177)&gt;0),$F$185/$F$177*100,HLOOKUP(INDIRECT(ADDRESS(2,COLUMN())),OFFSET($AT$2,0,0,ROW()-1,40),ROW()-1,FALSE))</f>
        <v>15.623605530000001</v>
      </c>
      <c r="G37">
        <f ca="1">IF(AND($B$294=1,LEN($G$185) * LEN($G$177)&gt;0),$G$185/$G$177*100,HLOOKUP(INDIRECT(ADDRESS(2,COLUMN())),OFFSET($AT$2,0,0,ROW()-1,40),ROW()-1,FALSE))</f>
        <v>11.29223977</v>
      </c>
      <c r="H37">
        <f ca="1">IF(AND($B$294=1,LEN($H$185) * LEN($H$177)&gt;0),$H$185/$H$177*100,HLOOKUP(INDIRECT(ADDRESS(2,COLUMN())),OFFSET($AT$2,0,0,ROW()-1,40),ROW()-1,FALSE))</f>
        <v>16.025865079999999</v>
      </c>
      <c r="I37">
        <f ca="1">IF(AND($B$294=1,LEN($I$185) * LEN($I$177)&gt;0),$I$185/$I$177*100,HLOOKUP(INDIRECT(ADDRESS(2,COLUMN())),OFFSET($AT$2,0,0,ROW()-1,40),ROW()-1,FALSE))</f>
        <v>10.609127109999999</v>
      </c>
      <c r="J37">
        <f ca="1">IF(AND($B$294=1,LEN($J$185) * LEN($J$177)&gt;0),$J$185/$J$177*100,HLOOKUP(INDIRECT(ADDRESS(2,COLUMN())),OFFSET($AT$2,0,0,ROW()-1,40),ROW()-1,FALSE))</f>
        <v>9.8786828419999999</v>
      </c>
      <c r="K37">
        <f ca="1">IF(AND($B$294=1,LEN($K$185) * LEN($K$177)&gt;0),$K$185/$K$177*100,HLOOKUP(INDIRECT(ADDRESS(2,COLUMN())),OFFSET($AT$2,0,0,ROW()-1,40),ROW()-1,FALSE))</f>
        <v>9.4596257999999995</v>
      </c>
      <c r="L37">
        <f ca="1">IF(AND($B$294=1,LEN($L$185) * LEN($L$177)&gt;0),$L$185/$L$177*100,HLOOKUP(INDIRECT(ADDRESS(2,COLUMN())),OFFSET($AT$2,0,0,ROW()-1,40),ROW()-1,FALSE))</f>
        <v>11.094246890000001</v>
      </c>
      <c r="M37">
        <f ca="1">IF(AND($B$294=1,LEN($M$185) * LEN($M$177)&gt;0),$M$185/$M$177*100,HLOOKUP(INDIRECT(ADDRESS(2,COLUMN())),OFFSET($AT$2,0,0,ROW()-1,40),ROW()-1,FALSE))</f>
        <v>9.5991347260000008</v>
      </c>
      <c r="N37">
        <f ca="1">IF(AND($B$294=1,LEN($N$185) * LEN($N$177)&gt;0),$N$185/$N$177*100,HLOOKUP(INDIRECT(ADDRESS(2,COLUMN())),OFFSET($AT$2,0,0,ROW()-1,40),ROW()-1,FALSE))</f>
        <v>11.66071429</v>
      </c>
      <c r="O37">
        <f ca="1">IF(AND($B$294=1,LEN($O$185) * LEN($O$177)&gt;0),$O$185/$O$177*100,HLOOKUP(INDIRECT(ADDRESS(2,COLUMN())),OFFSET($AT$2,0,0,ROW()-1,40),ROW()-1,FALSE))</f>
        <v>11.81469298</v>
      </c>
      <c r="P37">
        <f ca="1">IF(AND($B$294=1,LEN($P$185) * LEN($P$177)&gt;0),$P$185/$P$177*100,HLOOKUP(INDIRECT(ADDRESS(2,COLUMN())),OFFSET($AT$2,0,0,ROW()-1,40),ROW()-1,FALSE))</f>
        <v>8.1195214030000002</v>
      </c>
      <c r="Q37">
        <f ca="1">IF(AND($B$294=1,LEN($Q$185) * LEN($Q$177)&gt;0),$Q$185/$Q$177*100,HLOOKUP(INDIRECT(ADDRESS(2,COLUMN())),OFFSET($AT$2,0,0,ROW()-1,40),ROW()-1,FALSE))</f>
        <v>10.169977769999999</v>
      </c>
      <c r="R37">
        <f ca="1">IF(AND($B$294=1,LEN($R$185) * LEN($R$177)&gt;0),$R$185/$R$177*100,HLOOKUP(INDIRECT(ADDRESS(2,COLUMN())),OFFSET($AT$2,0,0,ROW()-1,40),ROW()-1,FALSE))</f>
        <v>16.066970189999999</v>
      </c>
      <c r="S37">
        <f ca="1">IF(AND($B$294=1,LEN($S$185) * LEN($S$177)&gt;0),$S$185/$S$177*100,HLOOKUP(INDIRECT(ADDRESS(2,COLUMN())),OFFSET($AT$2,0,0,ROW()-1,40),ROW()-1,FALSE))</f>
        <v>10.742918230000001</v>
      </c>
      <c r="T37">
        <f ca="1">IF(AND($B$294=1,LEN($T$185) * LEN($T$177)&gt;0),$T$185/$T$177*100,HLOOKUP(INDIRECT(ADDRESS(2,COLUMN())),OFFSET($AT$2,0,0,ROW()-1,40),ROW()-1,FALSE))</f>
        <v>12.095683190000001</v>
      </c>
      <c r="U37">
        <f ca="1">IF(AND($B$294=1,LEN($U$185) * LEN($U$177)&gt;0),$U$185/$U$177*100,HLOOKUP(INDIRECT(ADDRESS(2,COLUMN())),OFFSET($AT$2,0,0,ROW()-1,40),ROW()-1,FALSE))</f>
        <v>9.0592829249999998</v>
      </c>
      <c r="V37">
        <f ca="1">IF(AND($B$294=1,LEN($V$185) * LEN($V$177)&gt;0),$V$185/$V$177*100,HLOOKUP(INDIRECT(ADDRESS(2,COLUMN())),OFFSET($AT$2,0,0,ROW()-1,40),ROW()-1,FALSE))</f>
        <v>8.4559224149999999</v>
      </c>
      <c r="W37">
        <f ca="1">IF(AND($B$294=1,LEN($W$185) * LEN($W$177)&gt;0),$W$185/$W$177*100,HLOOKUP(INDIRECT(ADDRESS(2,COLUMN())),OFFSET($AT$2,0,0,ROW()-1,40),ROW()-1,FALSE))</f>
        <v>10.06816081</v>
      </c>
      <c r="X37">
        <f ca="1">IF(AND($B$294=1,LEN($X$185) * LEN($X$177)&gt;0),$X$185/$X$177*100,HLOOKUP(INDIRECT(ADDRESS(2,COLUMN())),OFFSET($AT$2,0,0,ROW()-1,40),ROW()-1,FALSE))</f>
        <v>11.380989599999999</v>
      </c>
      <c r="Y37">
        <f ca="1">IF(AND($B$294=1,LEN($Y$185) * LEN($Y$177)&gt;0),$Y$185/$Y$177*100,HLOOKUP(INDIRECT(ADDRESS(2,COLUMN())),OFFSET($AT$2,0,0,ROW()-1,40),ROW()-1,FALSE))</f>
        <v>11.750024959999999</v>
      </c>
      <c r="Z37">
        <f ca="1">IF(AND($B$294=1,LEN($Z$185) * LEN($Z$177)&gt;0),$Z$185/$Z$177*100,HLOOKUP(INDIRECT(ADDRESS(2,COLUMN())),OFFSET($AT$2,0,0,ROW()-1,40),ROW()-1,FALSE))</f>
        <v>9.4419249179999998</v>
      </c>
      <c r="AA37">
        <f ca="1">IF(AND($B$294=1,LEN($AA$185) * LEN($AA$177)&gt;0),$AA$185/$AA$177*100,HLOOKUP(INDIRECT(ADDRESS(2,COLUMN())),OFFSET($AT$2,0,0,ROW()-1,40),ROW()-1,FALSE))</f>
        <v>16.333312429999999</v>
      </c>
      <c r="AB37">
        <f ca="1">IF(AND($B$294=1,LEN($AB$185) * LEN($AB$177)&gt;0),$AB$185/$AB$177*100,HLOOKUP(INDIRECT(ADDRESS(2,COLUMN())),OFFSET($AT$2,0,0,ROW()-1,40),ROW()-1,FALSE))</f>
        <v>10.426996580000001</v>
      </c>
      <c r="AC37">
        <f ca="1">IF(AND($B$294=1,LEN($AC$185) * LEN($AC$177)&gt;0),$AC$185/$AC$177*100,HLOOKUP(INDIRECT(ADDRESS(2,COLUMN())),OFFSET($AT$2,0,0,ROW()-1,40),ROW()-1,FALSE))</f>
        <v>7.3942928559999999</v>
      </c>
      <c r="AD37">
        <f ca="1">IF(AND($B$294=1,LEN($AD$185) * LEN($AD$177)&gt;0),$AD$185/$AD$177*100,HLOOKUP(INDIRECT(ADDRESS(2,COLUMN())),OFFSET($AT$2,0,0,ROW()-1,40),ROW()-1,FALSE))</f>
        <v>11.191316990000001</v>
      </c>
      <c r="AE37">
        <f ca="1">IF(AND($B$294=1,LEN($AE$185) * LEN($AE$177)&gt;0),$AE$185/$AE$177*100,HLOOKUP(INDIRECT(ADDRESS(2,COLUMN())),OFFSET($AT$2,0,0,ROW()-1,40),ROW()-1,FALSE))</f>
        <v>10.91619792</v>
      </c>
      <c r="AF37">
        <f ca="1">IF(AND($B$294=1,LEN($AF$185) * LEN($AF$177)&gt;0),$AF$185/$AF$177*100,HLOOKUP(INDIRECT(ADDRESS(2,COLUMN())),OFFSET($AT$2,0,0,ROW()-1,40),ROW()-1,FALSE))</f>
        <v>10.94595209</v>
      </c>
      <c r="AG37">
        <f ca="1">IF(AND($B$294=1,LEN($AG$185) * LEN($AG$177)&gt;0),$AG$185/$AG$177*100,HLOOKUP(INDIRECT(ADDRESS(2,COLUMN())),OFFSET($AT$2,0,0,ROW()-1,40),ROW()-1,FALSE))</f>
        <v>12.58977428</v>
      </c>
      <c r="AH37">
        <f ca="1">IF(AND($B$294=1,LEN($AH$185) * LEN($AH$177)&gt;0),$AH$185/$AH$177*100,HLOOKUP(INDIRECT(ADDRESS(2,COLUMN())),OFFSET($AT$2,0,0,ROW()-1,40),ROW()-1,FALSE))</f>
        <v>13.16328944</v>
      </c>
      <c r="AI37">
        <f ca="1">IF(AND($B$294=1,LEN($AI$185) * LEN($AI$177)&gt;0),$AI$185/$AI$177*100,HLOOKUP(INDIRECT(ADDRESS(2,COLUMN())),OFFSET($AT$2,0,0,ROW()-1,40),ROW()-1,FALSE))</f>
        <v>11.16432623</v>
      </c>
      <c r="AJ37">
        <f ca="1">IF(AND($B$294=1,LEN($AJ$185) * LEN($AJ$177)&gt;0),$AJ$185/$AJ$177*100,HLOOKUP(INDIRECT(ADDRESS(2,COLUMN())),OFFSET($AT$2,0,0,ROW()-1,40),ROW()-1,FALSE))</f>
        <v>12.5847189</v>
      </c>
      <c r="AK37">
        <f ca="1">IF(AND($B$294=1,LEN($AK$185) * LEN($AK$177)&gt;0),$AK$185/$AK$177*100,HLOOKUP(INDIRECT(ADDRESS(2,COLUMN())),OFFSET($AT$2,0,0,ROW()-1,40),ROW()-1,FALSE))</f>
        <v>14.89722707</v>
      </c>
      <c r="AL37">
        <f ca="1">IF(AND($B$294=1,LEN($AL$185) * LEN($AL$177)&gt;0),$AL$185/$AL$177*100,HLOOKUP(INDIRECT(ADDRESS(2,COLUMN())),OFFSET($AT$2,0,0,ROW()-1,40),ROW()-1,FALSE))</f>
        <v>10.673400669999999</v>
      </c>
      <c r="AM37">
        <f ca="1">IF(AND($B$294=1,LEN($AM$185) * LEN($AM$177)&gt;0),$AM$185/$AM$177*100,HLOOKUP(INDIRECT(ADDRESS(2,COLUMN())),OFFSET($AT$2,0,0,ROW()-1,40),ROW()-1,FALSE))</f>
        <v>12.433085820000001</v>
      </c>
      <c r="AN37">
        <f ca="1">IF(AND($B$294=1,LEN($AN$185) * LEN($AN$177)&gt;0),$AN$185/$AN$177*100,HLOOKUP(INDIRECT(ADDRESS(2,COLUMN())),OFFSET($AT$2,0,0,ROW()-1,40),ROW()-1,FALSE))</f>
        <v>9.735232474</v>
      </c>
      <c r="AO37">
        <f ca="1">IF(AND($B$294=1,LEN($AO$185) * LEN($AO$177)&gt;0),$AO$185/$AO$177*100,HLOOKUP(INDIRECT(ADDRESS(2,COLUMN())),OFFSET($AT$2,0,0,ROW()-1,40),ROW()-1,FALSE))</f>
        <v>10.612953429999999</v>
      </c>
      <c r="AP37">
        <f ca="1">IF(AND($B$294=1,LEN($AP$185) * LEN($AP$177)&gt;0),$AP$185/$AP$177*100,HLOOKUP(INDIRECT(ADDRESS(2,COLUMN())),OFFSET($AT$2,0,0,ROW()-1,40),ROW()-1,FALSE))</f>
        <v>15.949527959999999</v>
      </c>
      <c r="AQ37">
        <f ca="1">IF(AND($B$294=1,LEN($AQ$185) * LEN($AQ$177)&gt;0),$AQ$185/$AQ$177*100,HLOOKUP(INDIRECT(ADDRESS(2,COLUMN())),OFFSET($AT$2,0,0,ROW()-1,40),ROW()-1,FALSE))</f>
        <v>14.403825080000001</v>
      </c>
      <c r="AR37">
        <f ca="1">IF(AND($B$294=1,LEN($AR$185) * LEN($AR$177)&gt;0),$AR$185/$AR$177*100,HLOOKUP(INDIRECT(ADDRESS(2,COLUMN())),OFFSET($AT$2,0,0,ROW()-1,40),ROW()-1,FALSE))</f>
        <v>14.07245122</v>
      </c>
      <c r="AS37">
        <f ca="1">IF(AND($B$294=1,LEN($AS$185) * LEN($AS$177)&gt;0),$AS$185/$AS$177*100,HLOOKUP(INDIRECT(ADDRESS(2,COLUMN())),OFFSET($AT$2,0,0,ROW()-1,40),ROW()-1,FALSE))</f>
        <v>16.431650080000001</v>
      </c>
      <c r="AT37">
        <f>15.62360553</f>
        <v>15.623605530000001</v>
      </c>
      <c r="AU37">
        <f>11.29223977</f>
        <v>11.29223977</v>
      </c>
      <c r="AV37">
        <f>16.02586508</f>
        <v>16.025865079999999</v>
      </c>
      <c r="AW37">
        <f>10.60912711</f>
        <v>10.609127109999999</v>
      </c>
      <c r="AX37">
        <f>9.878682842</f>
        <v>9.8786828419999999</v>
      </c>
      <c r="AY37">
        <f>9.4596258</f>
        <v>9.4596257999999995</v>
      </c>
      <c r="AZ37">
        <f>11.09424689</f>
        <v>11.094246890000001</v>
      </c>
      <c r="BA37">
        <f>9.599134726</f>
        <v>9.5991347260000008</v>
      </c>
      <c r="BB37">
        <f>11.66071429</f>
        <v>11.66071429</v>
      </c>
      <c r="BC37">
        <f>11.81469298</f>
        <v>11.81469298</v>
      </c>
      <c r="BD37">
        <f>8.119521403</f>
        <v>8.1195214030000002</v>
      </c>
      <c r="BE37">
        <f>10.16997777</f>
        <v>10.169977769999999</v>
      </c>
      <c r="BF37">
        <f>16.06697019</f>
        <v>16.066970189999999</v>
      </c>
      <c r="BG37">
        <f>10.74291823</f>
        <v>10.742918230000001</v>
      </c>
      <c r="BH37">
        <f>12.09568319</f>
        <v>12.095683190000001</v>
      </c>
      <c r="BI37">
        <f>9.059282925</f>
        <v>9.0592829249999998</v>
      </c>
      <c r="BJ37">
        <f>8.455922415</f>
        <v>8.4559224149999999</v>
      </c>
      <c r="BK37">
        <f>10.06816081</f>
        <v>10.06816081</v>
      </c>
      <c r="BL37">
        <f>11.3809896</f>
        <v>11.380989599999999</v>
      </c>
      <c r="BM37">
        <f>11.75002496</f>
        <v>11.750024959999999</v>
      </c>
      <c r="BN37">
        <f>9.441924918</f>
        <v>9.4419249179999998</v>
      </c>
      <c r="BO37">
        <f>16.33331243</f>
        <v>16.333312429999999</v>
      </c>
      <c r="BP37">
        <f>10.42699658</f>
        <v>10.426996580000001</v>
      </c>
      <c r="BQ37">
        <f>7.394292856</f>
        <v>7.3942928559999999</v>
      </c>
      <c r="BR37">
        <f>11.19131699</f>
        <v>11.191316990000001</v>
      </c>
      <c r="BS37">
        <f>10.91619792</f>
        <v>10.91619792</v>
      </c>
      <c r="BT37">
        <f>10.94595209</f>
        <v>10.94595209</v>
      </c>
      <c r="BU37">
        <f>12.58977428</f>
        <v>12.58977428</v>
      </c>
      <c r="BV37">
        <f>13.16328944</f>
        <v>13.16328944</v>
      </c>
      <c r="BW37">
        <f>11.16432623</f>
        <v>11.16432623</v>
      </c>
      <c r="BX37">
        <f>12.5847189</f>
        <v>12.5847189</v>
      </c>
      <c r="BY37">
        <f>14.89722707</f>
        <v>14.89722707</v>
      </c>
      <c r="BZ37">
        <f>10.67340067</f>
        <v>10.673400669999999</v>
      </c>
      <c r="CA37">
        <f>12.43308582</f>
        <v>12.433085820000001</v>
      </c>
      <c r="CB37">
        <f>9.735232474</f>
        <v>9.735232474</v>
      </c>
      <c r="CC37">
        <f>10.61295343</f>
        <v>10.612953429999999</v>
      </c>
      <c r="CD37">
        <f>15.94952796</f>
        <v>15.949527959999999</v>
      </c>
      <c r="CE37">
        <f>14.40382508</f>
        <v>14.403825080000001</v>
      </c>
      <c r="CF37">
        <f>14.07245122</f>
        <v>14.07245122</v>
      </c>
      <c r="CG37">
        <f>16.43165008</f>
        <v>16.431650080000001</v>
      </c>
    </row>
    <row r="38" spans="1:85" x14ac:dyDescent="0.25">
      <c r="A38" t="str">
        <f>"    Other"</f>
        <v xml:space="preserve">    Other</v>
      </c>
      <c r="B38" t="str">
        <f>""</f>
        <v/>
      </c>
      <c r="E38" t="str">
        <f>"Expression"</f>
        <v>Expression</v>
      </c>
      <c r="F38">
        <f ca="1">IF(AND($B$294=1,LEN($F$186) * LEN($F$177)&gt;0),$F$186/$F$177*100,HLOOKUP(INDIRECT(ADDRESS(2,COLUMN())),OFFSET($AT$2,0,0,ROW()-1,40),ROW()-1,FALSE))</f>
        <v>6.6934404000000003E-2</v>
      </c>
      <c r="G38">
        <f ca="1">IF(AND($B$294=1,LEN($G$186) * LEN($G$177)&gt;0),$G$186/$G$177*100,HLOOKUP(INDIRECT(ADDRESS(2,COLUMN())),OFFSET($AT$2,0,0,ROW()-1,40),ROW()-1,FALSE))</f>
        <v>0.10188487</v>
      </c>
      <c r="H38">
        <f ca="1">IF(AND($B$294=1,LEN($H$186) * LEN($H$177)&gt;0),$H$186/$H$177*100,HLOOKUP(INDIRECT(ADDRESS(2,COLUMN())),OFFSET($AT$2,0,0,ROW()-1,40),ROW()-1,FALSE))</f>
        <v>0.122334848</v>
      </c>
      <c r="I38">
        <f ca="1">IF(AND($B$294=1,LEN($I$186) * LEN($I$177)&gt;0),$I$186/$I$177*100,HLOOKUP(INDIRECT(ADDRESS(2,COLUMN())),OFFSET($AT$2,0,0,ROW()-1,40),ROW()-1,FALSE))</f>
        <v>0.13710256600000001</v>
      </c>
      <c r="J38">
        <f ca="1">IF(AND($B$294=1,LEN($J$186) * LEN($J$177)&gt;0),$J$186/$J$177*100,HLOOKUP(INDIRECT(ADDRESS(2,COLUMN())),OFFSET($AT$2,0,0,ROW()-1,40),ROW()-1,FALSE))</f>
        <v>0.12709416500000001</v>
      </c>
      <c r="K38">
        <f ca="1">IF(AND($B$294=1,LEN($K$186) * LEN($K$177)&gt;0),$K$186/$K$177*100,HLOOKUP(INDIRECT(ADDRESS(2,COLUMN())),OFFSET($AT$2,0,0,ROW()-1,40),ROW()-1,FALSE))</f>
        <v>6.7700640000000006E-2</v>
      </c>
      <c r="L38">
        <f ca="1">IF(AND($B$294=1,LEN($L$186) * LEN($L$177)&gt;0),$L$186/$L$177*100,HLOOKUP(INDIRECT(ADDRESS(2,COLUMN())),OFFSET($AT$2,0,0,ROW()-1,40),ROW()-1,FALSE))</f>
        <v>6.5047701999999999E-2</v>
      </c>
      <c r="M38">
        <f ca="1">IF(AND($B$294=1,LEN($M$186) * LEN($M$177)&gt;0),$M$186/$M$177*100,HLOOKUP(INDIRECT(ADDRESS(2,COLUMN())),OFFSET($AT$2,0,0,ROW()-1,40),ROW()-1,FALSE))</f>
        <v>1.3519908000000001E-2</v>
      </c>
      <c r="N38">
        <f ca="1">IF(AND($B$294=1,LEN($N$186) * LEN($N$177)&gt;0),$N$186/$N$177*100,HLOOKUP(INDIRECT(ADDRESS(2,COLUMN())),OFFSET($AT$2,0,0,ROW()-1,40),ROW()-1,FALSE))</f>
        <v>2.6785713999999999E-2</v>
      </c>
      <c r="O38">
        <f ca="1">IF(AND($B$294=1,LEN($O$186) * LEN($O$177)&gt;0),$O$186/$O$177*100,HLOOKUP(INDIRECT(ADDRESS(2,COLUMN())),OFFSET($AT$2,0,0,ROW()-1,40),ROW()-1,FALSE))</f>
        <v>3.6549708E-2</v>
      </c>
      <c r="P38">
        <f ca="1">IF(AND($B$294=1,LEN($P$186) * LEN($P$177)&gt;0),$P$186/$P$177*100,HLOOKUP(INDIRECT(ADDRESS(2,COLUMN())),OFFSET($AT$2,0,0,ROW()-1,40),ROW()-1,FALSE))</f>
        <v>5.1186896000000003E-2</v>
      </c>
      <c r="Q38">
        <f ca="1">IF(AND($B$294=1,LEN($Q$186) * LEN($Q$177)&gt;0),$Q$186/$Q$177*100,HLOOKUP(INDIRECT(ADDRESS(2,COLUMN())),OFFSET($AT$2,0,0,ROW()-1,40),ROW()-1,FALSE))</f>
        <v>7.1720576999999994E-2</v>
      </c>
      <c r="R38">
        <f ca="1">IF(AND($B$294=1,LEN($R$186) * LEN($R$177)&gt;0),$R$186/$R$177*100,HLOOKUP(INDIRECT(ADDRESS(2,COLUMN())),OFFSET($AT$2,0,0,ROW()-1,40),ROW()-1,FALSE))</f>
        <v>2.2029666999999999E-2</v>
      </c>
      <c r="S38">
        <f ca="1">IF(AND($B$294=1,LEN($S$186) * LEN($S$177)&gt;0),$S$186/$S$177*100,HLOOKUP(INDIRECT(ADDRESS(2,COLUMN())),OFFSET($AT$2,0,0,ROW()-1,40),ROW()-1,FALSE))</f>
        <v>0.16034206300000001</v>
      </c>
      <c r="T38">
        <f ca="1">IF(AND($B$294=1,LEN($T$186) * LEN($T$177)&gt;0),$T$186/$T$177*100,HLOOKUP(INDIRECT(ADDRESS(2,COLUMN())),OFFSET($AT$2,0,0,ROW()-1,40),ROW()-1,FALSE))</f>
        <v>0.110687492</v>
      </c>
      <c r="U38">
        <f ca="1">IF(AND($B$294=1,LEN($U$186) * LEN($U$177)&gt;0),$U$186/$U$177*100,HLOOKUP(INDIRECT(ADDRESS(2,COLUMN())),OFFSET($AT$2,0,0,ROW()-1,40),ROW()-1,FALSE))</f>
        <v>7.8097266999999998E-2</v>
      </c>
      <c r="V38">
        <f ca="1">IF(AND($B$294=1,LEN($V$186) * LEN($V$177)&gt;0),$V$186/$V$177*100,HLOOKUP(INDIRECT(ADDRESS(2,COLUMN())),OFFSET($AT$2,0,0,ROW()-1,40),ROW()-1,FALSE))</f>
        <v>0.16345210900000001</v>
      </c>
      <c r="W38">
        <f ca="1">IF(AND($B$294=1,LEN($W$186) * LEN($W$177)&gt;0),$W$186/$W$177*100,HLOOKUP(INDIRECT(ADDRESS(2,COLUMN())),OFFSET($AT$2,0,0,ROW()-1,40),ROW()-1,FALSE))</f>
        <v>5.1987061000000001E-2</v>
      </c>
      <c r="X38">
        <f ca="1">IF(AND($B$294=1,LEN($X$186) * LEN($X$177)&gt;0),$X$186/$X$177*100,HLOOKUP(INDIRECT(ADDRESS(2,COLUMN())),OFFSET($AT$2,0,0,ROW()-1,40),ROW()-1,FALSE))</f>
        <v>4.2085011999999998E-2</v>
      </c>
      <c r="Y38">
        <f ca="1">IF(AND($B$294=1,LEN($Y$186) * LEN($Y$177)&gt;0),$Y$186/$Y$177*100,HLOOKUP(INDIRECT(ADDRESS(2,COLUMN())),OFFSET($AT$2,0,0,ROW()-1,40),ROW()-1,FALSE))</f>
        <v>1.9966057999999998E-2</v>
      </c>
      <c r="Z38">
        <f ca="1">IF(AND($B$294=1,LEN($Z$186) * LEN($Z$177)&gt;0),$Z$186/$Z$177*100,HLOOKUP(INDIRECT(ADDRESS(2,COLUMN())),OFFSET($AT$2,0,0,ROW()-1,40),ROW()-1,FALSE))</f>
        <v>0</v>
      </c>
      <c r="AA38">
        <f ca="1">IF(AND($B$294=1,LEN($AA$186) * LEN($AA$177)&gt;0),$AA$186/$AA$177*100,HLOOKUP(INDIRECT(ADDRESS(2,COLUMN())),OFFSET($AT$2,0,0,ROW()-1,40),ROW()-1,FALSE))</f>
        <v>2.5079942000000001E-2</v>
      </c>
      <c r="AB38">
        <f ca="1">IF(AND($B$294=1,LEN($AB$186) * LEN($AB$177)&gt;0),$AB$186/$AB$177*100,HLOOKUP(INDIRECT(ADDRESS(2,COLUMN())),OFFSET($AT$2,0,0,ROW()-1,40),ROW()-1,FALSE))</f>
        <v>1.4441824000000001E-2</v>
      </c>
      <c r="AC38">
        <f ca="1">IF(AND($B$294=1,LEN($AC$186) * LEN($AC$177)&gt;0),$AC$186/$AC$177*100,HLOOKUP(INDIRECT(ADDRESS(2,COLUMN())),OFFSET($AT$2,0,0,ROW()-1,40),ROW()-1,FALSE))</f>
        <v>1.0414497E-2</v>
      </c>
      <c r="AD38">
        <f ca="1">IF(AND($B$294=1,LEN($AD$186) * LEN($AD$177)&gt;0),$AD$186/$AD$177*100,HLOOKUP(INDIRECT(ADDRESS(2,COLUMN())),OFFSET($AT$2,0,0,ROW()-1,40),ROW()-1,FALSE))</f>
        <v>2.5965933E-2</v>
      </c>
      <c r="AE38">
        <f ca="1">IF(AND($B$294=1,LEN($AE$186) * LEN($AE$177)&gt;0),$AE$186/$AE$177*100,HLOOKUP(INDIRECT(ADDRESS(2,COLUMN())),OFFSET($AT$2,0,0,ROW()-1,40),ROW()-1,FALSE))</f>
        <v>1.9067595E-2</v>
      </c>
      <c r="AF38">
        <f ca="1">IF(AND($B$294=1,LEN($AF$186) * LEN($AF$177)&gt;0),$AF$186/$AF$177*100,HLOOKUP(INDIRECT(ADDRESS(2,COLUMN())),OFFSET($AT$2,0,0,ROW()-1,40),ROW()-1,FALSE))</f>
        <v>6.8184916999999998E-2</v>
      </c>
      <c r="AG38">
        <f ca="1">IF(AND($B$294=1,LEN($AG$186) * LEN($AG$177)&gt;0),$AG$186/$AG$177*100,HLOOKUP(INDIRECT(ADDRESS(2,COLUMN())),OFFSET($AT$2,0,0,ROW()-1,40),ROW()-1,FALSE))</f>
        <v>5.5574554999999998E-2</v>
      </c>
      <c r="AH38">
        <f ca="1">IF(AND($B$294=1,LEN($AH$186) * LEN($AH$177)&gt;0),$AH$186/$AH$177*100,HLOOKUP(INDIRECT(ADDRESS(2,COLUMN())),OFFSET($AT$2,0,0,ROW()-1,40),ROW()-1,FALSE))</f>
        <v>5.9134274000000001E-2</v>
      </c>
      <c r="AI38">
        <f ca="1">IF(AND($B$294=1,LEN($AI$186) * LEN($AI$177)&gt;0),$AI$186/$AI$177*100,HLOOKUP(INDIRECT(ADDRESS(2,COLUMN())),OFFSET($AT$2,0,0,ROW()-1,40),ROW()-1,FALSE))</f>
        <v>1.8599461000000001E-2</v>
      </c>
      <c r="AJ38">
        <f ca="1">IF(AND($B$294=1,LEN($AJ$186) * LEN($AJ$177)&gt;0),$AJ$186/$AJ$177*100,HLOOKUP(INDIRECT(ADDRESS(2,COLUMN())),OFFSET($AT$2,0,0,ROW()-1,40),ROW()-1,FALSE))</f>
        <v>2.9255448999999999E-2</v>
      </c>
      <c r="AK38">
        <f ca="1">IF(AND($B$294=1,LEN($AK$186) * LEN($AK$177)&gt;0),$AK$186/$AK$177*100,HLOOKUP(INDIRECT(ADDRESS(2,COLUMN())),OFFSET($AT$2,0,0,ROW()-1,40),ROW()-1,FALSE))</f>
        <v>4.8477800000000003E-3</v>
      </c>
      <c r="AL38">
        <f ca="1">IF(AND($B$294=1,LEN($AL$186) * LEN($AL$177)&gt;0),$AL$186/$AL$177*100,HLOOKUP(INDIRECT(ADDRESS(2,COLUMN())),OFFSET($AT$2,0,0,ROW()-1,40),ROW()-1,FALSE))</f>
        <v>5.6116719999999998E-3</v>
      </c>
      <c r="AM38">
        <f ca="1">IF(AND($B$294=1,LEN($AM$186) * LEN($AM$177)&gt;0),$AM$186/$AM$177*100,HLOOKUP(INDIRECT(ADDRESS(2,COLUMN())),OFFSET($AT$2,0,0,ROW()-1,40),ROW()-1,FALSE))</f>
        <v>1.7268175E-2</v>
      </c>
      <c r="AN38">
        <f ca="1">IF(AND($B$294=1,LEN($AN$186) * LEN($AN$177)&gt;0),$AN$186/$AN$177*100,HLOOKUP(INDIRECT(ADDRESS(2,COLUMN())),OFFSET($AT$2,0,0,ROW()-1,40),ROW()-1,FALSE))</f>
        <v>4.2773430000000003E-3</v>
      </c>
      <c r="AO38">
        <f ca="1">IF(AND($B$294=1,LEN($AO$186) * LEN($AO$177)&gt;0),$AO$186/$AO$177*100,HLOOKUP(INDIRECT(ADDRESS(2,COLUMN())),OFFSET($AT$2,0,0,ROW()-1,40),ROW()-1,FALSE))</f>
        <v>4.1901112999999997E-2</v>
      </c>
      <c r="AP38">
        <f ca="1">IF(AND($B$294=1,LEN($AP$186) * LEN($AP$177)&gt;0),$AP$186/$AP$177*100,HLOOKUP(INDIRECT(ADDRESS(2,COLUMN())),OFFSET($AT$2,0,0,ROW()-1,40),ROW()-1,FALSE))</f>
        <v>1.3616558000000001E-2</v>
      </c>
      <c r="AQ38">
        <f ca="1">IF(AND($B$294=1,LEN($AQ$186) * LEN($AQ$177)&gt;0),$AQ$186/$AQ$177*100,HLOOKUP(INDIRECT(ADDRESS(2,COLUMN())),OFFSET($AT$2,0,0,ROW()-1,40),ROW()-1,FALSE))</f>
        <v>2.4902878999999999E-2</v>
      </c>
      <c r="AR38">
        <f ca="1">IF(AND($B$294=1,LEN($AR$186) * LEN($AR$177)&gt;0),$AR$186/$AR$177*100,HLOOKUP(INDIRECT(ADDRESS(2,COLUMN())),OFFSET($AT$2,0,0,ROW()-1,40),ROW()-1,FALSE))</f>
        <v>5.6045244000000001E-2</v>
      </c>
      <c r="AS38">
        <f ca="1">IF(AND($B$294=1,LEN($AS$186) * LEN($AS$177)&gt;0),$AS$186/$AS$177*100,HLOOKUP(INDIRECT(ADDRESS(2,COLUMN())),OFFSET($AT$2,0,0,ROW()-1,40),ROW()-1,FALSE))</f>
        <v>6.3853563000000002E-2</v>
      </c>
      <c r="AT38">
        <f>0.066934404</f>
        <v>6.6934404000000003E-2</v>
      </c>
      <c r="AU38">
        <f>0.10188487</f>
        <v>0.10188487</v>
      </c>
      <c r="AV38">
        <f>0.122334848</f>
        <v>0.122334848</v>
      </c>
      <c r="AW38">
        <f>0.137102566</f>
        <v>0.13710256600000001</v>
      </c>
      <c r="AX38">
        <f>0.127094165</f>
        <v>0.12709416500000001</v>
      </c>
      <c r="AY38">
        <f>0.06770064</f>
        <v>6.7700640000000006E-2</v>
      </c>
      <c r="AZ38">
        <f>0.065047702</f>
        <v>6.5047701999999999E-2</v>
      </c>
      <c r="BA38">
        <f>0.013519908</f>
        <v>1.3519908000000001E-2</v>
      </c>
      <c r="BB38">
        <f>0.026785714</f>
        <v>2.6785713999999999E-2</v>
      </c>
      <c r="BC38">
        <f>0.036549708</f>
        <v>3.6549708E-2</v>
      </c>
      <c r="BD38">
        <f>0.051186896</f>
        <v>5.1186896000000003E-2</v>
      </c>
      <c r="BE38">
        <f>0.071720577</f>
        <v>7.1720576999999994E-2</v>
      </c>
      <c r="BF38">
        <f>0.022029667</f>
        <v>2.2029666999999999E-2</v>
      </c>
      <c r="BG38">
        <f>0.160342063</f>
        <v>0.16034206300000001</v>
      </c>
      <c r="BH38">
        <f>0.110687492</f>
        <v>0.110687492</v>
      </c>
      <c r="BI38">
        <f>0.078097267</f>
        <v>7.8097266999999998E-2</v>
      </c>
      <c r="BJ38">
        <f>0.163452109</f>
        <v>0.16345210900000001</v>
      </c>
      <c r="BK38">
        <f>0.051987061</f>
        <v>5.1987061000000001E-2</v>
      </c>
      <c r="BL38">
        <f>0.042085012</f>
        <v>4.2085011999999998E-2</v>
      </c>
      <c r="BM38">
        <f>0.019966058</f>
        <v>1.9966057999999998E-2</v>
      </c>
      <c r="BN38">
        <f>0</f>
        <v>0</v>
      </c>
      <c r="BO38">
        <f>0.025079942</f>
        <v>2.5079942000000001E-2</v>
      </c>
      <c r="BP38">
        <f>0.014441824</f>
        <v>1.4441824000000001E-2</v>
      </c>
      <c r="BQ38">
        <f>0.010414497</f>
        <v>1.0414497E-2</v>
      </c>
      <c r="BR38">
        <f>0.025965933</f>
        <v>2.5965933E-2</v>
      </c>
      <c r="BS38">
        <f>0.019067595</f>
        <v>1.9067595E-2</v>
      </c>
      <c r="BT38">
        <f>0.068184917</f>
        <v>6.8184916999999998E-2</v>
      </c>
      <c r="BU38">
        <f>0.055574555</f>
        <v>5.5574554999999998E-2</v>
      </c>
      <c r="BV38">
        <f>0.059134274</f>
        <v>5.9134274000000001E-2</v>
      </c>
      <c r="BW38">
        <f>0.018599461</f>
        <v>1.8599461000000001E-2</v>
      </c>
      <c r="BX38">
        <f>0.029255449</f>
        <v>2.9255448999999999E-2</v>
      </c>
      <c r="BY38">
        <f>0.00484778</f>
        <v>4.8477800000000003E-3</v>
      </c>
      <c r="BZ38">
        <f>0.005611672</f>
        <v>5.6116719999999998E-3</v>
      </c>
      <c r="CA38">
        <f>0.017268175</f>
        <v>1.7268175E-2</v>
      </c>
      <c r="CB38">
        <f>0.004277343</f>
        <v>4.2773430000000003E-3</v>
      </c>
      <c r="CC38">
        <f>0.041901113</f>
        <v>4.1901112999999997E-2</v>
      </c>
      <c r="CD38">
        <f>0.013616558</f>
        <v>1.3616558000000001E-2</v>
      </c>
      <c r="CE38">
        <f>0.024902879</f>
        <v>2.4902878999999999E-2</v>
      </c>
      <c r="CF38">
        <f>0.056045244</f>
        <v>5.6045244000000001E-2</v>
      </c>
      <c r="CG38">
        <f>0.063853563</f>
        <v>6.3853563000000002E-2</v>
      </c>
    </row>
    <row r="39" spans="1:85" x14ac:dyDescent="0.25">
      <c r="A39" t="str">
        <f>"Canada (Class 8)"</f>
        <v>Canada (Class 8)</v>
      </c>
      <c r="B39" t="str">
        <f>"TRCKCA8S Index"</f>
        <v>TRCKCA8S Index</v>
      </c>
      <c r="E39" t="str">
        <f>"Sum"</f>
        <v>Sum</v>
      </c>
      <c r="F39">
        <f ca="1">IF(ISERROR(IF(SUM($F$40,$F$44,$F$47,$F$50) = 0, "", SUM($F$40,$F$44,$F$47,$F$50))), "", (IF(SUM($F$40,$F$44,$F$47,$F$50) = 0, "", SUM($F$40,$F$44,$F$47,$F$50))))</f>
        <v>99.999999998000007</v>
      </c>
      <c r="G39">
        <f ca="1">IF(ISERROR(IF(SUM($G$40,$G$44,$G$47,$G$50) = 0, "", SUM($G$40,$G$44,$G$47,$G$50))), "", (IF(SUM($G$40,$G$44,$G$47,$G$50) = 0, "", SUM($G$40,$G$44,$G$47,$G$50))))</f>
        <v>99.99999999000002</v>
      </c>
      <c r="H39">
        <f ca="1">IF(ISERROR(IF(SUM($H$40,$H$44,$H$47,$H$50) = 0, "", SUM($H$40,$H$44,$H$47,$H$50))), "", (IF(SUM($H$40,$H$44,$H$47,$H$50) = 0, "", SUM($H$40,$H$44,$H$47,$H$50))))</f>
        <v>100</v>
      </c>
      <c r="I39">
        <f ca="1">IF(ISERROR(IF(SUM($I$40,$I$44,$I$47,$I$50) = 0, "", SUM($I$40,$I$44,$I$47,$I$50))), "", (IF(SUM($I$40,$I$44,$I$47,$I$50) = 0, "", SUM($I$40,$I$44,$I$47,$I$50))))</f>
        <v>100.000000009</v>
      </c>
      <c r="J39">
        <f ca="1">IF(ISERROR(IF(SUM($J$40,$J$44,$J$47,$J$50) = 0, "", SUM($J$40,$J$44,$J$47,$J$50))), "", (IF(SUM($J$40,$J$44,$J$47,$J$50) = 0, "", SUM($J$40,$J$44,$J$47,$J$50))))</f>
        <v>100.000000009</v>
      </c>
      <c r="K39">
        <f ca="1">IF(ISERROR(IF(SUM($K$40,$K$44,$K$47,$K$50) = 0, "", SUM($K$40,$K$44,$K$47,$K$50))), "", (IF(SUM($K$40,$K$44,$K$47,$K$50) = 0, "", SUM($K$40,$K$44,$K$47,$K$50))))</f>
        <v>99.999999991999999</v>
      </c>
      <c r="L39">
        <f ca="1">IF(ISERROR(IF(SUM($L$40,$L$44,$L$47,$L$50) = 0, "", SUM($L$40,$L$44,$L$47,$L$50))), "", (IF(SUM($L$40,$L$44,$L$47,$L$50) = 0, "", SUM($L$40,$L$44,$L$47,$L$50))))</f>
        <v>99.999999993000003</v>
      </c>
      <c r="M39">
        <f ca="1">IF(ISERROR(IF(SUM($M$40,$M$44,$M$47,$M$50) = 0, "", SUM($M$40,$M$44,$M$47,$M$50))), "", (IF(SUM($M$40,$M$44,$M$47,$M$50) = 0, "", SUM($M$40,$M$44,$M$47,$M$50))))</f>
        <v>100.00000000300001</v>
      </c>
      <c r="N39">
        <f ca="1">IF(ISERROR(IF(SUM($N$40,$N$44,$N$47,$N$50) = 0, "", SUM($N$40,$N$44,$N$47,$N$50))), "", (IF(SUM($N$40,$N$44,$N$47,$N$50) = 0, "", SUM($N$40,$N$44,$N$47,$N$50))))</f>
        <v>100.00000000000001</v>
      </c>
      <c r="O39">
        <f ca="1">IF(ISERROR(IF(SUM($O$40,$O$44,$O$47,$O$50) = 0, "", SUM($O$40,$O$44,$O$47,$O$50))), "", (IF(SUM($O$40,$O$44,$O$47,$O$50) = 0, "", SUM($O$40,$O$44,$O$47,$O$50))))</f>
        <v>100.00000000000001</v>
      </c>
      <c r="P39">
        <f ca="1">IF(ISERROR(IF(SUM($P$40,$P$44,$P$47,$P$50) = 0, "", SUM($P$40,$P$44,$P$47,$P$50))), "", (IF(SUM($P$40,$P$44,$P$47,$P$50) = 0, "", SUM($P$40,$P$44,$P$47,$P$50))))</f>
        <v>99.999999989999992</v>
      </c>
      <c r="Q39">
        <f ca="1">IF(ISERROR(IF(SUM($Q$40,$Q$44,$Q$47,$Q$50) = 0, "", SUM($Q$40,$Q$44,$Q$47,$Q$50))), "", (IF(SUM($Q$40,$Q$44,$Q$47,$Q$50) = 0, "", SUM($Q$40,$Q$44,$Q$47,$Q$50))))</f>
        <v>100.000000008</v>
      </c>
      <c r="R39">
        <f ca="1">IF(ISERROR(IF(SUM($R$40,$R$44,$R$47,$R$50) = 0, "", SUM($R$40,$R$44,$R$47,$R$50))), "", (IF(SUM($R$40,$R$44,$R$47,$R$50) = 0, "", SUM($R$40,$R$44,$R$47,$R$50))))</f>
        <v>99.999999992999989</v>
      </c>
      <c r="S39">
        <f ca="1">IF(ISERROR(IF(SUM($S$40,$S$44,$S$47,$S$50) = 0, "", SUM($S$40,$S$44,$S$47,$S$50))), "", (IF(SUM($S$40,$S$44,$S$47,$S$50) = 0, "", SUM($S$40,$S$44,$S$47,$S$50))))</f>
        <v>100.00000000600001</v>
      </c>
      <c r="T39">
        <f ca="1">IF(ISERROR(IF(SUM($T$40,$T$44,$T$47,$T$50) = 0, "", SUM($T$40,$T$44,$T$47,$T$50))), "", (IF(SUM($T$40,$T$44,$T$47,$T$50) = 0, "", SUM($T$40,$T$44,$T$47,$T$50))))</f>
        <v>99.999999999999986</v>
      </c>
      <c r="U39">
        <f ca="1">IF(ISERROR(IF(SUM($U$40,$U$44,$U$47,$U$50) = 0, "", SUM($U$40,$U$44,$U$47,$U$50))), "", (IF(SUM($U$40,$U$44,$U$47,$U$50) = 0, "", SUM($U$40,$U$44,$U$47,$U$50))))</f>
        <v>99.999999999000011</v>
      </c>
      <c r="V39">
        <f ca="1">IF(ISERROR(IF(SUM($V$40,$V$44,$V$47,$V$50) = 0, "", SUM($V$40,$V$44,$V$47,$V$50))), "", (IF(SUM($V$40,$V$44,$V$47,$V$50) = 0, "", SUM($V$40,$V$44,$V$47,$V$50))))</f>
        <v>99.99999999500001</v>
      </c>
      <c r="W39">
        <f ca="1">IF(ISERROR(IF(SUM($W$40,$W$44,$W$47,$W$50) = 0, "", SUM($W$40,$W$44,$W$47,$W$50))), "", (IF(SUM($W$40,$W$44,$W$47,$W$50) = 0, "", SUM($W$40,$W$44,$W$47,$W$50))))</f>
        <v>100.00000000599999</v>
      </c>
      <c r="X39">
        <f ca="1">IF(ISERROR(IF(SUM($X$40,$X$44,$X$47,$X$50) = 0, "", SUM($X$40,$X$44,$X$47,$X$50))), "", (IF(SUM($X$40,$X$44,$X$47,$X$50) = 0, "", SUM($X$40,$X$44,$X$47,$X$50))))</f>
        <v>99.999999988000013</v>
      </c>
      <c r="Y39">
        <f ca="1">IF(ISERROR(IF(SUM($Y$40,$Y$44,$Y$47,$Y$50) = 0, "", SUM($Y$40,$Y$44,$Y$47,$Y$50))), "", (IF(SUM($Y$40,$Y$44,$Y$47,$Y$50) = 0, "", SUM($Y$40,$Y$44,$Y$47,$Y$50))))</f>
        <v>100.000000001</v>
      </c>
      <c r="Z39">
        <f ca="1">IF(ISERROR(IF(SUM($Z$40,$Z$44,$Z$47,$Z$50) = 0, "", SUM($Z$40,$Z$44,$Z$47,$Z$50))), "", (IF(SUM($Z$40,$Z$44,$Z$47,$Z$50) = 0, "", SUM($Z$40,$Z$44,$Z$47,$Z$50))))</f>
        <v>99.999999999999986</v>
      </c>
      <c r="AA39">
        <f ca="1">IF(ISERROR(IF(SUM($AA$40,$AA$44,$AA$47,$AA$50) = 0, "", SUM($AA$40,$AA$44,$AA$47,$AA$50))), "", (IF(SUM($AA$40,$AA$44,$AA$47,$AA$50) = 0, "", SUM($AA$40,$AA$44,$AA$47,$AA$50))))</f>
        <v>100.000000001</v>
      </c>
      <c r="AB39">
        <f ca="1">IF(ISERROR(IF(SUM($AB$40,$AB$44,$AB$47,$AB$50) = 0, "", SUM($AB$40,$AB$44,$AB$47,$AB$50))), "", (IF(SUM($AB$40,$AB$44,$AB$47,$AB$50) = 0, "", SUM($AB$40,$AB$44,$AB$47,$AB$50))))</f>
        <v>100.00000000000001</v>
      </c>
      <c r="AC39">
        <f ca="1">IF(ISERROR(IF(SUM($AC$40,$AC$44,$AC$47,$AC$50) = 0, "", SUM($AC$40,$AC$44,$AC$47,$AC$50))), "", (IF(SUM($AC$40,$AC$44,$AC$47,$AC$50) = 0, "", SUM($AC$40,$AC$44,$AC$47,$AC$50))))</f>
        <v>99.999999997000003</v>
      </c>
      <c r="AD39">
        <f ca="1">IF(ISERROR(IF(SUM($AD$40,$AD$44,$AD$47,$AD$50) = 0, "", SUM($AD$40,$AD$44,$AD$47,$AD$50))), "", (IF(SUM($AD$40,$AD$44,$AD$47,$AD$50) = 0, "", SUM($AD$40,$AD$44,$AD$47,$AD$50))))</f>
        <v>100.00000000200001</v>
      </c>
      <c r="AE39">
        <f ca="1">IF(ISERROR(IF(SUM($AE$40,$AE$44,$AE$47,$AE$50) = 0, "", SUM($AE$40,$AE$44,$AE$47,$AE$50))), "", (IF(SUM($AE$40,$AE$44,$AE$47,$AE$50) = 0, "", SUM($AE$40,$AE$44,$AE$47,$AE$50))))</f>
        <v>99.999999989999992</v>
      </c>
      <c r="AF39">
        <f ca="1">IF(ISERROR(IF(SUM($AF$40,$AF$44,$AF$47,$AF$50) = 0, "", SUM($AF$40,$AF$44,$AF$47,$AF$50))), "", (IF(SUM($AF$40,$AF$44,$AF$47,$AF$50) = 0, "", SUM($AF$40,$AF$44,$AF$47,$AF$50))))</f>
        <v>100.00000000400001</v>
      </c>
      <c r="AG39">
        <f ca="1">IF(ISERROR(IF(SUM($AG$40,$AG$44,$AG$47,$AG$50) = 0, "", SUM($AG$40,$AG$44,$AG$47,$AG$50))), "", (IF(SUM($AG$40,$AG$44,$AG$47,$AG$50) = 0, "", SUM($AG$40,$AG$44,$AG$47,$AG$50))))</f>
        <v>100.000000004</v>
      </c>
      <c r="AH39">
        <f ca="1">IF(ISERROR(IF(SUM($AH$40,$AH$44,$AH$47,$AH$50) = 0, "", SUM($AH$40,$AH$44,$AH$47,$AH$50))), "", (IF(SUM($AH$40,$AH$44,$AH$47,$AH$50) = 0, "", SUM($AH$40,$AH$44,$AH$47,$AH$50))))</f>
        <v>99.999999986000006</v>
      </c>
      <c r="AI39">
        <f ca="1">IF(ISERROR(IF(SUM($AI$40,$AI$44,$AI$47,$AI$50) = 0, "", SUM($AI$40,$AI$44,$AI$47,$AI$50))), "", (IF(SUM($AI$40,$AI$44,$AI$47,$AI$50) = 0, "", SUM($AI$40,$AI$44,$AI$47,$AI$50))))</f>
        <v>99.999999990999996</v>
      </c>
      <c r="AJ39">
        <f ca="1">IF(ISERROR(IF(SUM($AJ$40,$AJ$44,$AJ$47,$AJ$50) = 0, "", SUM($AJ$40,$AJ$44,$AJ$47,$AJ$50))), "", (IF(SUM($AJ$40,$AJ$44,$AJ$47,$AJ$50) = 0, "", SUM($AJ$40,$AJ$44,$AJ$47,$AJ$50))))</f>
        <v>99.999999999999986</v>
      </c>
      <c r="AK39">
        <f ca="1">IF(ISERROR(IF(SUM($AK$40,$AK$44,$AK$47,$AK$50) = 0, "", SUM($AK$40,$AK$44,$AK$47,$AK$50))), "", (IF(SUM($AK$40,$AK$44,$AK$47,$AK$50) = 0, "", SUM($AK$40,$AK$44,$AK$47,$AK$50))))</f>
        <v>99.99999999100001</v>
      </c>
      <c r="AL39">
        <f ca="1">IF(ISERROR(IF(SUM($AL$40,$AL$44,$AL$47,$AL$50) = 0, "", SUM($AL$40,$AL$44,$AL$47,$AL$50))), "", (IF(SUM($AL$40,$AL$44,$AL$47,$AL$50) = 0, "", SUM($AL$40,$AL$44,$AL$47,$AL$50))))</f>
        <v>99.999999990999996</v>
      </c>
      <c r="AM39">
        <f ca="1">IF(ISERROR(IF(SUM($AM$40,$AM$44,$AM$47,$AM$50) = 0, "", SUM($AM$40,$AM$44,$AM$47,$AM$50))), "", (IF(SUM($AM$40,$AM$44,$AM$47,$AM$50) = 0, "", SUM($AM$40,$AM$44,$AM$47,$AM$50))))</f>
        <v>100.00000001399999</v>
      </c>
      <c r="AN39">
        <f ca="1">IF(ISERROR(IF(SUM($AN$40,$AN$44,$AN$47,$AN$50) = 0, "", SUM($AN$40,$AN$44,$AN$47,$AN$50))), "", (IF(SUM($AN$40,$AN$44,$AN$47,$AN$50) = 0, "", SUM($AN$40,$AN$44,$AN$47,$AN$50))))</f>
        <v>100</v>
      </c>
      <c r="AO39">
        <f ca="1">IF(ISERROR(IF(SUM($AO$40,$AO$44,$AO$47,$AO$50) = 0, "", SUM($AO$40,$AO$44,$AO$47,$AO$50))), "", (IF(SUM($AO$40,$AO$44,$AO$47,$AO$50) = 0, "", SUM($AO$40,$AO$44,$AO$47,$AO$50))))</f>
        <v>100.000000004</v>
      </c>
      <c r="AP39">
        <f ca="1">IF(ISERROR(IF(SUM($AP$40,$AP$44,$AP$47,$AP$50) = 0, "", SUM($AP$40,$AP$44,$AP$47,$AP$50))), "", (IF(SUM($AP$40,$AP$44,$AP$47,$AP$50) = 0, "", SUM($AP$40,$AP$44,$AP$47,$AP$50))))</f>
        <v>99.999999987999999</v>
      </c>
      <c r="AQ39">
        <f ca="1">IF(ISERROR(IF(SUM($AQ$40,$AQ$44,$AQ$47,$AQ$50) = 0, "", SUM($AQ$40,$AQ$44,$AQ$47,$AQ$50))), "", (IF(SUM($AQ$40,$AQ$44,$AQ$47,$AQ$50) = 0, "", SUM($AQ$40,$AQ$44,$AQ$47,$AQ$50))))</f>
        <v>99.999999989000003</v>
      </c>
      <c r="AR39">
        <f ca="1">IF(ISERROR(IF(SUM($AR$40,$AR$44,$AR$47,$AR$50) = 0, "", SUM($AR$40,$AR$44,$AR$47,$AR$50))), "", (IF(SUM($AR$40,$AR$44,$AR$47,$AR$50) = 0, "", SUM($AR$40,$AR$44,$AR$47,$AR$50))))</f>
        <v>99.999999991999999</v>
      </c>
      <c r="AS39">
        <f ca="1">IF(ISERROR(IF(SUM($AS$40,$AS$44,$AS$47,$AS$50) = 0, "", SUM($AS$40,$AS$44,$AS$47,$AS$50))), "", (IF(SUM($AS$40,$AS$44,$AS$47,$AS$50) = 0, "", SUM($AS$40,$AS$44,$AS$47,$AS$50))))</f>
        <v>100.00000000300001</v>
      </c>
      <c r="AT39">
        <f>100</f>
        <v>100</v>
      </c>
      <c r="AU39">
        <f>100</f>
        <v>100</v>
      </c>
      <c r="AV39">
        <f>100</f>
        <v>100</v>
      </c>
      <c r="AW39">
        <f>100</f>
        <v>100</v>
      </c>
      <c r="AX39">
        <f>100</f>
        <v>100</v>
      </c>
      <c r="AY39">
        <f>100</f>
        <v>100</v>
      </c>
      <c r="AZ39">
        <f>100</f>
        <v>100</v>
      </c>
      <c r="BA39">
        <f>100</f>
        <v>100</v>
      </c>
      <c r="BB39">
        <f>100</f>
        <v>100</v>
      </c>
      <c r="BC39">
        <f>100</f>
        <v>100</v>
      </c>
      <c r="BD39">
        <f>100</f>
        <v>100</v>
      </c>
      <c r="BE39">
        <f>100</f>
        <v>100</v>
      </c>
      <c r="BF39">
        <f>100</f>
        <v>100</v>
      </c>
      <c r="BG39">
        <f>100</f>
        <v>100</v>
      </c>
      <c r="BH39">
        <f>100</f>
        <v>100</v>
      </c>
      <c r="BI39">
        <f>100</f>
        <v>100</v>
      </c>
      <c r="BJ39">
        <f>100</f>
        <v>100</v>
      </c>
      <c r="BK39">
        <f>100</f>
        <v>100</v>
      </c>
      <c r="BL39">
        <f>100</f>
        <v>100</v>
      </c>
      <c r="BM39">
        <f>100</f>
        <v>100</v>
      </c>
      <c r="BN39">
        <f>100</f>
        <v>100</v>
      </c>
      <c r="BO39">
        <f>100</f>
        <v>100</v>
      </c>
      <c r="BP39">
        <f>100</f>
        <v>100</v>
      </c>
      <c r="BQ39">
        <f>100</f>
        <v>100</v>
      </c>
      <c r="BR39">
        <f>100</f>
        <v>100</v>
      </c>
      <c r="BS39">
        <f>100</f>
        <v>100</v>
      </c>
      <c r="BT39">
        <f>100</f>
        <v>100</v>
      </c>
      <c r="BU39">
        <f>100</f>
        <v>100</v>
      </c>
      <c r="BV39">
        <f>100</f>
        <v>100</v>
      </c>
      <c r="BW39">
        <f>100</f>
        <v>100</v>
      </c>
      <c r="BX39">
        <f>100</f>
        <v>100</v>
      </c>
      <c r="BY39">
        <f>100</f>
        <v>100</v>
      </c>
      <c r="BZ39">
        <f>100</f>
        <v>100</v>
      </c>
      <c r="CA39">
        <f>100</f>
        <v>100</v>
      </c>
      <c r="CB39">
        <f>100</f>
        <v>100</v>
      </c>
      <c r="CC39">
        <f>100</f>
        <v>100</v>
      </c>
      <c r="CD39">
        <f>100</f>
        <v>100</v>
      </c>
      <c r="CE39">
        <f>100</f>
        <v>100</v>
      </c>
      <c r="CF39">
        <f>100</f>
        <v>100</v>
      </c>
      <c r="CG39">
        <f>100</f>
        <v>100</v>
      </c>
    </row>
    <row r="40" spans="1:85" x14ac:dyDescent="0.25">
      <c r="A40" t="str">
        <f>"    Daimler"</f>
        <v xml:space="preserve">    Daimler</v>
      </c>
      <c r="B40" t="str">
        <f>"DAI GR Equity"</f>
        <v>DAI GR Equity</v>
      </c>
      <c r="E40" t="str">
        <f>"Sum"</f>
        <v>Sum</v>
      </c>
      <c r="F40">
        <f ca="1">IF(ISERROR(IF(SUM($F$41:$F$43) = 0, "", SUM($F$41:$F$43))), "", (IF(SUM($F$41:$F$43) = 0, "", SUM($F$41:$F$43))))</f>
        <v>36.116219199</v>
      </c>
      <c r="G40">
        <f ca="1">IF(ISERROR(IF(SUM($G$41:$G$43) = 0, "", SUM($G$41:$G$43))), "", (IF(SUM($G$41:$G$43) = 0, "", SUM($G$41:$G$43))))</f>
        <v>38.046166532000001</v>
      </c>
      <c r="H40">
        <f ca="1">IF(ISERROR(IF(SUM($H$41:$H$43) = 0, "", SUM($H$41:$H$43))), "", (IF(SUM($H$41:$H$43) = 0, "", SUM($H$41:$H$43))))</f>
        <v>34.470377020000001</v>
      </c>
      <c r="I40">
        <f ca="1">IF(ISERROR(IF(SUM($I$41:$I$43) = 0, "", SUM($I$41:$I$43))), "", (IF(SUM($I$41:$I$43) = 0, "", SUM($I$41:$I$43))))</f>
        <v>35.570469799999998</v>
      </c>
      <c r="J40">
        <f ca="1">IF(ISERROR(IF(SUM($J$41:$J$43) = 0, "", SUM($J$41:$J$43))), "", (IF(SUM($J$41:$J$43) = 0, "", SUM($J$41:$J$43))))</f>
        <v>37.610976598999997</v>
      </c>
      <c r="K40">
        <f ca="1">IF(ISERROR(IF(SUM($K$41:$K$43) = 0, "", SUM($K$41:$K$43))), "", (IF(SUM($K$41:$K$43) = 0, "", SUM($K$41:$K$43))))</f>
        <v>38.7473904</v>
      </c>
      <c r="L40">
        <f ca="1">IF(ISERROR(IF(SUM($L$41:$L$43) = 0, "", SUM($L$41:$L$43))), "", (IF(SUM($L$41:$L$43) = 0, "", SUM($L$41:$L$43))))</f>
        <v>42.395833330000002</v>
      </c>
      <c r="M40">
        <f ca="1">IF(ISERROR(IF(SUM($M$41:$M$43) = 0, "", SUM($M$41:$M$43))), "", (IF(SUM($M$41:$M$43) = 0, "", SUM($M$41:$M$43))))</f>
        <v>37.932715753000004</v>
      </c>
      <c r="N40">
        <f ca="1">IF(ISERROR(IF(SUM($N$41:$N$43) = 0, "", SUM($N$41:$N$43))), "", (IF(SUM($N$41:$N$43) = 0, "", SUM($N$41:$N$43))))</f>
        <v>41.950886767</v>
      </c>
      <c r="O40">
        <f ca="1">IF(ISERROR(IF(SUM($O$41:$O$43) = 0, "", SUM($O$41:$O$43))), "", (IF(SUM($O$41:$O$43) = 0, "", SUM($O$41:$O$43))))</f>
        <v>46.259985477000001</v>
      </c>
      <c r="P40">
        <f ca="1">IF(ISERROR(IF(SUM($P$41:$P$43) = 0, "", SUM($P$41:$P$43))), "", (IF(SUM($P$41:$P$43) = 0, "", SUM($P$41:$P$43))))</f>
        <v>38.932496072999996</v>
      </c>
      <c r="Q40">
        <f ca="1">IF(ISERROR(IF(SUM($Q$41:$Q$43) = 0, "", SUM($Q$41:$Q$43))), "", (IF(SUM($Q$41:$Q$43) = 0, "", SUM($Q$41:$Q$43))))</f>
        <v>46.919431279999998</v>
      </c>
      <c r="R40">
        <f ca="1">IF(ISERROR(IF(SUM($R$41:$R$43) = 0, "", SUM($R$41:$R$43))), "", (IF(SUM($R$41:$R$43) = 0, "", SUM($R$41:$R$43))))</f>
        <v>33.906013135000002</v>
      </c>
      <c r="S40">
        <f ca="1">IF(ISERROR(IF(SUM($S$41:$S$43) = 0, "", SUM($S$41:$S$43))), "", (IF(SUM($S$41:$S$43) = 0, "", SUM($S$41:$S$43))))</f>
        <v>42.325800379999997</v>
      </c>
      <c r="T40">
        <f ca="1">IF(ISERROR(IF(SUM($T$41:$T$43) = 0, "", SUM($T$41:$T$43))), "", (IF(SUM($T$41:$T$43) = 0, "", SUM($T$41:$T$43))))</f>
        <v>40.662983421999996</v>
      </c>
      <c r="U40">
        <f ca="1">IF(ISERROR(IF(SUM($U$41:$U$43) = 0, "", SUM($U$41:$U$43))), "", (IF(SUM($U$41:$U$43) = 0, "", SUM($U$41:$U$43))))</f>
        <v>44.510739860000001</v>
      </c>
      <c r="V40">
        <f ca="1">IF(ISERROR(IF(SUM($V$41:$V$43) = 0, "", SUM($V$41:$V$43))), "", (IF(SUM($V$41:$V$43) = 0, "", SUM($V$41:$V$43))))</f>
        <v>43.849206350000003</v>
      </c>
      <c r="W40">
        <f ca="1">IF(ISERROR(IF(SUM($W$41:$W$43) = 0, "", SUM($W$41:$W$43))), "", (IF(SUM($W$41:$W$43) = 0, "", SUM($W$41:$W$43))))</f>
        <v>45.858240819999999</v>
      </c>
      <c r="X40">
        <f ca="1">IF(ISERROR(IF(SUM($X$41:$X$43) = 0, "", SUM($X$41:$X$43))), "", (IF(SUM($X$41:$X$43) = 0, "", SUM($X$41:$X$43))))</f>
        <v>42.046035799999999</v>
      </c>
      <c r="Y40">
        <f ca="1">IF(ISERROR(IF(SUM($Y$41:$Y$43) = 0, "", SUM($Y$41:$Y$43))), "", (IF(SUM($Y$41:$Y$43) = 0, "", SUM($Y$41:$Y$43))))</f>
        <v>48.093994773999995</v>
      </c>
      <c r="Z40">
        <f ca="1">IF(ISERROR(IF(SUM($Z$41:$Z$43) = 0, "", SUM($Z$41:$Z$43))), "", (IF(SUM($Z$41:$Z$43) = 0, "", SUM($Z$41:$Z$43))))</f>
        <v>50.161463943999998</v>
      </c>
      <c r="AA40">
        <f ca="1">IF(ISERROR(IF(SUM($AA$41:$AA$43) = 0, "", SUM($AA$41:$AA$43))), "", (IF(SUM($AA$41:$AA$43) = 0, "", SUM($AA$41:$AA$43))))</f>
        <v>46.005154640000001</v>
      </c>
      <c r="AB40">
        <f ca="1">IF(ISERROR(IF(SUM($AB$41:$AB$43) = 0, "", SUM($AB$41:$AB$43))), "", (IF(SUM($AB$41:$AB$43) = 0, "", SUM($AB$41:$AB$43))))</f>
        <v>41.039965620000004</v>
      </c>
      <c r="AC40">
        <f ca="1">IF(ISERROR(IF(SUM($AC$41:$AC$43) = 0, "", SUM($AC$41:$AC$43))), "", (IF(SUM($AC$41:$AC$43) = 0, "", SUM($AC$41:$AC$43))))</f>
        <v>41.94280526</v>
      </c>
      <c r="AD40">
        <f ca="1">IF(ISERROR(IF(SUM($AD$41:$AD$43) = 0, "", SUM($AD$41:$AD$43))), "", (IF(SUM($AD$41:$AD$43) = 0, "", SUM($AD$41:$AD$43))))</f>
        <v>41.578148709000004</v>
      </c>
      <c r="AE40">
        <f ca="1">IF(ISERROR(IF(SUM($AE$41:$AE$43) = 0, "", SUM($AE$41:$AE$43))), "", (IF(SUM($AE$41:$AE$43) = 0, "", SUM($AE$41:$AE$43))))</f>
        <v>45.836200959999999</v>
      </c>
      <c r="AF40">
        <f ca="1">IF(ISERROR(IF(SUM($AF$41:$AF$43) = 0, "", SUM($AF$41:$AF$43))), "", (IF(SUM($AF$41:$AF$43) = 0, "", SUM($AF$41:$AF$43))))</f>
        <v>33.065279097000001</v>
      </c>
      <c r="AG40">
        <f ca="1">IF(ISERROR(IF(SUM($AG$41:$AG$43) = 0, "", SUM($AG$41:$AG$43))), "", (IF(SUM($AG$41:$AG$43) = 0, "", SUM($AG$41:$AG$43))))</f>
        <v>34.794965486000002</v>
      </c>
      <c r="AH40">
        <f ca="1">IF(ISERROR(IF(SUM($AH$41:$AH$43) = 0, "", SUM($AH$41:$AH$43))), "", (IF(SUM($AH$41:$AH$43) = 0, "", SUM($AH$41:$AH$43))))</f>
        <v>38.057142853000002</v>
      </c>
      <c r="AI40">
        <f ca="1">IF(ISERROR(IF(SUM($AI$41:$AI$43) = 0, "", SUM($AI$41:$AI$43))), "", (IF(SUM($AI$41:$AI$43) = 0, "", SUM($AI$41:$AI$43))))</f>
        <v>32.754061202999999</v>
      </c>
      <c r="AJ40">
        <f ca="1">IF(ISERROR(IF(SUM($AJ$41:$AJ$43) = 0, "", SUM($AJ$41:$AJ$43))), "", (IF(SUM($AJ$41:$AJ$43) = 0, "", SUM($AJ$41:$AJ$43))))</f>
        <v>35.325670502999998</v>
      </c>
      <c r="AK40">
        <f ca="1">IF(ISERROR(IF(SUM($AK$41:$AK$43) = 0, "", SUM($AK$41:$AK$43))), "", (IF(SUM($AK$41:$AK$43) = 0, "", SUM($AK$41:$AK$43))))</f>
        <v>40.972222219000002</v>
      </c>
      <c r="AL40">
        <f ca="1">IF(ISERROR(IF(SUM($AL$41:$AL$43) = 0, "", SUM($AL$41:$AL$43))), "", (IF(SUM($AL$41:$AL$43) = 0, "", SUM($AL$41:$AL$43))))</f>
        <v>37.249143414000002</v>
      </c>
      <c r="AM40">
        <f ca="1">IF(ISERROR(IF(SUM($AM$41:$AM$43) = 0, "", SUM($AM$41:$AM$43))), "", (IF(SUM($AM$41:$AM$43) = 0, "", SUM($AM$41:$AM$43))))</f>
        <v>33.991537381000001</v>
      </c>
      <c r="AN40">
        <f ca="1">IF(ISERROR(IF(SUM($AN$41:$AN$43) = 0, "", SUM($AN$41:$AN$43))), "", (IF(SUM($AN$41:$AN$43) = 0, "", SUM($AN$41:$AN$43))))</f>
        <v>37.321830460000001</v>
      </c>
      <c r="AO40">
        <f ca="1">IF(ISERROR(IF(SUM($AO$41:$AO$43) = 0, "", SUM($AO$41:$AO$43))), "", (IF(SUM($AO$41:$AO$43) = 0, "", SUM($AO$41:$AO$43))))</f>
        <v>34.610578922000002</v>
      </c>
      <c r="AP40">
        <f ca="1">IF(ISERROR(IF(SUM($AP$41:$AP$43) = 0, "", SUM($AP$41:$AP$43))), "", (IF(SUM($AP$41:$AP$43) = 0, "", SUM($AP$41:$AP$43))))</f>
        <v>37.688614536000003</v>
      </c>
      <c r="AQ40">
        <f ca="1">IF(ISERROR(IF(SUM($AQ$41:$AQ$43) = 0, "", SUM($AQ$41:$AQ$43))), "", (IF(SUM($AQ$41:$AQ$43) = 0, "", SUM($AQ$41:$AQ$43))))</f>
        <v>33.711824585000002</v>
      </c>
      <c r="AR40">
        <f ca="1">IF(ISERROR(IF(SUM($AR$41:$AR$43) = 0, "", SUM($AR$41:$AR$43))), "", (IF(SUM($AR$41:$AR$43) = 0, "", SUM($AR$41:$AR$43))))</f>
        <v>33.889661562000001</v>
      </c>
      <c r="AS40">
        <f ca="1">IF(ISERROR(IF(SUM($AS$41:$AS$43) = 0, "", SUM($AS$41:$AS$43))), "", (IF(SUM($AS$41:$AS$43) = 0, "", SUM($AS$41:$AS$43))))</f>
        <v>32.097791794999999</v>
      </c>
      <c r="AT40">
        <f>36.1162192</f>
        <v>36.116219200000003</v>
      </c>
      <c r="AU40">
        <f>38.04616653</f>
        <v>38.046166530000001</v>
      </c>
      <c r="AV40">
        <f>34.47037702</f>
        <v>34.470377020000001</v>
      </c>
      <c r="AW40">
        <f>35.5704698</f>
        <v>35.570469799999998</v>
      </c>
      <c r="AX40">
        <f>37.61097659</f>
        <v>37.61097659</v>
      </c>
      <c r="AY40">
        <f>38.7473904</f>
        <v>38.7473904</v>
      </c>
      <c r="AZ40">
        <f>42.39583333</f>
        <v>42.395833330000002</v>
      </c>
      <c r="BA40">
        <f>37.93271575</f>
        <v>37.93271575</v>
      </c>
      <c r="BB40">
        <f>41.95088677</f>
        <v>41.950886769999997</v>
      </c>
      <c r="BC40">
        <f>46.25998548</f>
        <v>46.259985479999997</v>
      </c>
      <c r="BD40">
        <f>38.93249608</f>
        <v>38.93249608</v>
      </c>
      <c r="BE40">
        <f>46.91943128</f>
        <v>46.919431279999998</v>
      </c>
      <c r="BF40">
        <f>33.90601314</f>
        <v>33.906013139999999</v>
      </c>
      <c r="BG40">
        <f>42.32580038</f>
        <v>42.325800379999997</v>
      </c>
      <c r="BH40">
        <f>40.66298343</f>
        <v>40.662983429999997</v>
      </c>
      <c r="BI40">
        <f>44.51073986</f>
        <v>44.510739860000001</v>
      </c>
      <c r="BJ40">
        <f>43.84920635</f>
        <v>43.849206350000003</v>
      </c>
      <c r="BK40">
        <f>45.85824082</f>
        <v>45.858240819999999</v>
      </c>
      <c r="BL40">
        <f>42.04603581</f>
        <v>42.046035809999999</v>
      </c>
      <c r="BM40">
        <f>48.09399478</f>
        <v>48.093994780000003</v>
      </c>
      <c r="BN40">
        <f>50.16146394</f>
        <v>50.161463939999997</v>
      </c>
      <c r="BO40">
        <f>46.00515464</f>
        <v>46.005154640000001</v>
      </c>
      <c r="BP40">
        <f>41.03996562</f>
        <v>41.039965619999997</v>
      </c>
      <c r="BQ40">
        <f>41.94280527</f>
        <v>41.942805270000001</v>
      </c>
      <c r="BR40">
        <f>41.57814871</f>
        <v>41.578148710000001</v>
      </c>
      <c r="BS40">
        <f>45.83620096</f>
        <v>45.836200959999999</v>
      </c>
      <c r="BT40">
        <f>33.06527909</f>
        <v>33.065279089999997</v>
      </c>
      <c r="BU40">
        <f>34.79496549</f>
        <v>34.794965490000003</v>
      </c>
      <c r="BV40">
        <f>38.05714286</f>
        <v>38.057142859999999</v>
      </c>
      <c r="BW40">
        <f>32.7540612</f>
        <v>32.754061200000002</v>
      </c>
      <c r="BX40">
        <f>35.3256705</f>
        <v>35.325670500000001</v>
      </c>
      <c r="BY40">
        <f>40.97222222</f>
        <v>40.972222219999999</v>
      </c>
      <c r="BZ40">
        <f>37.24914342</f>
        <v>37.249143420000003</v>
      </c>
      <c r="CA40">
        <f>33.99153738</f>
        <v>33.991537379999997</v>
      </c>
      <c r="CB40">
        <f>37.32183046</f>
        <v>37.321830460000001</v>
      </c>
      <c r="CC40">
        <f>34.61057893</f>
        <v>34.610578930000003</v>
      </c>
      <c r="CD40">
        <f>37.68861454</f>
        <v>37.688614540000003</v>
      </c>
      <c r="CE40">
        <f>33.71182459</f>
        <v>33.711824589999999</v>
      </c>
      <c r="CF40">
        <f>33.88966157</f>
        <v>33.889661570000001</v>
      </c>
      <c r="CG40">
        <f>32.0977918</f>
        <v>32.097791800000003</v>
      </c>
    </row>
    <row r="41" spans="1:85" x14ac:dyDescent="0.25">
      <c r="A41" t="str">
        <f>"        Freightliner"</f>
        <v xml:space="preserve">        Freightliner</v>
      </c>
      <c r="B41" t="str">
        <f>"DAI GR Equity"</f>
        <v>DAI GR Equity</v>
      </c>
      <c r="E41" t="str">
        <f>"Expression"</f>
        <v>Expression</v>
      </c>
      <c r="F41">
        <f ca="1">IF(AND($B$294=1,LEN($F$188) * LEN($F$187)&gt;0),$F$188/$F$187*100,HLOOKUP(INDIRECT(ADDRESS(2,COLUMN())),OFFSET($AT$2,0,0,ROW()-1,40),ROW()-1,FALSE))</f>
        <v>27.694005149999999</v>
      </c>
      <c r="G41">
        <f ca="1">IF(AND($B$294=1,LEN($G$188) * LEN($G$187)&gt;0),$G$188/$G$187*100,HLOOKUP(INDIRECT(ADDRESS(2,COLUMN())),OFFSET($AT$2,0,0,ROW()-1,40),ROW()-1,FALSE))</f>
        <v>28.44187964</v>
      </c>
      <c r="H41">
        <f ca="1">IF(AND($B$294=1,LEN($H$188) * LEN($H$187)&gt;0),$H$188/$H$187*100,HLOOKUP(INDIRECT(ADDRESS(2,COLUMN())),OFFSET($AT$2,0,0,ROW()-1,40),ROW()-1,FALSE))</f>
        <v>24.41651706</v>
      </c>
      <c r="I41">
        <f ca="1">IF(AND($B$294=1,LEN($I$188) * LEN($I$187)&gt;0),$I$188/$I$187*100,HLOOKUP(INDIRECT(ADDRESS(2,COLUMN())),OFFSET($AT$2,0,0,ROW()-1,40),ROW()-1,FALSE))</f>
        <v>24.688398849999999</v>
      </c>
      <c r="J41">
        <f ca="1">IF(AND($B$294=1,LEN($J$188) * LEN($J$187)&gt;0),$J$188/$J$187*100,HLOOKUP(INDIRECT(ADDRESS(2,COLUMN())),OFFSET($AT$2,0,0,ROW()-1,40),ROW()-1,FALSE))</f>
        <v>28.208232450000001</v>
      </c>
      <c r="K41">
        <f ca="1">IF(AND($B$294=1,LEN($K$188) * LEN($K$187)&gt;0),$K$188/$K$187*100,HLOOKUP(INDIRECT(ADDRESS(2,COLUMN())),OFFSET($AT$2,0,0,ROW()-1,40),ROW()-1,FALSE))</f>
        <v>29.89561587</v>
      </c>
      <c r="L41">
        <f ca="1">IF(AND($B$294=1,LEN($L$188) * LEN($L$187)&gt;0),$L$188/$L$187*100,HLOOKUP(INDIRECT(ADDRESS(2,COLUMN())),OFFSET($AT$2,0,0,ROW()-1,40),ROW()-1,FALSE))</f>
        <v>32.708333330000002</v>
      </c>
      <c r="M41">
        <f ca="1">IF(AND($B$294=1,LEN($M$188) * LEN($M$187)&gt;0),$M$188/$M$187*100,HLOOKUP(INDIRECT(ADDRESS(2,COLUMN())),OFFSET($AT$2,0,0,ROW()-1,40),ROW()-1,FALSE))</f>
        <v>28.620185280000001</v>
      </c>
      <c r="N41">
        <f ca="1">IF(AND($B$294=1,LEN($N$188) * LEN($N$187)&gt;0),$N$188/$N$187*100,HLOOKUP(INDIRECT(ADDRESS(2,COLUMN())),OFFSET($AT$2,0,0,ROW()-1,40),ROW()-1,FALSE))</f>
        <v>33.151432470000003</v>
      </c>
      <c r="O41">
        <f ca="1">IF(AND($B$294=1,LEN($O$188) * LEN($O$187)&gt;0),$O$188/$O$187*100,HLOOKUP(INDIRECT(ADDRESS(2,COLUMN())),OFFSET($AT$2,0,0,ROW()-1,40),ROW()-1,FALSE))</f>
        <v>37.690631809999999</v>
      </c>
      <c r="P41">
        <f ca="1">IF(AND($B$294=1,LEN($P$188) * LEN($P$187)&gt;0),$P$188/$P$187*100,HLOOKUP(INDIRECT(ADDRESS(2,COLUMN())),OFFSET($AT$2,0,0,ROW()-1,40),ROW()-1,FALSE))</f>
        <v>29.14704343</v>
      </c>
      <c r="Q41">
        <f ca="1">IF(AND($B$294=1,LEN($Q$188) * LEN($Q$187)&gt;0),$Q$188/$Q$187*100,HLOOKUP(INDIRECT(ADDRESS(2,COLUMN())),OFFSET($AT$2,0,0,ROW()-1,40),ROW()-1,FALSE))</f>
        <v>36.492891</v>
      </c>
      <c r="R41">
        <f ca="1">IF(AND($B$294=1,LEN($R$188) * LEN($R$187)&gt;0),$R$188/$R$187*100,HLOOKUP(INDIRECT(ADDRESS(2,COLUMN())),OFFSET($AT$2,0,0,ROW()-1,40),ROW()-1,FALSE))</f>
        <v>26.528549770000001</v>
      </c>
      <c r="S41">
        <f ca="1">IF(AND($B$294=1,LEN($S$188) * LEN($S$187)&gt;0),$S$188/$S$187*100,HLOOKUP(INDIRECT(ADDRESS(2,COLUMN())),OFFSET($AT$2,0,0,ROW()-1,40),ROW()-1,FALSE))</f>
        <v>31.49717514</v>
      </c>
      <c r="T41">
        <f ca="1">IF(AND($B$294=1,LEN($T$188) * LEN($T$187)&gt;0),$T$188/$T$187*100,HLOOKUP(INDIRECT(ADDRESS(2,COLUMN())),OFFSET($AT$2,0,0,ROW()-1,40),ROW()-1,FALSE))</f>
        <v>30.773480660000001</v>
      </c>
      <c r="U41">
        <f ca="1">IF(AND($B$294=1,LEN($U$188) * LEN($U$187)&gt;0),$U$188/$U$187*100,HLOOKUP(INDIRECT(ADDRESS(2,COLUMN())),OFFSET($AT$2,0,0,ROW()-1,40),ROW()-1,FALSE))</f>
        <v>34.069212409999999</v>
      </c>
      <c r="V41">
        <f ca="1">IF(AND($B$294=1,LEN($V$188) * LEN($V$187)&gt;0),$V$188/$V$187*100,HLOOKUP(INDIRECT(ADDRESS(2,COLUMN())),OFFSET($AT$2,0,0,ROW()-1,40),ROW()-1,FALSE))</f>
        <v>30.109126979999999</v>
      </c>
      <c r="W41">
        <f ca="1">IF(AND($B$294=1,LEN($W$188) * LEN($W$187)&gt;0),$W$188/$W$187*100,HLOOKUP(INDIRECT(ADDRESS(2,COLUMN())),OFFSET($AT$2,0,0,ROW()-1,40),ROW()-1,FALSE))</f>
        <v>34.500426990000001</v>
      </c>
      <c r="X41">
        <f ca="1">IF(AND($B$294=1,LEN($X$188) * LEN($X$187)&gt;0),$X$188/$X$187*100,HLOOKUP(INDIRECT(ADDRESS(2,COLUMN())),OFFSET($AT$2,0,0,ROW()-1,40),ROW()-1,FALSE))</f>
        <v>31.457800509999998</v>
      </c>
      <c r="Y41">
        <f ca="1">IF(AND($B$294=1,LEN($Y$188) * LEN($Y$187)&gt;0),$Y$188/$Y$187*100,HLOOKUP(INDIRECT(ADDRESS(2,COLUMN())),OFFSET($AT$2,0,0,ROW()-1,40),ROW()-1,FALSE))</f>
        <v>39.268929499999999</v>
      </c>
      <c r="Z41">
        <f ca="1">IF(AND($B$294=1,LEN($Z$188) * LEN($Z$187)&gt;0),$Z$188/$Z$187*100,HLOOKUP(INDIRECT(ADDRESS(2,COLUMN())),OFFSET($AT$2,0,0,ROW()-1,40),ROW()-1,FALSE))</f>
        <v>40.796555439999999</v>
      </c>
      <c r="AA41">
        <f ca="1">IF(AND($B$294=1,LEN($AA$188) * LEN($AA$187)&gt;0),$AA$188/$AA$187*100,HLOOKUP(INDIRECT(ADDRESS(2,COLUMN())),OFFSET($AT$2,0,0,ROW()-1,40),ROW()-1,FALSE))</f>
        <v>35.30927835</v>
      </c>
      <c r="AB41">
        <f ca="1">IF(AND($B$294=1,LEN($AB$188) * LEN($AB$187)&gt;0),$AB$188/$AB$187*100,HLOOKUP(INDIRECT(ADDRESS(2,COLUMN())),OFFSET($AT$2,0,0,ROW()-1,40),ROW()-1,FALSE))</f>
        <v>30.89815213</v>
      </c>
      <c r="AC41">
        <f ca="1">IF(AND($B$294=1,LEN($AC$188) * LEN($AC$187)&gt;0),$AC$188/$AC$187*100,HLOOKUP(INDIRECT(ADDRESS(2,COLUMN())),OFFSET($AT$2,0,0,ROW()-1,40),ROW()-1,FALSE))</f>
        <v>31.911030409999999</v>
      </c>
      <c r="AD41">
        <f ca="1">IF(AND($B$294=1,LEN($AD$188) * LEN($AD$187)&gt;0),$AD$188/$AD$187*100,HLOOKUP(INDIRECT(ADDRESS(2,COLUMN())),OFFSET($AT$2,0,0,ROW()-1,40),ROW()-1,FALSE))</f>
        <v>33.270106220000002</v>
      </c>
      <c r="AE41">
        <f ca="1">IF(AND($B$294=1,LEN($AE$188) * LEN($AE$187)&gt;0),$AE$188/$AE$187*100,HLOOKUP(INDIRECT(ADDRESS(2,COLUMN())),OFFSET($AT$2,0,0,ROW()-1,40),ROW()-1,FALSE))</f>
        <v>36.200963520000002</v>
      </c>
      <c r="AF41">
        <f ca="1">IF(AND($B$294=1,LEN($AF$188) * LEN($AF$187)&gt;0),$AF$188/$AF$187*100,HLOOKUP(INDIRECT(ADDRESS(2,COLUMN())),OFFSET($AT$2,0,0,ROW()-1,40),ROW()-1,FALSE))</f>
        <v>26.49006623</v>
      </c>
      <c r="AG41">
        <f ca="1">IF(AND($B$294=1,LEN($AG$188) * LEN($AG$187)&gt;0),$AG$188/$AG$187*100,HLOOKUP(INDIRECT(ADDRESS(2,COLUMN())),OFFSET($AT$2,0,0,ROW()-1,40),ROW()-1,FALSE))</f>
        <v>27.40560292</v>
      </c>
      <c r="AH41">
        <f ca="1">IF(AND($B$294=1,LEN($AH$188) * LEN($AH$187)&gt;0),$AH$188/$AH$187*100,HLOOKUP(INDIRECT(ADDRESS(2,COLUMN())),OFFSET($AT$2,0,0,ROW()-1,40),ROW()-1,FALSE))</f>
        <v>28.114285710000001</v>
      </c>
      <c r="AI41">
        <f ca="1">IF(AND($B$294=1,LEN($AI$188) * LEN($AI$187)&gt;0),$AI$188/$AI$187*100,HLOOKUP(INDIRECT(ADDRESS(2,COLUMN())),OFFSET($AT$2,0,0,ROW()-1,40),ROW()-1,FALSE))</f>
        <v>24.6694371</v>
      </c>
      <c r="AJ41">
        <f ca="1">IF(AND($B$294=1,LEN($AJ$188) * LEN($AJ$187)&gt;0),$AJ$188/$AJ$187*100,HLOOKUP(INDIRECT(ADDRESS(2,COLUMN())),OFFSET($AT$2,0,0,ROW()-1,40),ROW()-1,FALSE))</f>
        <v>28.314176249999999</v>
      </c>
      <c r="AK41">
        <f ca="1">IF(AND($B$294=1,LEN($AK$188) * LEN($AK$187)&gt;0),$AK$188/$AK$187*100,HLOOKUP(INDIRECT(ADDRESS(2,COLUMN())),OFFSET($AT$2,0,0,ROW()-1,40),ROW()-1,FALSE))</f>
        <v>33.958333330000002</v>
      </c>
      <c r="AL41">
        <f ca="1">IF(AND($B$294=1,LEN($AL$188) * LEN($AL$187)&gt;0),$AL$188/$AL$187*100,HLOOKUP(INDIRECT(ADDRESS(2,COLUMN())),OFFSET($AT$2,0,0,ROW()-1,40),ROW()-1,FALSE))</f>
        <v>30.004894759999999</v>
      </c>
      <c r="AM41">
        <f ca="1">IF(AND($B$294=1,LEN($AM$188) * LEN($AM$187)&gt;0),$AM$188/$AM$187*100,HLOOKUP(INDIRECT(ADDRESS(2,COLUMN())),OFFSET($AT$2,0,0,ROW()-1,40),ROW()-1,FALSE))</f>
        <v>25.763986840000001</v>
      </c>
      <c r="AN41">
        <f ca="1">IF(AND($B$294=1,LEN($AN$188) * LEN($AN$187)&gt;0),$AN$188/$AN$187*100,HLOOKUP(INDIRECT(ADDRESS(2,COLUMN())),OFFSET($AT$2,0,0,ROW()-1,40),ROW()-1,FALSE))</f>
        <v>26.856714180000001</v>
      </c>
      <c r="AO41">
        <f ca="1">IF(AND($B$294=1,LEN($AO$188) * LEN($AO$187)&gt;0),$AO$188/$AO$187*100,HLOOKUP(INDIRECT(ADDRESS(2,COLUMN())),OFFSET($AT$2,0,0,ROW()-1,40),ROW()-1,FALSE))</f>
        <v>25.156184920000001</v>
      </c>
      <c r="AP41">
        <f ca="1">IF(AND($B$294=1,LEN($AP$188) * LEN($AP$187)&gt;0),$AP$188/$AP$187*100,HLOOKUP(INDIRECT(ADDRESS(2,COLUMN())),OFFSET($AT$2,0,0,ROW()-1,40),ROW()-1,FALSE))</f>
        <v>29.080932780000001</v>
      </c>
      <c r="AQ41">
        <f ca="1">IF(AND($B$294=1,LEN($AQ$188) * LEN($AQ$187)&gt;0),$AQ$188/$AQ$187*100,HLOOKUP(INDIRECT(ADDRESS(2,COLUMN())),OFFSET($AT$2,0,0,ROW()-1,40),ROW()-1,FALSE))</f>
        <v>25.019577129999998</v>
      </c>
      <c r="AR41">
        <f ca="1">IF(AND($B$294=1,LEN($AR$188) * LEN($AR$187)&gt;0),$AR$188/$AR$187*100,HLOOKUP(INDIRECT(ADDRESS(2,COLUMN())),OFFSET($AT$2,0,0,ROW()-1,40),ROW()-1,FALSE))</f>
        <v>25.034770510000001</v>
      </c>
      <c r="AS41">
        <f ca="1">IF(AND($B$294=1,LEN($AS$188) * LEN($AS$187)&gt;0),$AS$188/$AS$187*100,HLOOKUP(INDIRECT(ADDRESS(2,COLUMN())),OFFSET($AT$2,0,0,ROW()-1,40),ROW()-1,FALSE))</f>
        <v>24.014195579999999</v>
      </c>
      <c r="AT41">
        <f>27.69400515</f>
        <v>27.694005149999999</v>
      </c>
      <c r="AU41">
        <f>28.44187964</f>
        <v>28.44187964</v>
      </c>
      <c r="AV41">
        <f>24.41651706</f>
        <v>24.41651706</v>
      </c>
      <c r="AW41">
        <f>24.68839885</f>
        <v>24.688398849999999</v>
      </c>
      <c r="AX41">
        <f>28.20823245</f>
        <v>28.208232450000001</v>
      </c>
      <c r="AY41">
        <f>29.89561587</f>
        <v>29.89561587</v>
      </c>
      <c r="AZ41">
        <f>32.70833333</f>
        <v>32.708333330000002</v>
      </c>
      <c r="BA41">
        <f>28.62018528</f>
        <v>28.620185280000001</v>
      </c>
      <c r="BB41">
        <f>33.15143247</f>
        <v>33.151432470000003</v>
      </c>
      <c r="BC41">
        <f>37.69063181</f>
        <v>37.690631809999999</v>
      </c>
      <c r="BD41">
        <f>29.14704343</f>
        <v>29.14704343</v>
      </c>
      <c r="BE41">
        <f>36.492891</f>
        <v>36.492891</v>
      </c>
      <c r="BF41">
        <f>26.52854977</f>
        <v>26.528549770000001</v>
      </c>
      <c r="BG41">
        <f>31.49717514</f>
        <v>31.49717514</v>
      </c>
      <c r="BH41">
        <f>30.77348066</f>
        <v>30.773480660000001</v>
      </c>
      <c r="BI41">
        <f>34.06921241</f>
        <v>34.069212409999999</v>
      </c>
      <c r="BJ41">
        <f>30.10912698</f>
        <v>30.109126979999999</v>
      </c>
      <c r="BK41">
        <f>34.50042699</f>
        <v>34.500426990000001</v>
      </c>
      <c r="BL41">
        <f>31.45780051</f>
        <v>31.457800509999998</v>
      </c>
      <c r="BM41">
        <f>39.2689295</f>
        <v>39.268929499999999</v>
      </c>
      <c r="BN41">
        <f>40.79655544</f>
        <v>40.796555439999999</v>
      </c>
      <c r="BO41">
        <f>35.30927835</f>
        <v>35.30927835</v>
      </c>
      <c r="BP41">
        <f>30.89815213</f>
        <v>30.89815213</v>
      </c>
      <c r="BQ41">
        <f>31.91103041</f>
        <v>31.911030409999999</v>
      </c>
      <c r="BR41">
        <f>33.27010622</f>
        <v>33.270106220000002</v>
      </c>
      <c r="BS41">
        <f>36.20096352</f>
        <v>36.200963520000002</v>
      </c>
      <c r="BT41">
        <f>26.49006623</f>
        <v>26.49006623</v>
      </c>
      <c r="BU41">
        <f>27.40560292</f>
        <v>27.40560292</v>
      </c>
      <c r="BV41">
        <f>28.11428571</f>
        <v>28.114285710000001</v>
      </c>
      <c r="BW41">
        <f>24.6694371</f>
        <v>24.6694371</v>
      </c>
      <c r="BX41">
        <f>28.31417625</f>
        <v>28.314176249999999</v>
      </c>
      <c r="BY41">
        <f>33.95833333</f>
        <v>33.958333330000002</v>
      </c>
      <c r="BZ41">
        <f>30.00489476</f>
        <v>30.004894759999999</v>
      </c>
      <c r="CA41">
        <f>25.76398684</f>
        <v>25.763986840000001</v>
      </c>
      <c r="CB41">
        <f>26.85671418</f>
        <v>26.856714180000001</v>
      </c>
      <c r="CC41">
        <f>25.15618492</f>
        <v>25.156184920000001</v>
      </c>
      <c r="CD41">
        <f>29.08093278</f>
        <v>29.080932780000001</v>
      </c>
      <c r="CE41">
        <f>25.01957713</f>
        <v>25.019577129999998</v>
      </c>
      <c r="CF41">
        <f>25.03477051</f>
        <v>25.034770510000001</v>
      </c>
      <c r="CG41">
        <f>24.01419558</f>
        <v>24.014195579999999</v>
      </c>
    </row>
    <row r="42" spans="1:85" x14ac:dyDescent="0.25">
      <c r="A42" t="str">
        <f>"        Western Star"</f>
        <v xml:space="preserve">        Western Star</v>
      </c>
      <c r="B42" t="str">
        <f>"DAI GR Equity"</f>
        <v>DAI GR Equity</v>
      </c>
      <c r="E42" t="str">
        <f>"Expression"</f>
        <v>Expression</v>
      </c>
      <c r="F42">
        <f ca="1">IF(AND($B$294=1,LEN($F$189) * LEN($F$187)&gt;0),$F$189/$F$187*100,HLOOKUP(INDIRECT(ADDRESS(2,COLUMN())),OFFSET($AT$2,0,0,ROW()-1,40),ROW()-1,FALSE))</f>
        <v>8.4222140490000008</v>
      </c>
      <c r="G42">
        <f ca="1">IF(AND($B$294=1,LEN($G$189) * LEN($G$187)&gt;0),$G$189/$G$187*100,HLOOKUP(INDIRECT(ADDRESS(2,COLUMN())),OFFSET($AT$2,0,0,ROW()-1,40),ROW()-1,FALSE))</f>
        <v>9.6042868919999993</v>
      </c>
      <c r="H42">
        <f ca="1">IF(AND($B$294=1,LEN($H$189) * LEN($H$187)&gt;0),$H$189/$H$187*100,HLOOKUP(INDIRECT(ADDRESS(2,COLUMN())),OFFSET($AT$2,0,0,ROW()-1,40),ROW()-1,FALSE))</f>
        <v>10.05385996</v>
      </c>
      <c r="I42">
        <f ca="1">IF(AND($B$294=1,LEN($I$189) * LEN($I$187)&gt;0),$I$189/$I$187*100,HLOOKUP(INDIRECT(ADDRESS(2,COLUMN())),OFFSET($AT$2,0,0,ROW()-1,40),ROW()-1,FALSE))</f>
        <v>10.882070949999999</v>
      </c>
      <c r="J42">
        <f ca="1">IF(AND($B$294=1,LEN($J$189) * LEN($J$187)&gt;0),$J$189/$J$187*100,HLOOKUP(INDIRECT(ADDRESS(2,COLUMN())),OFFSET($AT$2,0,0,ROW()-1,40),ROW()-1,FALSE))</f>
        <v>9.4027441490000001</v>
      </c>
      <c r="K42">
        <f ca="1">IF(AND($B$294=1,LEN($K$189) * LEN($K$187)&gt;0),$K$189/$K$187*100,HLOOKUP(INDIRECT(ADDRESS(2,COLUMN())),OFFSET($AT$2,0,0,ROW()-1,40),ROW()-1,FALSE))</f>
        <v>8.8517745300000001</v>
      </c>
      <c r="L42">
        <f ca="1">IF(AND($B$294=1,LEN($L$189) * LEN($L$187)&gt;0),$L$189/$L$187*100,HLOOKUP(INDIRECT(ADDRESS(2,COLUMN())),OFFSET($AT$2,0,0,ROW()-1,40),ROW()-1,FALSE))</f>
        <v>9.6875</v>
      </c>
      <c r="M42">
        <f ca="1">IF(AND($B$294=1,LEN($M$189) * LEN($M$187)&gt;0),$M$189/$M$187*100,HLOOKUP(INDIRECT(ADDRESS(2,COLUMN())),OFFSET($AT$2,0,0,ROW()-1,40),ROW()-1,FALSE))</f>
        <v>9.3125304730000007</v>
      </c>
      <c r="N42">
        <f ca="1">IF(AND($B$294=1,LEN($N$189) * LEN($N$187)&gt;0),$N$189/$N$187*100,HLOOKUP(INDIRECT(ADDRESS(2,COLUMN())),OFFSET($AT$2,0,0,ROW()-1,40),ROW()-1,FALSE))</f>
        <v>8.7994542970000005</v>
      </c>
      <c r="O42">
        <f ca="1">IF(AND($B$294=1,LEN($O$189) * LEN($O$187)&gt;0),$O$189/$O$187*100,HLOOKUP(INDIRECT(ADDRESS(2,COLUMN())),OFFSET($AT$2,0,0,ROW()-1,40),ROW()-1,FALSE))</f>
        <v>8.5693536669999997</v>
      </c>
      <c r="P42">
        <f ca="1">IF(AND($B$294=1,LEN($P$189) * LEN($P$187)&gt;0),$P$189/$P$187*100,HLOOKUP(INDIRECT(ADDRESS(2,COLUMN())),OFFSET($AT$2,0,0,ROW()-1,40),ROW()-1,FALSE))</f>
        <v>9.7854526429999993</v>
      </c>
      <c r="Q42">
        <f ca="1">IF(AND($B$294=1,LEN($Q$189) * LEN($Q$187)&gt;0),$Q$189/$Q$187*100,HLOOKUP(INDIRECT(ADDRESS(2,COLUMN())),OFFSET($AT$2,0,0,ROW()-1,40),ROW()-1,FALSE))</f>
        <v>10.426540279999999</v>
      </c>
      <c r="R42">
        <f ca="1">IF(AND($B$294=1,LEN($R$189) * LEN($R$187)&gt;0),$R$189/$R$187*100,HLOOKUP(INDIRECT(ADDRESS(2,COLUMN())),OFFSET($AT$2,0,0,ROW()-1,40),ROW()-1,FALSE))</f>
        <v>7.3774633649999997</v>
      </c>
      <c r="S42">
        <f ca="1">IF(AND($B$294=1,LEN($S$189) * LEN($S$187)&gt;0),$S$189/$S$187*100,HLOOKUP(INDIRECT(ADDRESS(2,COLUMN())),OFFSET($AT$2,0,0,ROW()-1,40),ROW()-1,FALSE))</f>
        <v>10.828625239999999</v>
      </c>
      <c r="T42">
        <f ca="1">IF(AND($B$294=1,LEN($T$189) * LEN($T$187)&gt;0),$T$189/$T$187*100,HLOOKUP(INDIRECT(ADDRESS(2,COLUMN())),OFFSET($AT$2,0,0,ROW()-1,40),ROW()-1,FALSE))</f>
        <v>9.8895027619999993</v>
      </c>
      <c r="U42">
        <f ca="1">IF(AND($B$294=1,LEN($U$189) * LEN($U$187)&gt;0),$U$189/$U$187*100,HLOOKUP(INDIRECT(ADDRESS(2,COLUMN())),OFFSET($AT$2,0,0,ROW()-1,40),ROW()-1,FALSE))</f>
        <v>10.441527450000001</v>
      </c>
      <c r="V42">
        <f ca="1">IF(AND($B$294=1,LEN($V$189) * LEN($V$187)&gt;0),$V$189/$V$187*100,HLOOKUP(INDIRECT(ADDRESS(2,COLUMN())),OFFSET($AT$2,0,0,ROW()-1,40),ROW()-1,FALSE))</f>
        <v>13.74007937</v>
      </c>
      <c r="W42">
        <f ca="1">IF(AND($B$294=1,LEN($W$189) * LEN($W$187)&gt;0),$W$189/$W$187*100,HLOOKUP(INDIRECT(ADDRESS(2,COLUMN())),OFFSET($AT$2,0,0,ROW()-1,40),ROW()-1,FALSE))</f>
        <v>11.35781383</v>
      </c>
      <c r="X42">
        <f ca="1">IF(AND($B$294=1,LEN($X$189) * LEN($X$187)&gt;0),$X$189/$X$187*100,HLOOKUP(INDIRECT(ADDRESS(2,COLUMN())),OFFSET($AT$2,0,0,ROW()-1,40),ROW()-1,FALSE))</f>
        <v>10.58823529</v>
      </c>
      <c r="Y42">
        <f ca="1">IF(AND($B$294=1,LEN($Y$189) * LEN($Y$187)&gt;0),$Y$189/$Y$187*100,HLOOKUP(INDIRECT(ADDRESS(2,COLUMN())),OFFSET($AT$2,0,0,ROW()-1,40),ROW()-1,FALSE))</f>
        <v>8.825065274</v>
      </c>
      <c r="Z42">
        <f ca="1">IF(AND($B$294=1,LEN($Z$189) * LEN($Z$187)&gt;0),$Z$189/$Z$187*100,HLOOKUP(INDIRECT(ADDRESS(2,COLUMN())),OFFSET($AT$2,0,0,ROW()-1,40),ROW()-1,FALSE))</f>
        <v>9.3649085040000006</v>
      </c>
      <c r="AA42">
        <f ca="1">IF(AND($B$294=1,LEN($AA$189) * LEN($AA$187)&gt;0),$AA$189/$AA$187*100,HLOOKUP(INDIRECT(ADDRESS(2,COLUMN())),OFFSET($AT$2,0,0,ROW()-1,40),ROW()-1,FALSE))</f>
        <v>10.695876289999999</v>
      </c>
      <c r="AB42">
        <f ca="1">IF(AND($B$294=1,LEN($AB$189) * LEN($AB$187)&gt;0),$AB$189/$AB$187*100,HLOOKUP(INDIRECT(ADDRESS(2,COLUMN())),OFFSET($AT$2,0,0,ROW()-1,40),ROW()-1,FALSE))</f>
        <v>10.141813490000001</v>
      </c>
      <c r="AC42">
        <f ca="1">IF(AND($B$294=1,LEN($AC$189) * LEN($AC$187)&gt;0),$AC$189/$AC$187*100,HLOOKUP(INDIRECT(ADDRESS(2,COLUMN())),OFFSET($AT$2,0,0,ROW()-1,40),ROW()-1,FALSE))</f>
        <v>10.03177485</v>
      </c>
      <c r="AD42">
        <f ca="1">IF(AND($B$294=1,LEN($AD$189) * LEN($AD$187)&gt;0),$AD$189/$AD$187*100,HLOOKUP(INDIRECT(ADDRESS(2,COLUMN())),OFFSET($AT$2,0,0,ROW()-1,40),ROW()-1,FALSE))</f>
        <v>8.308042489</v>
      </c>
      <c r="AE42">
        <f ca="1">IF(AND($B$294=1,LEN($AE$189) * LEN($AE$187)&gt;0),$AE$189/$AE$187*100,HLOOKUP(INDIRECT(ADDRESS(2,COLUMN())),OFFSET($AT$2,0,0,ROW()-1,40),ROW()-1,FALSE))</f>
        <v>9.6352374399999992</v>
      </c>
      <c r="AF42">
        <f ca="1">IF(AND($B$294=1,LEN($AF$189) * LEN($AF$187)&gt;0),$AF$189/$AF$187*100,HLOOKUP(INDIRECT(ADDRESS(2,COLUMN())),OFFSET($AT$2,0,0,ROW()-1,40),ROW()-1,FALSE))</f>
        <v>6.5752128670000003</v>
      </c>
      <c r="AG42">
        <f ca="1">IF(AND($B$294=1,LEN($AG$189) * LEN($AG$187)&gt;0),$AG$189/$AG$187*100,HLOOKUP(INDIRECT(ADDRESS(2,COLUMN())),OFFSET($AT$2,0,0,ROW()-1,40),ROW()-1,FALSE))</f>
        <v>7.389362566</v>
      </c>
      <c r="AH42">
        <f ca="1">IF(AND($B$294=1,LEN($AH$189) * LEN($AH$187)&gt;0),$AH$189/$AH$187*100,HLOOKUP(INDIRECT(ADDRESS(2,COLUMN())),OFFSET($AT$2,0,0,ROW()-1,40),ROW()-1,FALSE))</f>
        <v>9.9428571429999995</v>
      </c>
      <c r="AI42">
        <f ca="1">IF(AND($B$294=1,LEN($AI$189) * LEN($AI$187)&gt;0),$AI$189/$AI$187*100,HLOOKUP(INDIRECT(ADDRESS(2,COLUMN())),OFFSET($AT$2,0,0,ROW()-1,40),ROW()-1,FALSE))</f>
        <v>8.0846241029999995</v>
      </c>
      <c r="AJ42">
        <f ca="1">IF(AND($B$294=1,LEN($AJ$189) * LEN($AJ$187)&gt;0),$AJ$189/$AJ$187*100,HLOOKUP(INDIRECT(ADDRESS(2,COLUMN())),OFFSET($AT$2,0,0,ROW()-1,40),ROW()-1,FALSE))</f>
        <v>7.0114942530000004</v>
      </c>
      <c r="AK42">
        <f ca="1">IF(AND($B$294=1,LEN($AK$189) * LEN($AK$187)&gt;0),$AK$189/$AK$187*100,HLOOKUP(INDIRECT(ADDRESS(2,COLUMN())),OFFSET($AT$2,0,0,ROW()-1,40),ROW()-1,FALSE))</f>
        <v>7.0138888890000004</v>
      </c>
      <c r="AL42">
        <f ca="1">IF(AND($B$294=1,LEN($AL$189) * LEN($AL$187)&gt;0),$AL$189/$AL$187*100,HLOOKUP(INDIRECT(ADDRESS(2,COLUMN())),OFFSET($AT$2,0,0,ROW()-1,40),ROW()-1,FALSE))</f>
        <v>7.2442486539999997</v>
      </c>
      <c r="AM42">
        <f ca="1">IF(AND($B$294=1,LEN($AM$189) * LEN($AM$187)&gt;0),$AM$189/$AM$187*100,HLOOKUP(INDIRECT(ADDRESS(2,COLUMN())),OFFSET($AT$2,0,0,ROW()-1,40),ROW()-1,FALSE))</f>
        <v>8.2275505409999994</v>
      </c>
      <c r="AN42">
        <f ca="1">IF(AND($B$294=1,LEN($AN$189) * LEN($AN$187)&gt;0),$AN$189/$AN$187*100,HLOOKUP(INDIRECT(ADDRESS(2,COLUMN())),OFFSET($AT$2,0,0,ROW()-1,40),ROW()-1,FALSE))</f>
        <v>10.46511628</v>
      </c>
      <c r="AO42">
        <f ca="1">IF(AND($B$294=1,LEN($AO$189) * LEN($AO$187)&gt;0),$AO$189/$AO$187*100,HLOOKUP(INDIRECT(ADDRESS(2,COLUMN())),OFFSET($AT$2,0,0,ROW()-1,40),ROW()-1,FALSE))</f>
        <v>9.4543940020000008</v>
      </c>
      <c r="AP42">
        <f ca="1">IF(AND($B$294=1,LEN($AP$189) * LEN($AP$187)&gt;0),$AP$189/$AP$187*100,HLOOKUP(INDIRECT(ADDRESS(2,COLUMN())),OFFSET($AT$2,0,0,ROW()-1,40),ROW()-1,FALSE))</f>
        <v>8.6076817559999999</v>
      </c>
      <c r="AQ42">
        <f ca="1">IF(AND($B$294=1,LEN($AQ$189) * LEN($AQ$187)&gt;0),$AQ$189/$AQ$187*100,HLOOKUP(INDIRECT(ADDRESS(2,COLUMN())),OFFSET($AT$2,0,0,ROW()-1,40),ROW()-1,FALSE))</f>
        <v>8.6922474550000004</v>
      </c>
      <c r="AR42">
        <f ca="1">IF(AND($B$294=1,LEN($AR$189) * LEN($AR$187)&gt;0),$AR$189/$AR$187*100,HLOOKUP(INDIRECT(ADDRESS(2,COLUMN())),OFFSET($AT$2,0,0,ROW()-1,40),ROW()-1,FALSE))</f>
        <v>8.8548910519999993</v>
      </c>
      <c r="AS42">
        <f ca="1">IF(AND($B$294=1,LEN($AS$189) * LEN($AS$187)&gt;0),$AS$189/$AS$187*100,HLOOKUP(INDIRECT(ADDRESS(2,COLUMN())),OFFSET($AT$2,0,0,ROW()-1,40),ROW()-1,FALSE))</f>
        <v>8.083596215</v>
      </c>
      <c r="AT42">
        <f>8.422214049</f>
        <v>8.4222140490000008</v>
      </c>
      <c r="AU42">
        <f>9.604286892</f>
        <v>9.6042868919999993</v>
      </c>
      <c r="AV42">
        <f>10.05385996</f>
        <v>10.05385996</v>
      </c>
      <c r="AW42">
        <f>10.88207095</f>
        <v>10.882070949999999</v>
      </c>
      <c r="AX42">
        <f>9.402744149</f>
        <v>9.4027441490000001</v>
      </c>
      <c r="AY42">
        <f>8.85177453</f>
        <v>8.8517745300000001</v>
      </c>
      <c r="AZ42">
        <f>9.6875</f>
        <v>9.6875</v>
      </c>
      <c r="BA42">
        <f>9.312530473</f>
        <v>9.3125304730000007</v>
      </c>
      <c r="BB42">
        <f>8.799454297</f>
        <v>8.7994542970000005</v>
      </c>
      <c r="BC42">
        <f>8.569353667</f>
        <v>8.5693536669999997</v>
      </c>
      <c r="BD42">
        <f>9.785452643</f>
        <v>9.7854526429999993</v>
      </c>
      <c r="BE42">
        <f>10.42654028</f>
        <v>10.426540279999999</v>
      </c>
      <c r="BF42">
        <f>7.377463365</f>
        <v>7.3774633649999997</v>
      </c>
      <c r="BG42">
        <f>10.82862524</f>
        <v>10.828625239999999</v>
      </c>
      <c r="BH42">
        <f>9.889502762</f>
        <v>9.8895027619999993</v>
      </c>
      <c r="BI42">
        <f>10.44152745</f>
        <v>10.441527450000001</v>
      </c>
      <c r="BJ42">
        <f>13.74007937</f>
        <v>13.74007937</v>
      </c>
      <c r="BK42">
        <f>11.35781383</f>
        <v>11.35781383</v>
      </c>
      <c r="BL42">
        <f>10.58823529</f>
        <v>10.58823529</v>
      </c>
      <c r="BM42">
        <f>8.825065274</f>
        <v>8.825065274</v>
      </c>
      <c r="BN42">
        <f>9.364908504</f>
        <v>9.3649085040000006</v>
      </c>
      <c r="BO42">
        <f>10.69587629</f>
        <v>10.695876289999999</v>
      </c>
      <c r="BP42">
        <f>10.14181349</f>
        <v>10.141813490000001</v>
      </c>
      <c r="BQ42">
        <f>10.03177485</f>
        <v>10.03177485</v>
      </c>
      <c r="BR42">
        <f>8.308042489</f>
        <v>8.308042489</v>
      </c>
      <c r="BS42">
        <f>9.63523744</f>
        <v>9.6352374399999992</v>
      </c>
      <c r="BT42">
        <f>6.575212867</f>
        <v>6.5752128670000003</v>
      </c>
      <c r="BU42">
        <f>7.389362566</f>
        <v>7.389362566</v>
      </c>
      <c r="BV42">
        <f>9.942857143</f>
        <v>9.9428571429999995</v>
      </c>
      <c r="BW42">
        <f>8.084624103</f>
        <v>8.0846241029999995</v>
      </c>
      <c r="BX42">
        <f>7.011494253</f>
        <v>7.0114942530000004</v>
      </c>
      <c r="BY42">
        <f>7.013888889</f>
        <v>7.0138888890000004</v>
      </c>
      <c r="BZ42">
        <f>7.244248654</f>
        <v>7.2442486539999997</v>
      </c>
      <c r="CA42">
        <f>8.227550541</f>
        <v>8.2275505409999994</v>
      </c>
      <c r="CB42">
        <f>10.46511628</f>
        <v>10.46511628</v>
      </c>
      <c r="CC42">
        <f>9.454394002</f>
        <v>9.4543940020000008</v>
      </c>
      <c r="CD42">
        <f>8.607681756</f>
        <v>8.6076817559999999</v>
      </c>
      <c r="CE42">
        <f>8.692247455</f>
        <v>8.6922474550000004</v>
      </c>
      <c r="CF42">
        <f>8.854891052</f>
        <v>8.8548910519999993</v>
      </c>
      <c r="CG42">
        <f>8.083596215</f>
        <v>8.083596215</v>
      </c>
    </row>
    <row r="43" spans="1:85" x14ac:dyDescent="0.25">
      <c r="A43" t="str">
        <f>"        Sterling"</f>
        <v xml:space="preserve">        Sterling</v>
      </c>
      <c r="B43" t="str">
        <f>"DAI GR Equity"</f>
        <v>DAI GR Equity</v>
      </c>
      <c r="E43" t="str">
        <f>"Expression"</f>
        <v>Expression</v>
      </c>
      <c r="F43" t="str">
        <f ca="1">IF(AND($B$294=1,LEN($F$190) * LEN($F$187)&gt;0),$F$190/$F$187*100,HLOOKUP(INDIRECT(ADDRESS(2,COLUMN())),OFFSET($AT$2,0,0,ROW()-1,40),ROW()-1,FALSE))</f>
        <v/>
      </c>
      <c r="G43" t="str">
        <f ca="1">IF(AND($B$294=1,LEN($G$190) * LEN($G$187)&gt;0),$G$190/$G$187*100,HLOOKUP(INDIRECT(ADDRESS(2,COLUMN())),OFFSET($AT$2,0,0,ROW()-1,40),ROW()-1,FALSE))</f>
        <v/>
      </c>
      <c r="H43" t="str">
        <f ca="1">IF(AND($B$294=1,LEN($H$190) * LEN($H$187)&gt;0),$H$190/$H$187*100,HLOOKUP(INDIRECT(ADDRESS(2,COLUMN())),OFFSET($AT$2,0,0,ROW()-1,40),ROW()-1,FALSE))</f>
        <v/>
      </c>
      <c r="I43" t="str">
        <f ca="1">IF(AND($B$294=1,LEN($I$190) * LEN($I$187)&gt;0),$I$190/$I$187*100,HLOOKUP(INDIRECT(ADDRESS(2,COLUMN())),OFFSET($AT$2,0,0,ROW()-1,40),ROW()-1,FALSE))</f>
        <v/>
      </c>
      <c r="J43" t="str">
        <f ca="1">IF(AND($B$294=1,LEN($J$190) * LEN($J$187)&gt;0),$J$190/$J$187*100,HLOOKUP(INDIRECT(ADDRESS(2,COLUMN())),OFFSET($AT$2,0,0,ROW()-1,40),ROW()-1,FALSE))</f>
        <v/>
      </c>
      <c r="K43" t="str">
        <f ca="1">IF(AND($B$294=1,LEN($K$190) * LEN($K$187)&gt;0),$K$190/$K$187*100,HLOOKUP(INDIRECT(ADDRESS(2,COLUMN())),OFFSET($AT$2,0,0,ROW()-1,40),ROW()-1,FALSE))</f>
        <v/>
      </c>
      <c r="L43" t="str">
        <f ca="1">IF(AND($B$294=1,LEN($L$190) * LEN($L$187)&gt;0),$L$190/$L$187*100,HLOOKUP(INDIRECT(ADDRESS(2,COLUMN())),OFFSET($AT$2,0,0,ROW()-1,40),ROW()-1,FALSE))</f>
        <v/>
      </c>
      <c r="M43" t="str">
        <f ca="1">IF(AND($B$294=1,LEN($M$190) * LEN($M$187)&gt;0),$M$190/$M$187*100,HLOOKUP(INDIRECT(ADDRESS(2,COLUMN())),OFFSET($AT$2,0,0,ROW()-1,40),ROW()-1,FALSE))</f>
        <v/>
      </c>
      <c r="N43" t="str">
        <f ca="1">IF(AND($B$294=1,LEN($N$190) * LEN($N$187)&gt;0),$N$190/$N$187*100,HLOOKUP(INDIRECT(ADDRESS(2,COLUMN())),OFFSET($AT$2,0,0,ROW()-1,40),ROW()-1,FALSE))</f>
        <v/>
      </c>
      <c r="O43" t="str">
        <f ca="1">IF(AND($B$294=1,LEN($O$190) * LEN($O$187)&gt;0),$O$190/$O$187*100,HLOOKUP(INDIRECT(ADDRESS(2,COLUMN())),OFFSET($AT$2,0,0,ROW()-1,40),ROW()-1,FALSE))</f>
        <v/>
      </c>
      <c r="P43" t="str">
        <f ca="1">IF(AND($B$294=1,LEN($P$190) * LEN($P$187)&gt;0),$P$190/$P$187*100,HLOOKUP(INDIRECT(ADDRESS(2,COLUMN())),OFFSET($AT$2,0,0,ROW()-1,40),ROW()-1,FALSE))</f>
        <v/>
      </c>
      <c r="Q43" t="str">
        <f ca="1">IF(AND($B$294=1,LEN($Q$190) * LEN($Q$187)&gt;0),$Q$190/$Q$187*100,HLOOKUP(INDIRECT(ADDRESS(2,COLUMN())),OFFSET($AT$2,0,0,ROW()-1,40),ROW()-1,FALSE))</f>
        <v/>
      </c>
      <c r="R43" t="str">
        <f ca="1">IF(AND($B$294=1,LEN($R$190) * LEN($R$187)&gt;0),$R$190/$R$187*100,HLOOKUP(INDIRECT(ADDRESS(2,COLUMN())),OFFSET($AT$2,0,0,ROW()-1,40),ROW()-1,FALSE))</f>
        <v/>
      </c>
      <c r="S43" t="str">
        <f ca="1">IF(AND($B$294=1,LEN($S$190) * LEN($S$187)&gt;0),$S$190/$S$187*100,HLOOKUP(INDIRECT(ADDRESS(2,COLUMN())),OFFSET($AT$2,0,0,ROW()-1,40),ROW()-1,FALSE))</f>
        <v/>
      </c>
      <c r="T43" t="str">
        <f ca="1">IF(AND($B$294=1,LEN($T$190) * LEN($T$187)&gt;0),$T$190/$T$187*100,HLOOKUP(INDIRECT(ADDRESS(2,COLUMN())),OFFSET($AT$2,0,0,ROW()-1,40),ROW()-1,FALSE))</f>
        <v/>
      </c>
      <c r="U43" t="str">
        <f ca="1">IF(AND($B$294=1,LEN($U$190) * LEN($U$187)&gt;0),$U$190/$U$187*100,HLOOKUP(INDIRECT(ADDRESS(2,COLUMN())),OFFSET($AT$2,0,0,ROW()-1,40),ROW()-1,FALSE))</f>
        <v/>
      </c>
      <c r="V43" t="str">
        <f ca="1">IF(AND($B$294=1,LEN($V$190) * LEN($V$187)&gt;0),$V$190/$V$187*100,HLOOKUP(INDIRECT(ADDRESS(2,COLUMN())),OFFSET($AT$2,0,0,ROW()-1,40),ROW()-1,FALSE))</f>
        <v/>
      </c>
      <c r="W43" t="str">
        <f ca="1">IF(AND($B$294=1,LEN($W$190) * LEN($W$187)&gt;0),$W$190/$W$187*100,HLOOKUP(INDIRECT(ADDRESS(2,COLUMN())),OFFSET($AT$2,0,0,ROW()-1,40),ROW()-1,FALSE))</f>
        <v/>
      </c>
      <c r="X43" t="str">
        <f ca="1">IF(AND($B$294=1,LEN($X$190) * LEN($X$187)&gt;0),$X$190/$X$187*100,HLOOKUP(INDIRECT(ADDRESS(2,COLUMN())),OFFSET($AT$2,0,0,ROW()-1,40),ROW()-1,FALSE))</f>
        <v/>
      </c>
      <c r="Y43" t="str">
        <f ca="1">IF(AND($B$294=1,LEN($Y$190) * LEN($Y$187)&gt;0),$Y$190/$Y$187*100,HLOOKUP(INDIRECT(ADDRESS(2,COLUMN())),OFFSET($AT$2,0,0,ROW()-1,40),ROW()-1,FALSE))</f>
        <v/>
      </c>
      <c r="Z43" t="str">
        <f ca="1">IF(AND($B$294=1,LEN($Z$190) * LEN($Z$187)&gt;0),$Z$190/$Z$187*100,HLOOKUP(INDIRECT(ADDRESS(2,COLUMN())),OFFSET($AT$2,0,0,ROW()-1,40),ROW()-1,FALSE))</f>
        <v/>
      </c>
      <c r="AA43" t="str">
        <f ca="1">IF(AND($B$294=1,LEN($AA$190) * LEN($AA$187)&gt;0),$AA$190/$AA$187*100,HLOOKUP(INDIRECT(ADDRESS(2,COLUMN())),OFFSET($AT$2,0,0,ROW()-1,40),ROW()-1,FALSE))</f>
        <v/>
      </c>
      <c r="AB43" t="str">
        <f ca="1">IF(AND($B$294=1,LEN($AB$190) * LEN($AB$187)&gt;0),$AB$190/$AB$187*100,HLOOKUP(INDIRECT(ADDRESS(2,COLUMN())),OFFSET($AT$2,0,0,ROW()-1,40),ROW()-1,FALSE))</f>
        <v/>
      </c>
      <c r="AC43" t="str">
        <f ca="1">IF(AND($B$294=1,LEN($AC$190) * LEN($AC$187)&gt;0),$AC$190/$AC$187*100,HLOOKUP(INDIRECT(ADDRESS(2,COLUMN())),OFFSET($AT$2,0,0,ROW()-1,40),ROW()-1,FALSE))</f>
        <v/>
      </c>
      <c r="AD43" t="str">
        <f ca="1">IF(AND($B$294=1,LEN($AD$190) * LEN($AD$187)&gt;0),$AD$190/$AD$187*100,HLOOKUP(INDIRECT(ADDRESS(2,COLUMN())),OFFSET($AT$2,0,0,ROW()-1,40),ROW()-1,FALSE))</f>
        <v/>
      </c>
      <c r="AE43" t="str">
        <f ca="1">IF(AND($B$294=1,LEN($AE$190) * LEN($AE$187)&gt;0),$AE$190/$AE$187*100,HLOOKUP(INDIRECT(ADDRESS(2,COLUMN())),OFFSET($AT$2,0,0,ROW()-1,40),ROW()-1,FALSE))</f>
        <v/>
      </c>
      <c r="AF43" t="str">
        <f ca="1">IF(AND($B$294=1,LEN($AF$190) * LEN($AF$187)&gt;0),$AF$190/$AF$187*100,HLOOKUP(INDIRECT(ADDRESS(2,COLUMN())),OFFSET($AT$2,0,0,ROW()-1,40),ROW()-1,FALSE))</f>
        <v/>
      </c>
      <c r="AG43" t="str">
        <f ca="1">IF(AND($B$294=1,LEN($AG$190) * LEN($AG$187)&gt;0),$AG$190/$AG$187*100,HLOOKUP(INDIRECT(ADDRESS(2,COLUMN())),OFFSET($AT$2,0,0,ROW()-1,40),ROW()-1,FALSE))</f>
        <v/>
      </c>
      <c r="AH43" t="str">
        <f ca="1">IF(AND($B$294=1,LEN($AH$190) * LEN($AH$187)&gt;0),$AH$190/$AH$187*100,HLOOKUP(INDIRECT(ADDRESS(2,COLUMN())),OFFSET($AT$2,0,0,ROW()-1,40),ROW()-1,FALSE))</f>
        <v/>
      </c>
      <c r="AI43" t="str">
        <f ca="1">IF(AND($B$294=1,LEN($AI$190) * LEN($AI$187)&gt;0),$AI$190/$AI$187*100,HLOOKUP(INDIRECT(ADDRESS(2,COLUMN())),OFFSET($AT$2,0,0,ROW()-1,40),ROW()-1,FALSE))</f>
        <v/>
      </c>
      <c r="AJ43" t="str">
        <f ca="1">IF(AND($B$294=1,LEN($AJ$190) * LEN($AJ$187)&gt;0),$AJ$190/$AJ$187*100,HLOOKUP(INDIRECT(ADDRESS(2,COLUMN())),OFFSET($AT$2,0,0,ROW()-1,40),ROW()-1,FALSE))</f>
        <v/>
      </c>
      <c r="AK43" t="str">
        <f ca="1">IF(AND($B$294=1,LEN($AK$190) * LEN($AK$187)&gt;0),$AK$190/$AK$187*100,HLOOKUP(INDIRECT(ADDRESS(2,COLUMN())),OFFSET($AT$2,0,0,ROW()-1,40),ROW()-1,FALSE))</f>
        <v/>
      </c>
      <c r="AL43" t="str">
        <f ca="1">IF(AND($B$294=1,LEN($AL$190) * LEN($AL$187)&gt;0),$AL$190/$AL$187*100,HLOOKUP(INDIRECT(ADDRESS(2,COLUMN())),OFFSET($AT$2,0,0,ROW()-1,40),ROW()-1,FALSE))</f>
        <v/>
      </c>
      <c r="AM43" t="str">
        <f ca="1">IF(AND($B$294=1,LEN($AM$190) * LEN($AM$187)&gt;0),$AM$190/$AM$187*100,HLOOKUP(INDIRECT(ADDRESS(2,COLUMN())),OFFSET($AT$2,0,0,ROW()-1,40),ROW()-1,FALSE))</f>
        <v/>
      </c>
      <c r="AN43" t="str">
        <f ca="1">IF(AND($B$294=1,LEN($AN$190) * LEN($AN$187)&gt;0),$AN$190/$AN$187*100,HLOOKUP(INDIRECT(ADDRESS(2,COLUMN())),OFFSET($AT$2,0,0,ROW()-1,40),ROW()-1,FALSE))</f>
        <v/>
      </c>
      <c r="AO43" t="str">
        <f ca="1">IF(AND($B$294=1,LEN($AO$190) * LEN($AO$187)&gt;0),$AO$190/$AO$187*100,HLOOKUP(INDIRECT(ADDRESS(2,COLUMN())),OFFSET($AT$2,0,0,ROW()-1,40),ROW()-1,FALSE))</f>
        <v/>
      </c>
      <c r="AP43" t="str">
        <f ca="1">IF(AND($B$294=1,LEN($AP$190) * LEN($AP$187)&gt;0),$AP$190/$AP$187*100,HLOOKUP(INDIRECT(ADDRESS(2,COLUMN())),OFFSET($AT$2,0,0,ROW()-1,40),ROW()-1,FALSE))</f>
        <v/>
      </c>
      <c r="AQ43" t="str">
        <f ca="1">IF(AND($B$294=1,LEN($AQ$190) * LEN($AQ$187)&gt;0),$AQ$190/$AQ$187*100,HLOOKUP(INDIRECT(ADDRESS(2,COLUMN())),OFFSET($AT$2,0,0,ROW()-1,40),ROW()-1,FALSE))</f>
        <v/>
      </c>
      <c r="AR43" t="str">
        <f ca="1">IF(AND($B$294=1,LEN($AR$190) * LEN($AR$187)&gt;0),$AR$190/$AR$187*100,HLOOKUP(INDIRECT(ADDRESS(2,COLUMN())),OFFSET($AT$2,0,0,ROW()-1,40),ROW()-1,FALSE))</f>
        <v/>
      </c>
      <c r="AS43" t="str">
        <f ca="1">IF(AND($B$294=1,LEN($AS$190) * LEN($AS$187)&gt;0),$AS$190/$AS$187*100,HLOOKUP(INDIRECT(ADDRESS(2,COLUMN())),OFFSET($AT$2,0,0,ROW()-1,40),ROW()-1,FALSE))</f>
        <v/>
      </c>
      <c r="AT43" t="str">
        <f>""</f>
        <v/>
      </c>
      <c r="AU43" t="str">
        <f>""</f>
        <v/>
      </c>
      <c r="AV43" t="str">
        <f>""</f>
        <v/>
      </c>
      <c r="AW43" t="str">
        <f>""</f>
        <v/>
      </c>
      <c r="AX43" t="str">
        <f>""</f>
        <v/>
      </c>
      <c r="AY43" t="str">
        <f>""</f>
        <v/>
      </c>
      <c r="AZ43" t="str">
        <f>""</f>
        <v/>
      </c>
      <c r="BA43" t="str">
        <f>""</f>
        <v/>
      </c>
      <c r="BB43" t="str">
        <f>""</f>
        <v/>
      </c>
      <c r="BC43" t="str">
        <f>""</f>
        <v/>
      </c>
      <c r="BD43" t="str">
        <f>""</f>
        <v/>
      </c>
      <c r="BE43" t="str">
        <f>""</f>
        <v/>
      </c>
      <c r="BF43" t="str">
        <f>""</f>
        <v/>
      </c>
      <c r="BG43" t="str">
        <f>""</f>
        <v/>
      </c>
      <c r="BH43" t="str">
        <f>""</f>
        <v/>
      </c>
      <c r="BI43" t="str">
        <f>""</f>
        <v/>
      </c>
      <c r="BJ43" t="str">
        <f>""</f>
        <v/>
      </c>
      <c r="BK43" t="str">
        <f>""</f>
        <v/>
      </c>
      <c r="BL43" t="str">
        <f>""</f>
        <v/>
      </c>
      <c r="BM43" t="str">
        <f>""</f>
        <v/>
      </c>
      <c r="BN43" t="str">
        <f>""</f>
        <v/>
      </c>
      <c r="BO43" t="str">
        <f>""</f>
        <v/>
      </c>
      <c r="BP43" t="str">
        <f>""</f>
        <v/>
      </c>
      <c r="BQ43" t="str">
        <f>""</f>
        <v/>
      </c>
      <c r="BR43" t="str">
        <f>""</f>
        <v/>
      </c>
      <c r="BS43" t="str">
        <f>""</f>
        <v/>
      </c>
      <c r="BT43" t="str">
        <f>""</f>
        <v/>
      </c>
      <c r="BU43" t="str">
        <f>""</f>
        <v/>
      </c>
      <c r="BV43" t="str">
        <f>""</f>
        <v/>
      </c>
      <c r="BW43" t="str">
        <f>""</f>
        <v/>
      </c>
      <c r="BX43" t="str">
        <f>""</f>
        <v/>
      </c>
      <c r="BY43" t="str">
        <f>""</f>
        <v/>
      </c>
      <c r="BZ43" t="str">
        <f>""</f>
        <v/>
      </c>
      <c r="CA43" t="str">
        <f>""</f>
        <v/>
      </c>
      <c r="CB43" t="str">
        <f>""</f>
        <v/>
      </c>
      <c r="CC43" t="str">
        <f>""</f>
        <v/>
      </c>
      <c r="CD43" t="str">
        <f>""</f>
        <v/>
      </c>
      <c r="CE43" t="str">
        <f>""</f>
        <v/>
      </c>
      <c r="CF43" t="str">
        <f>""</f>
        <v/>
      </c>
      <c r="CG43" t="str">
        <f>""</f>
        <v/>
      </c>
    </row>
    <row r="44" spans="1:85" x14ac:dyDescent="0.25">
      <c r="A44" t="str">
        <f>"    PACCAR"</f>
        <v xml:space="preserve">    PACCAR</v>
      </c>
      <c r="B44" t="str">
        <f>"PCAR US Equity"</f>
        <v>PCAR US Equity</v>
      </c>
      <c r="E44" t="str">
        <f>"Sum"</f>
        <v>Sum</v>
      </c>
      <c r="F44">
        <f ca="1">IF(ISERROR(IF(SUM($F$45:$F$46) = 0, "", SUM($F$45:$F$46))), "", (IF(SUM($F$45:$F$46) = 0, "", SUM($F$45:$F$46))))</f>
        <v>25.891872012</v>
      </c>
      <c r="G44">
        <f ca="1">IF(ISERROR(IF(SUM($G$45:$G$46) = 0, "", SUM($G$45:$G$46))), "", (IF(SUM($G$45:$G$46) = 0, "", SUM($G$45:$G$46))))</f>
        <v>27.617477319999999</v>
      </c>
      <c r="H44">
        <f ca="1">IF(ISERROR(IF(SUM($H$45:$H$46) = 0, "", SUM($H$45:$H$46))), "", (IF(SUM($H$45:$H$46) = 0, "", SUM($H$45:$H$46))))</f>
        <v>29.08438061</v>
      </c>
      <c r="I44">
        <f ca="1">IF(ISERROR(IF(SUM($I$45:$I$46) = 0, "", SUM($I$45:$I$46))), "", (IF(SUM($I$45:$I$46) = 0, "", SUM($I$45:$I$46))))</f>
        <v>33.509108349999998</v>
      </c>
      <c r="J44">
        <f ca="1">IF(ISERROR(IF(SUM($J$45:$J$46) = 0, "", SUM($J$45:$J$46))), "", (IF(SUM($J$45:$J$46) = 0, "", SUM($J$45:$J$46))))</f>
        <v>26.795803069999998</v>
      </c>
      <c r="K44">
        <f ca="1">IF(ISERROR(IF(SUM($K$45:$K$46) = 0, "", SUM($K$45:$K$46))), "", (IF(SUM($K$45:$K$46) = 0, "", SUM($K$45:$K$46))))</f>
        <v>29.853862209999999</v>
      </c>
      <c r="L44">
        <f ca="1">IF(ISERROR(IF(SUM($L$45:$L$46) = 0, "", SUM($L$45:$L$46))), "", (IF(SUM($L$45:$L$46) = 0, "", SUM($L$45:$L$46))))</f>
        <v>25</v>
      </c>
      <c r="M44">
        <f ca="1">IF(ISERROR(IF(SUM($M$45:$M$46) = 0, "", SUM($M$45:$M$46))), "", (IF(SUM($M$45:$M$46) = 0, "", SUM($M$45:$M$46))))</f>
        <v>26.182350069999998</v>
      </c>
      <c r="N44">
        <f ca="1">IF(ISERROR(IF(SUM($N$45:$N$46) = 0, "", SUM($N$45:$N$46))), "", (IF(SUM($N$45:$N$46) = 0, "", SUM($N$45:$N$46))))</f>
        <v>28.171896310000001</v>
      </c>
      <c r="O44">
        <f ca="1">IF(ISERROR(IF(SUM($O$45:$O$46) = 0, "", SUM($O$45:$O$46))), "", (IF(SUM($O$45:$O$46) = 0, "", SUM($O$45:$O$46))))</f>
        <v>25.708061000000001</v>
      </c>
      <c r="P44">
        <f ca="1">IF(ISERROR(IF(SUM($P$45:$P$46) = 0, "", SUM($P$45:$P$46))), "", (IF(SUM($P$45:$P$46) = 0, "", SUM($P$45:$P$46))))</f>
        <v>25.53636839</v>
      </c>
      <c r="Q44">
        <f ca="1">IF(ISERROR(IF(SUM($Q$45:$Q$46) = 0, "", SUM($Q$45:$Q$46))), "", (IF(SUM($Q$45:$Q$46) = 0, "", SUM($Q$45:$Q$46))))</f>
        <v>24.381253300000001</v>
      </c>
      <c r="R44">
        <f ca="1">IF(ISERROR(IF(SUM($R$45:$R$46) = 0, "", SUM($R$45:$R$46))), "", (IF(SUM($R$45:$R$46) = 0, "", SUM($R$45:$R$46))))</f>
        <v>27.03385548</v>
      </c>
      <c r="S44">
        <f ca="1">IF(ISERROR(IF(SUM($S$45:$S$46) = 0, "", SUM($S$45:$S$46))), "", (IF(SUM($S$45:$S$46) = 0, "", SUM($S$45:$S$46))))</f>
        <v>23.634651601000002</v>
      </c>
      <c r="T44">
        <f ca="1">IF(ISERROR(IF(SUM($T$45:$T$46) = 0, "", SUM($T$45:$T$46))), "", (IF(SUM($T$45:$T$46) = 0, "", SUM($T$45:$T$46))))</f>
        <v>28.950276240000001</v>
      </c>
      <c r="U44">
        <f ca="1">IF(ISERROR(IF(SUM($U$45:$U$46) = 0, "", SUM($U$45:$U$46))), "", (IF(SUM($U$45:$U$46) = 0, "", SUM($U$45:$U$46))))</f>
        <v>27.863961809999999</v>
      </c>
      <c r="V44">
        <f ca="1">IF(ISERROR(IF(SUM($V$45:$V$46) = 0, "", SUM($V$45:$V$46))), "", (IF(SUM($V$45:$V$46) = 0, "", SUM($V$45:$V$46))))</f>
        <v>26.240079360000003</v>
      </c>
      <c r="W44">
        <f ca="1">IF(ISERROR(IF(SUM($W$45:$W$46) = 0, "", SUM($W$45:$W$46))), "", (IF(SUM($W$45:$W$46) = 0, "", SUM($W$45:$W$46))))</f>
        <v>21.007685742</v>
      </c>
      <c r="X44">
        <f ca="1">IF(ISERROR(IF(SUM($X$45:$X$46) = 0, "", SUM($X$45:$X$46))), "", (IF(SUM($X$45:$X$46) = 0, "", SUM($X$45:$X$46))))</f>
        <v>21.739130429999999</v>
      </c>
      <c r="Y44">
        <f ca="1">IF(ISERROR(IF(SUM($Y$45:$Y$46) = 0, "", SUM($Y$45:$Y$46))), "", (IF(SUM($Y$45:$Y$46) = 0, "", SUM($Y$45:$Y$46))))</f>
        <v>22.297650132999998</v>
      </c>
      <c r="Z44">
        <f ca="1">IF(ISERROR(IF(SUM($Z$45:$Z$46) = 0, "", SUM($Z$45:$Z$46))), "", (IF(SUM($Z$45:$Z$46) = 0, "", SUM($Z$45:$Z$46))))</f>
        <v>17.384284176000001</v>
      </c>
      <c r="AA44">
        <f ca="1">IF(ISERROR(IF(SUM($AA$45:$AA$46) = 0, "", SUM($AA$45:$AA$46))), "", (IF(SUM($AA$45:$AA$46) = 0, "", SUM($AA$45:$AA$46))))</f>
        <v>18.75</v>
      </c>
      <c r="AB44">
        <f ca="1">IF(ISERROR(IF(SUM($AB$45:$AB$46) = 0, "", SUM($AB$45:$AB$46))), "", (IF(SUM($AB$45:$AB$46) = 0, "", SUM($AB$45:$AB$46))))</f>
        <v>20.928233773999999</v>
      </c>
      <c r="AC44">
        <f ca="1">IF(ISERROR(IF(SUM($AC$45:$AC$46) = 0, "", SUM($AC$45:$AC$46))), "", (IF(SUM($AC$45:$AC$46) = 0, "", SUM($AC$45:$AC$46))))</f>
        <v>22.968679074999997</v>
      </c>
      <c r="AD44">
        <f ca="1">IF(ISERROR(IF(SUM($AD$45:$AD$46) = 0, "", SUM($AD$45:$AD$46))), "", (IF(SUM($AD$45:$AD$46) = 0, "", SUM($AD$45:$AD$46))))</f>
        <v>19.537177542999999</v>
      </c>
      <c r="AE44">
        <f ca="1">IF(ISERROR(IF(SUM($AE$45:$AE$46) = 0, "", SUM($AE$45:$AE$46))), "", (IF(SUM($AE$45:$AE$46) = 0, "", SUM($AE$45:$AE$46))))</f>
        <v>23.090158289999998</v>
      </c>
      <c r="AF44">
        <f ca="1">IF(ISERROR(IF(SUM($AF$45:$AF$46) = 0, "", SUM($AF$45:$AF$46))), "", (IF(SUM($AF$45:$AF$46) = 0, "", SUM($AF$45:$AF$46))))</f>
        <v>28.240302740000001</v>
      </c>
      <c r="AG44">
        <f ca="1">IF(ISERROR(IF(SUM($AG$45:$AG$46) = 0, "", SUM($AG$45:$AG$46))), "", (IF(SUM($AG$45:$AG$46) = 0, "", SUM($AG$45:$AG$46))))</f>
        <v>27.933414540000001</v>
      </c>
      <c r="AH44">
        <f ca="1">IF(ISERROR(IF(SUM($AH$45:$AH$46) = 0, "", SUM($AH$45:$AH$46))), "", (IF(SUM($AH$45:$AH$46) = 0, "", SUM($AH$45:$AH$46))))</f>
        <v>22.323809519999998</v>
      </c>
      <c r="AI44">
        <f ca="1">IF(ISERROR(IF(SUM($AI$45:$AI$46) = 0, "", SUM($AI$45:$AI$46))), "", (IF(SUM($AI$45:$AI$46) = 0, "", SUM($AI$45:$AI$46))))</f>
        <v>26.48281072</v>
      </c>
      <c r="AJ44">
        <f ca="1">IF(ISERROR(IF(SUM($AJ$45:$AJ$46) = 0, "", SUM($AJ$45:$AJ$46))), "", (IF(SUM($AJ$45:$AJ$46) = 0, "", SUM($AJ$45:$AJ$46))))</f>
        <v>27.62452107</v>
      </c>
      <c r="AK44">
        <f ca="1">IF(ISERROR(IF(SUM($AK$45:$AK$46) = 0, "", SUM($AK$45:$AK$46))), "", (IF(SUM($AK$45:$AK$46) = 0, "", SUM($AK$45:$AK$46))))</f>
        <v>24.82638889</v>
      </c>
      <c r="AL44">
        <f ca="1">IF(ISERROR(IF(SUM($AL$45:$AL$46) = 0, "", SUM($AL$45:$AL$46))), "", (IF(SUM($AL$45:$AL$46) = 0, "", SUM($AL$45:$AL$46))))</f>
        <v>25.403817912999997</v>
      </c>
      <c r="AM44">
        <f ca="1">IF(ISERROR(IF(SUM($AM$45:$AM$46) = 0, "", SUM($AM$45:$AM$46))), "", (IF(SUM($AM$45:$AM$46) = 0, "", SUM($AM$45:$AM$46))))</f>
        <v>28.25575929</v>
      </c>
      <c r="AN44">
        <f ca="1">IF(ISERROR(IF(SUM($AN$45:$AN$46) = 0, "", SUM($AN$45:$AN$46))), "", (IF(SUM($AN$45:$AN$46) = 0, "", SUM($AN$45:$AN$46))))</f>
        <v>28.919729929999999</v>
      </c>
      <c r="AO44">
        <f ca="1">IF(ISERROR(IF(SUM($AO$45:$AO$46) = 0, "", SUM($AO$45:$AO$46))), "", (IF(SUM($AO$45:$AO$46) = 0, "", SUM($AO$45:$AO$46))))</f>
        <v>31.070387340000003</v>
      </c>
      <c r="AP44">
        <f ca="1">IF(ISERROR(IF(SUM($AP$45:$AP$46) = 0, "", SUM($AP$45:$AP$46))), "", (IF(SUM($AP$45:$AP$46) = 0, "", SUM($AP$45:$AP$46))))</f>
        <v>29.252400539999996</v>
      </c>
      <c r="AQ44">
        <f ca="1">IF(ISERROR(IF(SUM($AQ$45:$AQ$46) = 0, "", SUM($AQ$45:$AQ$46))), "", (IF(SUM($AQ$45:$AQ$46) = 0, "", SUM($AQ$45:$AQ$46))))</f>
        <v>32.223962409999999</v>
      </c>
      <c r="AR44">
        <f ca="1">IF(ISERROR(IF(SUM($AR$45:$AR$46) = 0, "", SUM($AR$45:$AR$46))), "", (IF(SUM($AR$45:$AR$46) = 0, "", SUM($AR$45:$AR$46))))</f>
        <v>33.657858130000001</v>
      </c>
      <c r="AS44">
        <f ca="1">IF(ISERROR(IF(SUM($AS$45:$AS$46) = 0, "", SUM($AS$45:$AS$46))), "", (IF(SUM($AS$45:$AS$46) = 0, "", SUM($AS$45:$AS$46))))</f>
        <v>30.08675079</v>
      </c>
      <c r="AT44">
        <f>25.89187201</f>
        <v>25.89187201</v>
      </c>
      <c r="AU44">
        <f>27.61747733</f>
        <v>27.61747733</v>
      </c>
      <c r="AV44">
        <f>29.08438061</f>
        <v>29.08438061</v>
      </c>
      <c r="AW44">
        <f>33.50910834</f>
        <v>33.509108339999997</v>
      </c>
      <c r="AX44">
        <f>26.79580307</f>
        <v>26.795803070000002</v>
      </c>
      <c r="AY44">
        <f>29.85386221</f>
        <v>29.853862209999999</v>
      </c>
      <c r="AZ44">
        <f>25</f>
        <v>25</v>
      </c>
      <c r="BA44">
        <f>26.18235007</f>
        <v>26.182350069999998</v>
      </c>
      <c r="BB44">
        <f>28.17189632</f>
        <v>28.171896319999998</v>
      </c>
      <c r="BC44">
        <f>25.708061</f>
        <v>25.708061000000001</v>
      </c>
      <c r="BD44">
        <f>25.53636839</f>
        <v>25.53636839</v>
      </c>
      <c r="BE44">
        <f>24.38125329</f>
        <v>24.38125329</v>
      </c>
      <c r="BF44">
        <f>27.03385548</f>
        <v>27.03385548</v>
      </c>
      <c r="BG44">
        <f>23.6346516</f>
        <v>23.634651600000002</v>
      </c>
      <c r="BH44">
        <f>28.95027624</f>
        <v>28.950276240000001</v>
      </c>
      <c r="BI44">
        <f>27.86396181</f>
        <v>27.863961809999999</v>
      </c>
      <c r="BJ44">
        <f>26.24007937</f>
        <v>26.24007937</v>
      </c>
      <c r="BK44">
        <f>21.00768574</f>
        <v>21.007685739999999</v>
      </c>
      <c r="BL44">
        <f>21.73913043</f>
        <v>21.739130429999999</v>
      </c>
      <c r="BM44">
        <f>22.29765013</f>
        <v>22.297650130000001</v>
      </c>
      <c r="BN44">
        <f>17.38428418</f>
        <v>17.384284180000002</v>
      </c>
      <c r="BO44">
        <f>18.75</f>
        <v>18.75</v>
      </c>
      <c r="BP44">
        <f>20.92823378</f>
        <v>20.928233779999999</v>
      </c>
      <c r="BQ44">
        <f>22.96867907</f>
        <v>22.96867907</v>
      </c>
      <c r="BR44">
        <f>19.53717754</f>
        <v>19.537177539999998</v>
      </c>
      <c r="BS44">
        <f>23.09015829</f>
        <v>23.090158290000002</v>
      </c>
      <c r="BT44">
        <f>28.24030274</f>
        <v>28.240302740000001</v>
      </c>
      <c r="BU44">
        <f>27.93341454</f>
        <v>27.933414540000001</v>
      </c>
      <c r="BV44">
        <f>22.32380952</f>
        <v>22.323809520000001</v>
      </c>
      <c r="BW44">
        <f>26.48281073</f>
        <v>26.482810730000001</v>
      </c>
      <c r="BX44">
        <f>27.62452107</f>
        <v>27.62452107</v>
      </c>
      <c r="BY44">
        <f>24.82638889</f>
        <v>24.82638889</v>
      </c>
      <c r="BZ44">
        <f>25.40381791</f>
        <v>25.403817910000001</v>
      </c>
      <c r="CA44">
        <f>28.25575929</f>
        <v>28.25575929</v>
      </c>
      <c r="CB44">
        <f>28.91972993</f>
        <v>28.919729929999999</v>
      </c>
      <c r="CC44">
        <f>31.07038734</f>
        <v>31.07038734</v>
      </c>
      <c r="CD44">
        <f>29.25240055</f>
        <v>29.252400550000001</v>
      </c>
      <c r="CE44">
        <f>32.22396241</f>
        <v>32.223962409999999</v>
      </c>
      <c r="CF44">
        <f>33.65785814</f>
        <v>33.657858140000002</v>
      </c>
      <c r="CG44">
        <f>30.08675079</f>
        <v>30.08675079</v>
      </c>
    </row>
    <row r="45" spans="1:85" x14ac:dyDescent="0.25">
      <c r="A45" t="str">
        <f>"        Kenworth"</f>
        <v xml:space="preserve">        Kenworth</v>
      </c>
      <c r="B45" t="str">
        <f>"PCAR US Equity"</f>
        <v>PCAR US Equity</v>
      </c>
      <c r="E45" t="str">
        <f>"Expression"</f>
        <v>Expression</v>
      </c>
      <c r="F45">
        <f ca="1">IF(AND($B$294=1,LEN($F$191) * LEN($F$187)&gt;0),$F$191/$F$187*100,HLOOKUP(INDIRECT(ADDRESS(2,COLUMN())),OFFSET($AT$2,0,0,ROW()-1,40),ROW()-1,FALSE))</f>
        <v>16.550202280000001</v>
      </c>
      <c r="G45">
        <f ca="1">IF(AND($B$294=1,LEN($G$191) * LEN($G$187)&gt;0),$G$191/$G$187*100,HLOOKUP(INDIRECT(ADDRESS(2,COLUMN())),OFFSET($AT$2,0,0,ROW()-1,40),ROW()-1,FALSE))</f>
        <v>17.31244847</v>
      </c>
      <c r="H45">
        <f ca="1">IF(AND($B$294=1,LEN($H$191) * LEN($H$187)&gt;0),$H$191/$H$187*100,HLOOKUP(INDIRECT(ADDRESS(2,COLUMN())),OFFSET($AT$2,0,0,ROW()-1,40),ROW()-1,FALSE))</f>
        <v>16.786355480000001</v>
      </c>
      <c r="I45">
        <f ca="1">IF(AND($B$294=1,LEN($I$191) * LEN($I$187)&gt;0),$I$191/$I$187*100,HLOOKUP(INDIRECT(ADDRESS(2,COLUMN())),OFFSET($AT$2,0,0,ROW()-1,40),ROW()-1,FALSE))</f>
        <v>20.5177373</v>
      </c>
      <c r="J45">
        <f ca="1">IF(AND($B$294=1,LEN($J$191) * LEN($J$187)&gt;0),$J$191/$J$187*100,HLOOKUP(INDIRECT(ADDRESS(2,COLUMN())),OFFSET($AT$2,0,0,ROW()-1,40),ROW()-1,FALSE))</f>
        <v>15.81920904</v>
      </c>
      <c r="K45">
        <f ca="1">IF(AND($B$294=1,LEN($K$191) * LEN($K$187)&gt;0),$K$191/$K$187*100,HLOOKUP(INDIRECT(ADDRESS(2,COLUMN())),OFFSET($AT$2,0,0,ROW()-1,40),ROW()-1,FALSE))</f>
        <v>17.45302714</v>
      </c>
      <c r="L45">
        <f ca="1">IF(AND($B$294=1,LEN($L$191) * LEN($L$187)&gt;0),$L$191/$L$187*100,HLOOKUP(INDIRECT(ADDRESS(2,COLUMN())),OFFSET($AT$2,0,0,ROW()-1,40),ROW()-1,FALSE))</f>
        <v>13.28125</v>
      </c>
      <c r="M45">
        <f ca="1">IF(AND($B$294=1,LEN($M$191) * LEN($M$187)&gt;0),$M$191/$M$187*100,HLOOKUP(INDIRECT(ADDRESS(2,COLUMN())),OFFSET($AT$2,0,0,ROW()-1,40),ROW()-1,FALSE))</f>
        <v>14.480741099999999</v>
      </c>
      <c r="N45">
        <f ca="1">IF(AND($B$294=1,LEN($N$191) * LEN($N$187)&gt;0),$N$191/$N$187*100,HLOOKUP(INDIRECT(ADDRESS(2,COLUMN())),OFFSET($AT$2,0,0,ROW()-1,40),ROW()-1,FALSE))</f>
        <v>13.84720327</v>
      </c>
      <c r="O45">
        <f ca="1">IF(AND($B$294=1,LEN($O$191) * LEN($O$187)&gt;0),$O$191/$O$187*100,HLOOKUP(INDIRECT(ADDRESS(2,COLUMN())),OFFSET($AT$2,0,0,ROW()-1,40),ROW()-1,FALSE))</f>
        <v>14.81481481</v>
      </c>
      <c r="P45">
        <f ca="1">IF(AND($B$294=1,LEN($P$191) * LEN($P$187)&gt;0),$P$191/$P$187*100,HLOOKUP(INDIRECT(ADDRESS(2,COLUMN())),OFFSET($AT$2,0,0,ROW()-1,40),ROW()-1,FALSE))</f>
        <v>14.80900052</v>
      </c>
      <c r="Q45">
        <f ca="1">IF(AND($B$294=1,LEN($Q$191) * LEN($Q$187)&gt;0),$Q$191/$Q$187*100,HLOOKUP(INDIRECT(ADDRESS(2,COLUMN())),OFFSET($AT$2,0,0,ROW()-1,40),ROW()-1,FALSE))</f>
        <v>13.691416540000001</v>
      </c>
      <c r="R45">
        <f ca="1">IF(AND($B$294=1,LEN($R$191) * LEN($R$187)&gt;0),$R$191/$R$187*100,HLOOKUP(INDIRECT(ADDRESS(2,COLUMN())),OFFSET($AT$2,0,0,ROW()-1,40),ROW()-1,FALSE))</f>
        <v>14.95704901</v>
      </c>
      <c r="S45">
        <f ca="1">IF(AND($B$294=1,LEN($S$191) * LEN($S$187)&gt;0),$S$191/$S$187*100,HLOOKUP(INDIRECT(ADDRESS(2,COLUMN())),OFFSET($AT$2,0,0,ROW()-1,40),ROW()-1,FALSE))</f>
        <v>15.16007533</v>
      </c>
      <c r="T45">
        <f ca="1">IF(AND($B$294=1,LEN($T$191) * LEN($T$187)&gt;0),$T$191/$T$187*100,HLOOKUP(INDIRECT(ADDRESS(2,COLUMN())),OFFSET($AT$2,0,0,ROW()-1,40),ROW()-1,FALSE))</f>
        <v>15.856353589999999</v>
      </c>
      <c r="U45">
        <f ca="1">IF(AND($B$294=1,LEN($U$191) * LEN($U$187)&gt;0),$U$191/$U$187*100,HLOOKUP(INDIRECT(ADDRESS(2,COLUMN())),OFFSET($AT$2,0,0,ROW()-1,40),ROW()-1,FALSE))</f>
        <v>15.93078759</v>
      </c>
      <c r="V45">
        <f ca="1">IF(AND($B$294=1,LEN($V$191) * LEN($V$187)&gt;0),$V$191/$V$187*100,HLOOKUP(INDIRECT(ADDRESS(2,COLUMN())),OFFSET($AT$2,0,0,ROW()-1,40),ROW()-1,FALSE))</f>
        <v>13.83928571</v>
      </c>
      <c r="W45">
        <f ca="1">IF(AND($B$294=1,LEN($W$191) * LEN($W$187)&gt;0),$W$191/$W$187*100,HLOOKUP(INDIRECT(ADDRESS(2,COLUMN())),OFFSET($AT$2,0,0,ROW()-1,40),ROW()-1,FALSE))</f>
        <v>12.04099061</v>
      </c>
      <c r="X45">
        <f ca="1">IF(AND($B$294=1,LEN($X$191) * LEN($X$187)&gt;0),$X$191/$X$187*100,HLOOKUP(INDIRECT(ADDRESS(2,COLUMN())),OFFSET($AT$2,0,0,ROW()-1,40),ROW()-1,FALSE))</f>
        <v>12.5831202</v>
      </c>
      <c r="Y45">
        <f ca="1">IF(AND($B$294=1,LEN($Y$191) * LEN($Y$187)&gt;0),$Y$191/$Y$187*100,HLOOKUP(INDIRECT(ADDRESS(2,COLUMN())),OFFSET($AT$2,0,0,ROW()-1,40),ROW()-1,FALSE))</f>
        <v>13.05483029</v>
      </c>
      <c r="Z45">
        <f ca="1">IF(AND($B$294=1,LEN($Z$191) * LEN($Z$187)&gt;0),$Z$191/$Z$187*100,HLOOKUP(INDIRECT(ADDRESS(2,COLUMN())),OFFSET($AT$2,0,0,ROW()-1,40),ROW()-1,FALSE))</f>
        <v>9.9569429490000001</v>
      </c>
      <c r="AA45">
        <f ca="1">IF(AND($B$294=1,LEN($AA$191) * LEN($AA$187)&gt;0),$AA$191/$AA$187*100,HLOOKUP(INDIRECT(ADDRESS(2,COLUMN())),OFFSET($AT$2,0,0,ROW()-1,40),ROW()-1,FALSE))</f>
        <v>9.0206185570000006</v>
      </c>
      <c r="AB45">
        <f ca="1">IF(AND($B$294=1,LEN($AB$191) * LEN($AB$187)&gt;0),$AB$191/$AB$187*100,HLOOKUP(INDIRECT(ADDRESS(2,COLUMN())),OFFSET($AT$2,0,0,ROW()-1,40),ROW()-1,FALSE))</f>
        <v>12.07563386</v>
      </c>
      <c r="AC45">
        <f ca="1">IF(AND($B$294=1,LEN($AC$191) * LEN($AC$187)&gt;0),$AC$191/$AC$187*100,HLOOKUP(INDIRECT(ADDRESS(2,COLUMN())),OFFSET($AT$2,0,0,ROW()-1,40),ROW()-1,FALSE))</f>
        <v>13.345438039999999</v>
      </c>
      <c r="AD45">
        <f ca="1">IF(AND($B$294=1,LEN($AD$191) * LEN($AD$187)&gt;0),$AD$191/$AD$187*100,HLOOKUP(INDIRECT(ADDRESS(2,COLUMN())),OFFSET($AT$2,0,0,ROW()-1,40),ROW()-1,FALSE))</f>
        <v>11.15326252</v>
      </c>
      <c r="AE45">
        <f ca="1">IF(AND($B$294=1,LEN($AE$191) * LEN($AE$187)&gt;0),$AE$191/$AE$187*100,HLOOKUP(INDIRECT(ADDRESS(2,COLUMN())),OFFSET($AT$2,0,0,ROW()-1,40),ROW()-1,FALSE))</f>
        <v>13.90227116</v>
      </c>
      <c r="AF45">
        <f ca="1">IF(AND($B$294=1,LEN($AF$191) * LEN($AF$187)&gt;0),$AF$191/$AF$187*100,HLOOKUP(INDIRECT(ADDRESS(2,COLUMN())),OFFSET($AT$2,0,0,ROW()-1,40),ROW()-1,FALSE))</f>
        <v>15.042573320000001</v>
      </c>
      <c r="AG45">
        <f ca="1">IF(AND($B$294=1,LEN($AG$191) * LEN($AG$187)&gt;0),$AG$191/$AG$187*100,HLOOKUP(INDIRECT(ADDRESS(2,COLUMN())),OFFSET($AT$2,0,0,ROW()-1,40),ROW()-1,FALSE))</f>
        <v>14.250913519999999</v>
      </c>
      <c r="AH45">
        <f ca="1">IF(AND($B$294=1,LEN($AH$191) * LEN($AH$187)&gt;0),$AH$191/$AH$187*100,HLOOKUP(INDIRECT(ADDRESS(2,COLUMN())),OFFSET($AT$2,0,0,ROW()-1,40),ROW()-1,FALSE))</f>
        <v>11.390476189999999</v>
      </c>
      <c r="AI45">
        <f ca="1">IF(AND($B$294=1,LEN($AI$191) * LEN($AI$187)&gt;0),$AI$191/$AI$187*100,HLOOKUP(INDIRECT(ADDRESS(2,COLUMN())),OFFSET($AT$2,0,0,ROW()-1,40),ROW()-1,FALSE))</f>
        <v>14.506989040000001</v>
      </c>
      <c r="AJ45">
        <f ca="1">IF(AND($B$294=1,LEN($AJ$191) * LEN($AJ$187)&gt;0),$AJ$191/$AJ$187*100,HLOOKUP(INDIRECT(ADDRESS(2,COLUMN())),OFFSET($AT$2,0,0,ROW()-1,40),ROW()-1,FALSE))</f>
        <v>15.05747126</v>
      </c>
      <c r="AK45">
        <f ca="1">IF(AND($B$294=1,LEN($AK$191) * LEN($AK$187)&gt;0),$AK$191/$AK$187*100,HLOOKUP(INDIRECT(ADDRESS(2,COLUMN())),OFFSET($AT$2,0,0,ROW()-1,40),ROW()-1,FALSE))</f>
        <v>15.13888889</v>
      </c>
      <c r="AL45">
        <f ca="1">IF(AND($B$294=1,LEN($AL$191) * LEN($AL$187)&gt;0),$AL$191/$AL$187*100,HLOOKUP(INDIRECT(ADDRESS(2,COLUMN())),OFFSET($AT$2,0,0,ROW()-1,40),ROW()-1,FALSE))</f>
        <v>16.789035729999998</v>
      </c>
      <c r="AM45">
        <f ca="1">IF(AND($B$294=1,LEN($AM$191) * LEN($AM$187)&gt;0),$AM$191/$AM$187*100,HLOOKUP(INDIRECT(ADDRESS(2,COLUMN())),OFFSET($AT$2,0,0,ROW()-1,40),ROW()-1,FALSE))</f>
        <v>16.07898449</v>
      </c>
      <c r="AN45">
        <f ca="1">IF(AND($B$294=1,LEN($AN$191) * LEN($AN$187)&gt;0),$AN$191/$AN$187*100,HLOOKUP(INDIRECT(ADDRESS(2,COLUMN())),OFFSET($AT$2,0,0,ROW()-1,40),ROW()-1,FALSE))</f>
        <v>16.691672919999998</v>
      </c>
      <c r="AO45">
        <f ca="1">IF(AND($B$294=1,LEN($AO$191) * LEN($AO$187)&gt;0),$AO$191/$AO$187*100,HLOOKUP(INDIRECT(ADDRESS(2,COLUMN())),OFFSET($AT$2,0,0,ROW()-1,40),ROW()-1,FALSE))</f>
        <v>17.159516870000001</v>
      </c>
      <c r="AP45">
        <f ca="1">IF(AND($B$294=1,LEN($AP$191) * LEN($AP$187)&gt;0),$AP$191/$AP$187*100,HLOOKUP(INDIRECT(ADDRESS(2,COLUMN())),OFFSET($AT$2,0,0,ROW()-1,40),ROW()-1,FALSE))</f>
        <v>17.009602189999999</v>
      </c>
      <c r="AQ45">
        <f ca="1">IF(AND($B$294=1,LEN($AQ$191) * LEN($AQ$187)&gt;0),$AQ$191/$AQ$187*100,HLOOKUP(INDIRECT(ADDRESS(2,COLUMN())),OFFSET($AT$2,0,0,ROW()-1,40),ROW()-1,FALSE))</f>
        <v>19.303054029999998</v>
      </c>
      <c r="AR45">
        <f ca="1">IF(AND($B$294=1,LEN($AR$191) * LEN($AR$187)&gt;0),$AR$191/$AR$187*100,HLOOKUP(INDIRECT(ADDRESS(2,COLUMN())),OFFSET($AT$2,0,0,ROW()-1,40),ROW()-1,FALSE))</f>
        <v>19.286045430000001</v>
      </c>
      <c r="AS45">
        <f ca="1">IF(AND($B$294=1,LEN($AS$191) * LEN($AS$187)&gt;0),$AS$191/$AS$187*100,HLOOKUP(INDIRECT(ADDRESS(2,COLUMN())),OFFSET($AT$2,0,0,ROW()-1,40),ROW()-1,FALSE))</f>
        <v>16.522082019999999</v>
      </c>
      <c r="AT45">
        <f>16.55020228</f>
        <v>16.550202280000001</v>
      </c>
      <c r="AU45">
        <f>17.31244847</f>
        <v>17.31244847</v>
      </c>
      <c r="AV45">
        <f>16.78635548</f>
        <v>16.786355480000001</v>
      </c>
      <c r="AW45">
        <f>20.5177373</f>
        <v>20.5177373</v>
      </c>
      <c r="AX45">
        <f>15.81920904</f>
        <v>15.81920904</v>
      </c>
      <c r="AY45">
        <f>17.45302714</f>
        <v>17.45302714</v>
      </c>
      <c r="AZ45">
        <f>13.28125</f>
        <v>13.28125</v>
      </c>
      <c r="BA45">
        <f>14.4807411</f>
        <v>14.480741099999999</v>
      </c>
      <c r="BB45">
        <f>13.84720327</f>
        <v>13.84720327</v>
      </c>
      <c r="BC45">
        <f>14.81481481</f>
        <v>14.81481481</v>
      </c>
      <c r="BD45">
        <f>14.80900052</f>
        <v>14.80900052</v>
      </c>
      <c r="BE45">
        <f>13.69141654</f>
        <v>13.691416540000001</v>
      </c>
      <c r="BF45">
        <f>14.95704901</f>
        <v>14.95704901</v>
      </c>
      <c r="BG45">
        <f>15.16007533</f>
        <v>15.16007533</v>
      </c>
      <c r="BH45">
        <f>15.85635359</f>
        <v>15.856353589999999</v>
      </c>
      <c r="BI45">
        <f>15.93078759</f>
        <v>15.93078759</v>
      </c>
      <c r="BJ45">
        <f>13.83928571</f>
        <v>13.83928571</v>
      </c>
      <c r="BK45">
        <f>12.04099061</f>
        <v>12.04099061</v>
      </c>
      <c r="BL45">
        <f>12.5831202</f>
        <v>12.5831202</v>
      </c>
      <c r="BM45">
        <f>13.05483029</f>
        <v>13.05483029</v>
      </c>
      <c r="BN45">
        <f>9.956942949</f>
        <v>9.9569429490000001</v>
      </c>
      <c r="BO45">
        <f>9.020618557</f>
        <v>9.0206185570000006</v>
      </c>
      <c r="BP45">
        <f>12.07563386</f>
        <v>12.07563386</v>
      </c>
      <c r="BQ45">
        <f>13.34543804</f>
        <v>13.345438039999999</v>
      </c>
      <c r="BR45">
        <f>11.15326252</f>
        <v>11.15326252</v>
      </c>
      <c r="BS45">
        <f>13.90227116</f>
        <v>13.90227116</v>
      </c>
      <c r="BT45">
        <f>15.04257332</f>
        <v>15.042573320000001</v>
      </c>
      <c r="BU45">
        <f>14.25091352</f>
        <v>14.250913519999999</v>
      </c>
      <c r="BV45">
        <f>11.39047619</f>
        <v>11.390476189999999</v>
      </c>
      <c r="BW45">
        <f>14.50698904</f>
        <v>14.506989040000001</v>
      </c>
      <c r="BX45">
        <f>15.05747126</f>
        <v>15.05747126</v>
      </c>
      <c r="BY45">
        <f>15.13888889</f>
        <v>15.13888889</v>
      </c>
      <c r="BZ45">
        <f>16.78903573</f>
        <v>16.789035729999998</v>
      </c>
      <c r="CA45">
        <f>16.07898449</f>
        <v>16.07898449</v>
      </c>
      <c r="CB45">
        <f>16.69167292</f>
        <v>16.691672919999998</v>
      </c>
      <c r="CC45">
        <f>17.15951687</f>
        <v>17.159516870000001</v>
      </c>
      <c r="CD45">
        <f>17.00960219</f>
        <v>17.009602189999999</v>
      </c>
      <c r="CE45">
        <f>19.30305403</f>
        <v>19.303054029999998</v>
      </c>
      <c r="CF45">
        <f>19.28604543</f>
        <v>19.286045430000001</v>
      </c>
      <c r="CG45">
        <f>16.52208202</f>
        <v>16.522082019999999</v>
      </c>
    </row>
    <row r="46" spans="1:85" x14ac:dyDescent="0.25">
      <c r="A46" t="str">
        <f>"        Peterbilt"</f>
        <v xml:space="preserve">        Peterbilt</v>
      </c>
      <c r="B46" t="str">
        <f>"PCAR US Equity"</f>
        <v>PCAR US Equity</v>
      </c>
      <c r="E46" t="str">
        <f>"Expression"</f>
        <v>Expression</v>
      </c>
      <c r="F46">
        <f ca="1">IF(AND($B$294=1,LEN($F$192) * LEN($F$187)&gt;0),$F$192/$F$187*100,HLOOKUP(INDIRECT(ADDRESS(2,COLUMN())),OFFSET($AT$2,0,0,ROW()-1,40),ROW()-1,FALSE))</f>
        <v>9.3416697319999997</v>
      </c>
      <c r="G46">
        <f ca="1">IF(AND($B$294=1,LEN($G$192) * LEN($G$187)&gt;0),$G$192/$G$187*100,HLOOKUP(INDIRECT(ADDRESS(2,COLUMN())),OFFSET($AT$2,0,0,ROW()-1,40),ROW()-1,FALSE))</f>
        <v>10.305028849999999</v>
      </c>
      <c r="H46">
        <f ca="1">IF(AND($B$294=1,LEN($H$192) * LEN($H$187)&gt;0),$H$192/$H$187*100,HLOOKUP(INDIRECT(ADDRESS(2,COLUMN())),OFFSET($AT$2,0,0,ROW()-1,40),ROW()-1,FALSE))</f>
        <v>12.298025129999999</v>
      </c>
      <c r="I46">
        <f ca="1">IF(AND($B$294=1,LEN($I$192) * LEN($I$187)&gt;0),$I$192/$I$187*100,HLOOKUP(INDIRECT(ADDRESS(2,COLUMN())),OFFSET($AT$2,0,0,ROW()-1,40),ROW()-1,FALSE))</f>
        <v>12.99137105</v>
      </c>
      <c r="J46">
        <f ca="1">IF(AND($B$294=1,LEN($J$192) * LEN($J$187)&gt;0),$J$192/$J$187*100,HLOOKUP(INDIRECT(ADDRESS(2,COLUMN())),OFFSET($AT$2,0,0,ROW()-1,40),ROW()-1,FALSE))</f>
        <v>10.976594029999999</v>
      </c>
      <c r="K46">
        <f ca="1">IF(AND($B$294=1,LEN($K$192) * LEN($K$187)&gt;0),$K$192/$K$187*100,HLOOKUP(INDIRECT(ADDRESS(2,COLUMN())),OFFSET($AT$2,0,0,ROW()-1,40),ROW()-1,FALSE))</f>
        <v>12.400835069999999</v>
      </c>
      <c r="L46">
        <f ca="1">IF(AND($B$294=1,LEN($L$192) * LEN($L$187)&gt;0),$L$192/$L$187*100,HLOOKUP(INDIRECT(ADDRESS(2,COLUMN())),OFFSET($AT$2,0,0,ROW()-1,40),ROW()-1,FALSE))</f>
        <v>11.71875</v>
      </c>
      <c r="M46">
        <f ca="1">IF(AND($B$294=1,LEN($M$192) * LEN($M$187)&gt;0),$M$192/$M$187*100,HLOOKUP(INDIRECT(ADDRESS(2,COLUMN())),OFFSET($AT$2,0,0,ROW()-1,40),ROW()-1,FALSE))</f>
        <v>11.701608970000001</v>
      </c>
      <c r="N46">
        <f ca="1">IF(AND($B$294=1,LEN($N$192) * LEN($N$187)&gt;0),$N$192/$N$187*100,HLOOKUP(INDIRECT(ADDRESS(2,COLUMN())),OFFSET($AT$2,0,0,ROW()-1,40),ROW()-1,FALSE))</f>
        <v>14.32469304</v>
      </c>
      <c r="O46">
        <f ca="1">IF(AND($B$294=1,LEN($O$192) * LEN($O$187)&gt;0),$O$192/$O$187*100,HLOOKUP(INDIRECT(ADDRESS(2,COLUMN())),OFFSET($AT$2,0,0,ROW()-1,40),ROW()-1,FALSE))</f>
        <v>10.893246189999999</v>
      </c>
      <c r="P46">
        <f ca="1">IF(AND($B$294=1,LEN($P$192) * LEN($P$187)&gt;0),$P$192/$P$187*100,HLOOKUP(INDIRECT(ADDRESS(2,COLUMN())),OFFSET($AT$2,0,0,ROW()-1,40),ROW()-1,FALSE))</f>
        <v>10.72736787</v>
      </c>
      <c r="Q46">
        <f ca="1">IF(AND($B$294=1,LEN($Q$192) * LEN($Q$187)&gt;0),$Q$192/$Q$187*100,HLOOKUP(INDIRECT(ADDRESS(2,COLUMN())),OFFSET($AT$2,0,0,ROW()-1,40),ROW()-1,FALSE))</f>
        <v>10.68983676</v>
      </c>
      <c r="R46">
        <f ca="1">IF(AND($B$294=1,LEN($R$192) * LEN($R$187)&gt;0),$R$192/$R$187*100,HLOOKUP(INDIRECT(ADDRESS(2,COLUMN())),OFFSET($AT$2,0,0,ROW()-1,40),ROW()-1,FALSE))</f>
        <v>12.076806469999999</v>
      </c>
      <c r="S46">
        <f ca="1">IF(AND($B$294=1,LEN($S$192) * LEN($S$187)&gt;0),$S$192/$S$187*100,HLOOKUP(INDIRECT(ADDRESS(2,COLUMN())),OFFSET($AT$2,0,0,ROW()-1,40),ROW()-1,FALSE))</f>
        <v>8.4745762710000001</v>
      </c>
      <c r="T46">
        <f ca="1">IF(AND($B$294=1,LEN($T$192) * LEN($T$187)&gt;0),$T$192/$T$187*100,HLOOKUP(INDIRECT(ADDRESS(2,COLUMN())),OFFSET($AT$2,0,0,ROW()-1,40),ROW()-1,FALSE))</f>
        <v>13.09392265</v>
      </c>
      <c r="U46">
        <f ca="1">IF(AND($B$294=1,LEN($U$192) * LEN($U$187)&gt;0),$U$192/$U$187*100,HLOOKUP(INDIRECT(ADDRESS(2,COLUMN())),OFFSET($AT$2,0,0,ROW()-1,40),ROW()-1,FALSE))</f>
        <v>11.93317422</v>
      </c>
      <c r="V46">
        <f ca="1">IF(AND($B$294=1,LEN($V$192) * LEN($V$187)&gt;0),$V$192/$V$187*100,HLOOKUP(INDIRECT(ADDRESS(2,COLUMN())),OFFSET($AT$2,0,0,ROW()-1,40),ROW()-1,FALSE))</f>
        <v>12.400793650000001</v>
      </c>
      <c r="W46">
        <f ca="1">IF(AND($B$294=1,LEN($W$192) * LEN($W$187)&gt;0),$W$192/$W$187*100,HLOOKUP(INDIRECT(ADDRESS(2,COLUMN())),OFFSET($AT$2,0,0,ROW()-1,40),ROW()-1,FALSE))</f>
        <v>8.9666951319999999</v>
      </c>
      <c r="X46">
        <f ca="1">IF(AND($B$294=1,LEN($X$192) * LEN($X$187)&gt;0),$X$192/$X$187*100,HLOOKUP(INDIRECT(ADDRESS(2,COLUMN())),OFFSET($AT$2,0,0,ROW()-1,40),ROW()-1,FALSE))</f>
        <v>9.1560102299999997</v>
      </c>
      <c r="Y46">
        <f ca="1">IF(AND($B$294=1,LEN($Y$192) * LEN($Y$187)&gt;0),$Y$192/$Y$187*100,HLOOKUP(INDIRECT(ADDRESS(2,COLUMN())),OFFSET($AT$2,0,0,ROW()-1,40),ROW()-1,FALSE))</f>
        <v>9.2428198429999995</v>
      </c>
      <c r="Z46">
        <f ca="1">IF(AND($B$294=1,LEN($Z$192) * LEN($Z$187)&gt;0),$Z$192/$Z$187*100,HLOOKUP(INDIRECT(ADDRESS(2,COLUMN())),OFFSET($AT$2,0,0,ROW()-1,40),ROW()-1,FALSE))</f>
        <v>7.4273412270000003</v>
      </c>
      <c r="AA46">
        <f ca="1">IF(AND($B$294=1,LEN($AA$192) * LEN($AA$187)&gt;0),$AA$192/$AA$187*100,HLOOKUP(INDIRECT(ADDRESS(2,COLUMN())),OFFSET($AT$2,0,0,ROW()-1,40),ROW()-1,FALSE))</f>
        <v>9.7293814429999994</v>
      </c>
      <c r="AB46">
        <f ca="1">IF(AND($B$294=1,LEN($AB$192) * LEN($AB$187)&gt;0),$AB$192/$AB$187*100,HLOOKUP(INDIRECT(ADDRESS(2,COLUMN())),OFFSET($AT$2,0,0,ROW()-1,40),ROW()-1,FALSE))</f>
        <v>8.8525999140000007</v>
      </c>
      <c r="AC46">
        <f ca="1">IF(AND($B$294=1,LEN($AC$192) * LEN($AC$187)&gt;0),$AC$192/$AC$187*100,HLOOKUP(INDIRECT(ADDRESS(2,COLUMN())),OFFSET($AT$2,0,0,ROW()-1,40),ROW()-1,FALSE))</f>
        <v>9.6232410349999995</v>
      </c>
      <c r="AD46">
        <f ca="1">IF(AND($B$294=1,LEN($AD$192) * LEN($AD$187)&gt;0),$AD$192/$AD$187*100,HLOOKUP(INDIRECT(ADDRESS(2,COLUMN())),OFFSET($AT$2,0,0,ROW()-1,40),ROW()-1,FALSE))</f>
        <v>8.3839150230000001</v>
      </c>
      <c r="AE46">
        <f ca="1">IF(AND($B$294=1,LEN($AE$192) * LEN($AE$187)&gt;0),$AE$192/$AE$187*100,HLOOKUP(INDIRECT(ADDRESS(2,COLUMN())),OFFSET($AT$2,0,0,ROW()-1,40),ROW()-1,FALSE))</f>
        <v>9.18788713</v>
      </c>
      <c r="AF46">
        <f ca="1">IF(AND($B$294=1,LEN($AF$192) * LEN($AF$187)&gt;0),$AF$192/$AF$187*100,HLOOKUP(INDIRECT(ADDRESS(2,COLUMN())),OFFSET($AT$2,0,0,ROW()-1,40),ROW()-1,FALSE))</f>
        <v>13.19772942</v>
      </c>
      <c r="AG46">
        <f ca="1">IF(AND($B$294=1,LEN($AG$192) * LEN($AG$187)&gt;0),$AG$192/$AG$187*100,HLOOKUP(INDIRECT(ADDRESS(2,COLUMN())),OFFSET($AT$2,0,0,ROW()-1,40),ROW()-1,FALSE))</f>
        <v>13.68250102</v>
      </c>
      <c r="AH46">
        <f ca="1">IF(AND($B$294=1,LEN($AH$192) * LEN($AH$187)&gt;0),$AH$192/$AH$187*100,HLOOKUP(INDIRECT(ADDRESS(2,COLUMN())),OFFSET($AT$2,0,0,ROW()-1,40),ROW()-1,FALSE))</f>
        <v>10.93333333</v>
      </c>
      <c r="AI46">
        <f ca="1">IF(AND($B$294=1,LEN($AI$192) * LEN($AI$187)&gt;0),$AI$192/$AI$187*100,HLOOKUP(INDIRECT(ADDRESS(2,COLUMN())),OFFSET($AT$2,0,0,ROW()-1,40),ROW()-1,FALSE))</f>
        <v>11.975821679999999</v>
      </c>
      <c r="AJ46">
        <f ca="1">IF(AND($B$294=1,LEN($AJ$192) * LEN($AJ$187)&gt;0),$AJ$192/$AJ$187*100,HLOOKUP(INDIRECT(ADDRESS(2,COLUMN())),OFFSET($AT$2,0,0,ROW()-1,40),ROW()-1,FALSE))</f>
        <v>12.56704981</v>
      </c>
      <c r="AK46">
        <f ca="1">IF(AND($B$294=1,LEN($AK$192) * LEN($AK$187)&gt;0),$AK$192/$AK$187*100,HLOOKUP(INDIRECT(ADDRESS(2,COLUMN())),OFFSET($AT$2,0,0,ROW()-1,40),ROW()-1,FALSE))</f>
        <v>9.6875</v>
      </c>
      <c r="AL46">
        <f ca="1">IF(AND($B$294=1,LEN($AL$192) * LEN($AL$187)&gt;0),$AL$192/$AL$187*100,HLOOKUP(INDIRECT(ADDRESS(2,COLUMN())),OFFSET($AT$2,0,0,ROW()-1,40),ROW()-1,FALSE))</f>
        <v>8.6147821830000009</v>
      </c>
      <c r="AM46">
        <f ca="1">IF(AND($B$294=1,LEN($AM$192) * LEN($AM$187)&gt;0),$AM$192/$AM$187*100,HLOOKUP(INDIRECT(ADDRESS(2,COLUMN())),OFFSET($AT$2,0,0,ROW()-1,40),ROW()-1,FALSE))</f>
        <v>12.1767748</v>
      </c>
      <c r="AN46">
        <f ca="1">IF(AND($B$294=1,LEN($AN$192) * LEN($AN$187)&gt;0),$AN$192/$AN$187*100,HLOOKUP(INDIRECT(ADDRESS(2,COLUMN())),OFFSET($AT$2,0,0,ROW()-1,40),ROW()-1,FALSE))</f>
        <v>12.228057010000001</v>
      </c>
      <c r="AO46">
        <f ca="1">IF(AND($B$294=1,LEN($AO$192) * LEN($AO$187)&gt;0),$AO$192/$AO$187*100,HLOOKUP(INDIRECT(ADDRESS(2,COLUMN())),OFFSET($AT$2,0,0,ROW()-1,40),ROW()-1,FALSE))</f>
        <v>13.910870470000001</v>
      </c>
      <c r="AP46">
        <f ca="1">IF(AND($B$294=1,LEN($AP$192) * LEN($AP$187)&gt;0),$AP$192/$AP$187*100,HLOOKUP(INDIRECT(ADDRESS(2,COLUMN())),OFFSET($AT$2,0,0,ROW()-1,40),ROW()-1,FALSE))</f>
        <v>12.242798349999999</v>
      </c>
      <c r="AQ46">
        <f ca="1">IF(AND($B$294=1,LEN($AQ$192) * LEN($AQ$187)&gt;0),$AQ$192/$AQ$187*100,HLOOKUP(INDIRECT(ADDRESS(2,COLUMN())),OFFSET($AT$2,0,0,ROW()-1,40),ROW()-1,FALSE))</f>
        <v>12.92090838</v>
      </c>
      <c r="AR46">
        <f ca="1">IF(AND($B$294=1,LEN($AR$192) * LEN($AR$187)&gt;0),$AR$192/$AR$187*100,HLOOKUP(INDIRECT(ADDRESS(2,COLUMN())),OFFSET($AT$2,0,0,ROW()-1,40),ROW()-1,FALSE))</f>
        <v>14.3718127</v>
      </c>
      <c r="AS46">
        <f ca="1">IF(AND($B$294=1,LEN($AS$192) * LEN($AS$187)&gt;0),$AS$192/$AS$187*100,HLOOKUP(INDIRECT(ADDRESS(2,COLUMN())),OFFSET($AT$2,0,0,ROW()-1,40),ROW()-1,FALSE))</f>
        <v>13.564668770000001</v>
      </c>
      <c r="AT46">
        <f>9.341669732</f>
        <v>9.3416697319999997</v>
      </c>
      <c r="AU46">
        <f>10.30502885</f>
        <v>10.305028849999999</v>
      </c>
      <c r="AV46">
        <f>12.29802513</f>
        <v>12.298025129999999</v>
      </c>
      <c r="AW46">
        <f>12.99137105</f>
        <v>12.99137105</v>
      </c>
      <c r="AX46">
        <f>10.97659403</f>
        <v>10.976594029999999</v>
      </c>
      <c r="AY46">
        <f>12.40083507</f>
        <v>12.400835069999999</v>
      </c>
      <c r="AZ46">
        <f>11.71875</f>
        <v>11.71875</v>
      </c>
      <c r="BA46">
        <f>11.70160897</f>
        <v>11.701608970000001</v>
      </c>
      <c r="BB46">
        <f>14.32469304</f>
        <v>14.32469304</v>
      </c>
      <c r="BC46">
        <f>10.89324619</f>
        <v>10.893246189999999</v>
      </c>
      <c r="BD46">
        <f>10.72736787</f>
        <v>10.72736787</v>
      </c>
      <c r="BE46">
        <f>10.68983676</f>
        <v>10.68983676</v>
      </c>
      <c r="BF46">
        <f>12.07680647</f>
        <v>12.076806469999999</v>
      </c>
      <c r="BG46">
        <f>8.474576271</f>
        <v>8.4745762710000001</v>
      </c>
      <c r="BH46">
        <f>13.09392265</f>
        <v>13.09392265</v>
      </c>
      <c r="BI46">
        <f>11.93317422</f>
        <v>11.93317422</v>
      </c>
      <c r="BJ46">
        <f>12.40079365</f>
        <v>12.400793650000001</v>
      </c>
      <c r="BK46">
        <f>8.966695132</f>
        <v>8.9666951319999999</v>
      </c>
      <c r="BL46">
        <f>9.15601023</f>
        <v>9.1560102299999997</v>
      </c>
      <c r="BM46">
        <f>9.242819843</f>
        <v>9.2428198429999995</v>
      </c>
      <c r="BN46">
        <f>7.427341227</f>
        <v>7.4273412270000003</v>
      </c>
      <c r="BO46">
        <f>9.729381443</f>
        <v>9.7293814429999994</v>
      </c>
      <c r="BP46">
        <f>8.852599914</f>
        <v>8.8525999140000007</v>
      </c>
      <c r="BQ46">
        <f>9.623241035</f>
        <v>9.6232410349999995</v>
      </c>
      <c r="BR46">
        <f>8.383915023</f>
        <v>8.3839150230000001</v>
      </c>
      <c r="BS46">
        <f>9.18788713</f>
        <v>9.18788713</v>
      </c>
      <c r="BT46">
        <f>13.19772942</f>
        <v>13.19772942</v>
      </c>
      <c r="BU46">
        <f>13.68250102</f>
        <v>13.68250102</v>
      </c>
      <c r="BV46">
        <f>10.93333333</f>
        <v>10.93333333</v>
      </c>
      <c r="BW46">
        <f>11.97582168</f>
        <v>11.975821679999999</v>
      </c>
      <c r="BX46">
        <f>12.56704981</f>
        <v>12.56704981</v>
      </c>
      <c r="BY46">
        <f>9.6875</f>
        <v>9.6875</v>
      </c>
      <c r="BZ46">
        <f>8.614782183</f>
        <v>8.6147821830000009</v>
      </c>
      <c r="CA46">
        <f>12.1767748</f>
        <v>12.1767748</v>
      </c>
      <c r="CB46">
        <f>12.22805701</f>
        <v>12.228057010000001</v>
      </c>
      <c r="CC46">
        <f>13.91087047</f>
        <v>13.910870470000001</v>
      </c>
      <c r="CD46">
        <f>12.24279835</f>
        <v>12.242798349999999</v>
      </c>
      <c r="CE46">
        <f>12.92090838</f>
        <v>12.92090838</v>
      </c>
      <c r="CF46">
        <f>14.3718127</f>
        <v>14.3718127</v>
      </c>
      <c r="CG46">
        <f>13.56466877</f>
        <v>13.564668770000001</v>
      </c>
    </row>
    <row r="47" spans="1:85" x14ac:dyDescent="0.25">
      <c r="A47" t="str">
        <f>"    Volvo"</f>
        <v xml:space="preserve">    Volvo</v>
      </c>
      <c r="B47" t="str">
        <f>"VOLVB SS Equity"</f>
        <v>VOLVB SS Equity</v>
      </c>
      <c r="E47" t="str">
        <f>"Sum"</f>
        <v>Sum</v>
      </c>
      <c r="F47">
        <f ca="1">IF(ISERROR(IF(SUM($F$48:$F$49) = 0, "", SUM($F$48:$F$49))), "", (IF(SUM($F$48:$F$49) = 0, "", SUM($F$48:$F$49))))</f>
        <v>14.564178006999999</v>
      </c>
      <c r="G47">
        <f ca="1">IF(ISERROR(IF(SUM($G$48:$G$49) = 0, "", SUM($G$48:$G$49))), "", (IF(SUM($G$48:$G$49) = 0, "", SUM($G$48:$G$49))))</f>
        <v>21.063478977999999</v>
      </c>
      <c r="H47">
        <f ca="1">IF(ISERROR(IF(SUM($H$48:$H$49) = 0, "", SUM($H$48:$H$49))), "", (IF(SUM($H$48:$H$49) = 0, "", SUM($H$48:$H$49))))</f>
        <v>20.062836619999999</v>
      </c>
      <c r="I47">
        <f ca="1">IF(ISERROR(IF(SUM($I$48:$I$49) = 0, "", SUM($I$48:$I$49))), "", (IF(SUM($I$48:$I$49) = 0, "", SUM($I$48:$I$49))))</f>
        <v>16.874400768999998</v>
      </c>
      <c r="J47">
        <f ca="1">IF(ISERROR(IF(SUM($J$48:$J$49) = 0, "", SUM($J$48:$J$49))), "", (IF(SUM($J$48:$J$49) = 0, "", SUM($J$48:$J$49))))</f>
        <v>18.684422919999999</v>
      </c>
      <c r="K47">
        <f ca="1">IF(ISERROR(IF(SUM($K$48:$K$49) = 0, "", SUM($K$48:$K$49))), "", (IF(SUM($K$48:$K$49) = 0, "", SUM($K$48:$K$49))))</f>
        <v>17.661795401999999</v>
      </c>
      <c r="L47">
        <f ca="1">IF(ISERROR(IF(SUM($L$48:$L$49) = 0, "", SUM($L$48:$L$49))), "", (IF(SUM($L$48:$L$49) = 0, "", SUM($L$48:$L$49))))</f>
        <v>15.052083333000001</v>
      </c>
      <c r="M47">
        <f ca="1">IF(ISERROR(IF(SUM($M$48:$M$49) = 0, "", SUM($M$48:$M$49))), "", (IF(SUM($M$48:$M$49) = 0, "", SUM($M$48:$M$49))))</f>
        <v>22.62311068</v>
      </c>
      <c r="N47">
        <f ca="1">IF(ISERROR(IF(SUM($N$48:$N$49) = 0, "", SUM($N$48:$N$49))), "", (IF(SUM($N$48:$N$49) = 0, "", SUM($N$48:$N$49))))</f>
        <v>18.553888133000001</v>
      </c>
      <c r="O47">
        <f ca="1">IF(ISERROR(IF(SUM($O$48:$O$49) = 0, "", SUM($O$48:$O$49))), "", (IF(SUM($O$48:$O$49) = 0, "", SUM($O$48:$O$49))))</f>
        <v>10.021786493</v>
      </c>
      <c r="P47">
        <f ca="1">IF(ISERROR(IF(SUM($P$48:$P$49) = 0, "", SUM($P$48:$P$49))), "", (IF(SUM($P$48:$P$49) = 0, "", SUM($P$48:$P$49))))</f>
        <v>26.687598112000003</v>
      </c>
      <c r="Q47">
        <f ca="1">IF(ISERROR(IF(SUM($Q$48:$Q$49) = 0, "", SUM($Q$48:$Q$49))), "", (IF(SUM($Q$48:$Q$49) = 0, "", SUM($Q$48:$Q$49))))</f>
        <v>19.062664558999998</v>
      </c>
      <c r="R47">
        <f ca="1">IF(ISERROR(IF(SUM($R$48:$R$49) = 0, "", SUM($R$48:$R$49))), "", (IF(SUM($R$48:$R$49) = 0, "", SUM($R$48:$R$49))))</f>
        <v>18.393127837999998</v>
      </c>
      <c r="S47">
        <f ca="1">IF(ISERROR(IF(SUM($S$48:$S$49) = 0, "", SUM($S$48:$S$49))), "", (IF(SUM($S$48:$S$49) = 0, "", SUM($S$48:$S$49))))</f>
        <v>18.596986815000001</v>
      </c>
      <c r="T47">
        <f ca="1">IF(ISERROR(IF(SUM($T$48:$T$49) = 0, "", SUM($T$48:$T$49))), "", (IF(SUM($T$48:$T$49) = 0, "", SUM($T$48:$T$49))))</f>
        <v>18.950276248000002</v>
      </c>
      <c r="U47">
        <f ca="1">IF(ISERROR(IF(SUM($U$48:$U$49) = 0, "", SUM($U$48:$U$49))), "", (IF(SUM($U$48:$U$49) = 0, "", SUM($U$48:$U$49))))</f>
        <v>17.004773269000001</v>
      </c>
      <c r="V47">
        <f ca="1">IF(ISERROR(IF(SUM($V$48:$V$49) = 0, "", SUM($V$48:$V$49))), "", (IF(SUM($V$48:$V$49) = 0, "", SUM($V$48:$V$49))))</f>
        <v>17.509920635</v>
      </c>
      <c r="W47">
        <f ca="1">IF(ISERROR(IF(SUM($W$48:$W$49) = 0, "", SUM($W$48:$W$49))), "", (IF(SUM($W$48:$W$49) = 0, "", SUM($W$48:$W$49))))</f>
        <v>21.648163963999998</v>
      </c>
      <c r="X47">
        <f ca="1">IF(ISERROR(IF(SUM($X$48:$X$49) = 0, "", SUM($X$48:$X$49))), "", (IF(SUM($X$48:$X$49) = 0, "", SUM($X$48:$X$49))))</f>
        <v>21.585677748000002</v>
      </c>
      <c r="Y47">
        <f ca="1">IF(ISERROR(IF(SUM($Y$48:$Y$49) = 0, "", SUM($Y$48:$Y$49))), "", (IF(SUM($Y$48:$Y$49) = 0, "", SUM($Y$48:$Y$49))))</f>
        <v>18.328981724000002</v>
      </c>
      <c r="Z47">
        <f ca="1">IF(ISERROR(IF(SUM($Z$48:$Z$49) = 0, "", SUM($Z$48:$Z$49))), "", (IF(SUM($Z$48:$Z$49) = 0, "", SUM($Z$48:$Z$49))))</f>
        <v>22.551130243999999</v>
      </c>
      <c r="AA47">
        <f ca="1">IF(ISERROR(IF(SUM($AA$48:$AA$49) = 0, "", SUM($AA$48:$AA$49))), "", (IF(SUM($AA$48:$AA$49) = 0, "", SUM($AA$48:$AA$49))))</f>
        <v>21.907216491</v>
      </c>
      <c r="AB47">
        <f ca="1">IF(ISERROR(IF(SUM($AB$48:$AB$49) = 0, "", SUM($AB$48:$AB$49))), "", (IF(SUM($AB$48:$AB$49) = 0, "", SUM($AB$48:$AB$49))))</f>
        <v>29.480017194000002</v>
      </c>
      <c r="AC47">
        <f ca="1">IF(ISERROR(IF(SUM($AC$48:$AC$49) = 0, "", SUM($AC$48:$AC$49))), "", (IF(SUM($AC$48:$AC$49) = 0, "", SUM($AC$48:$AC$49))))</f>
        <v>26.554698139999999</v>
      </c>
      <c r="AD47">
        <f ca="1">IF(ISERROR(IF(SUM($AD$48:$AD$49) = 0, "", SUM($AD$48:$AD$49))), "", (IF(SUM($AD$48:$AD$49) = 0, "", SUM($AD$48:$AD$49))))</f>
        <v>20.97875569</v>
      </c>
      <c r="AE47">
        <f ca="1">IF(ISERROR(IF(SUM($AE$48:$AE$49) = 0, "", SUM($AE$48:$AE$49))), "", (IF(SUM($AE$48:$AE$49) = 0, "", SUM($AE$48:$AE$49))))</f>
        <v>19.752236750000002</v>
      </c>
      <c r="AF47">
        <f ca="1">IF(ISERROR(IF(SUM($AF$48:$AF$49) = 0, "", SUM($AF$48:$AF$49))), "", (IF(SUM($AF$48:$AF$49) = 0, "", SUM($AF$48:$AF$49))))</f>
        <v>20.245979187</v>
      </c>
      <c r="AG47">
        <f ca="1">IF(ISERROR(IF(SUM($AG$48:$AG$49) = 0, "", SUM($AG$48:$AG$49))), "", (IF(SUM($AG$48:$AG$49) = 0, "", SUM($AG$48:$AG$49))))</f>
        <v>22.533495737999999</v>
      </c>
      <c r="AH47">
        <f ca="1">IF(ISERROR(IF(SUM($AH$48:$AH$49) = 0, "", SUM($AH$48:$AH$49))), "", (IF(SUM($AH$48:$AH$49) = 0, "", SUM($AH$48:$AH$49))))</f>
        <v>25.866666663</v>
      </c>
      <c r="AI47">
        <f ca="1">IF(ISERROR(IF(SUM($AI$48:$AI$49) = 0, "", SUM($AI$48:$AI$49))), "", (IF(SUM($AI$48:$AI$49) = 0, "", SUM($AI$48:$AI$49))))</f>
        <v>26.633925198</v>
      </c>
      <c r="AJ47">
        <f ca="1">IF(ISERROR(IF(SUM($AJ$48:$AJ$49) = 0, "", SUM($AJ$48:$AJ$49))), "", (IF(SUM($AJ$48:$AJ$49) = 0, "", SUM($AJ$48:$AJ$49))))</f>
        <v>23.831417627</v>
      </c>
      <c r="AK47">
        <f ca="1">IF(ISERROR(IF(SUM($AK$48:$AK$49) = 0, "", SUM($AK$48:$AK$49))), "", (IF(SUM($AK$48:$AK$49) = 0, "", SUM($AK$48:$AK$49))))</f>
        <v>23.506944442000002</v>
      </c>
      <c r="AL47">
        <f ca="1">IF(ISERROR(IF(SUM($AL$48:$AL$49) = 0, "", SUM($AL$48:$AL$49))), "", (IF(SUM($AL$48:$AL$49) = 0, "", SUM($AL$48:$AL$49))))</f>
        <v>24.278022514</v>
      </c>
      <c r="AM47">
        <f ca="1">IF(ISERROR(IF(SUM($AM$48:$AM$49) = 0, "", SUM($AM$48:$AM$49))), "", (IF(SUM($AM$48:$AM$49) = 0, "", SUM($AM$48:$AM$49))))</f>
        <v>23.930418433</v>
      </c>
      <c r="AN47">
        <f ca="1">IF(ISERROR(IF(SUM($AN$48:$AN$49) = 0, "", SUM($AN$48:$AN$49))), "", (IF(SUM($AN$48:$AN$49) = 0, "", SUM($AN$48:$AN$49))))</f>
        <v>20.292573140000002</v>
      </c>
      <c r="AO47">
        <f ca="1">IF(ISERROR(IF(SUM($AO$48:$AO$49) = 0, "", SUM($AO$48:$AO$49))), "", (IF(SUM($AO$48:$AO$49) = 0, "", SUM($AO$48:$AO$49))))</f>
        <v>21.074552271999998</v>
      </c>
      <c r="AP47">
        <f ca="1">IF(ISERROR(IF(SUM($AP$48:$AP$49) = 0, "", SUM($AP$48:$AP$49))), "", (IF(SUM($AP$48:$AP$49) = 0, "", SUM($AP$48:$AP$49))))</f>
        <v>18.964334701999999</v>
      </c>
      <c r="AQ47">
        <f ca="1">IF(ISERROR(IF(SUM($AQ$48:$AQ$49) = 0, "", SUM($AQ$48:$AQ$49))), "", (IF(SUM($AQ$48:$AQ$49) = 0, "", SUM($AQ$48:$AQ$49))))</f>
        <v>20.321064994</v>
      </c>
      <c r="AR47">
        <f ca="1">IF(ISERROR(IF(SUM($AR$48:$AR$49) = 0, "", SUM($AR$48:$AR$49))), "", (IF(SUM($AR$48:$AR$49) = 0, "", SUM($AR$48:$AR$49))))</f>
        <v>22.855818269</v>
      </c>
      <c r="AS47">
        <f ca="1">IF(ISERROR(IF(SUM($AS$48:$AS$49) = 0, "", SUM($AS$48:$AS$49))), "", (IF(SUM($AS$48:$AS$49) = 0, "", SUM($AS$48:$AS$49))))</f>
        <v>22.555205047999998</v>
      </c>
      <c r="AT47">
        <f>14.56417801</f>
        <v>14.564178009999999</v>
      </c>
      <c r="AU47">
        <f>21.06347898</f>
        <v>21.063478979999999</v>
      </c>
      <c r="AV47">
        <f>20.06283662</f>
        <v>20.062836619999999</v>
      </c>
      <c r="AW47">
        <f>16.87440077</f>
        <v>16.874400770000001</v>
      </c>
      <c r="AX47">
        <f>18.68442292</f>
        <v>18.684422919999999</v>
      </c>
      <c r="AY47">
        <f>17.66179541</f>
        <v>17.66179541</v>
      </c>
      <c r="AZ47">
        <f>15.05208333</f>
        <v>15.05208333</v>
      </c>
      <c r="BA47">
        <f>22.62311068</f>
        <v>22.62311068</v>
      </c>
      <c r="BB47">
        <f>18.55388813</f>
        <v>18.553888130000001</v>
      </c>
      <c r="BC47">
        <f>10.02178649</f>
        <v>10.02178649</v>
      </c>
      <c r="BD47">
        <f>26.68759812</f>
        <v>26.687598120000001</v>
      </c>
      <c r="BE47">
        <f>19.06266456</f>
        <v>19.062664560000002</v>
      </c>
      <c r="BF47">
        <f>18.39312784</f>
        <v>18.393127839999998</v>
      </c>
      <c r="BG47">
        <f>18.59698682</f>
        <v>18.596986820000001</v>
      </c>
      <c r="BH47">
        <f>18.95027624</f>
        <v>18.950276240000001</v>
      </c>
      <c r="BI47">
        <f>17.00477327</f>
        <v>17.004773270000001</v>
      </c>
      <c r="BJ47">
        <f>17.50992063</f>
        <v>17.50992063</v>
      </c>
      <c r="BK47">
        <f>21.64816396</f>
        <v>21.648163960000002</v>
      </c>
      <c r="BL47">
        <f>21.58567775</f>
        <v>21.585677749999999</v>
      </c>
      <c r="BM47">
        <f>18.32898172</f>
        <v>18.328981720000002</v>
      </c>
      <c r="BN47">
        <f>22.55113025</f>
        <v>22.55113025</v>
      </c>
      <c r="BO47">
        <f>21.90721649</f>
        <v>21.90721649</v>
      </c>
      <c r="BP47">
        <f>29.48001719</f>
        <v>29.480017190000002</v>
      </c>
      <c r="BQ47">
        <f>26.55469814</f>
        <v>26.554698139999999</v>
      </c>
      <c r="BR47">
        <f>20.97875569</f>
        <v>20.97875569</v>
      </c>
      <c r="BS47">
        <f>19.75223675</f>
        <v>19.752236750000002</v>
      </c>
      <c r="BT47">
        <f>20.24597919</f>
        <v>20.24597919</v>
      </c>
      <c r="BU47">
        <f>22.53349574</f>
        <v>22.533495739999999</v>
      </c>
      <c r="BV47">
        <f>25.86666667</f>
        <v>25.866666670000001</v>
      </c>
      <c r="BW47">
        <f>26.6339252</f>
        <v>26.6339252</v>
      </c>
      <c r="BX47">
        <f>23.83141762</f>
        <v>23.83141762</v>
      </c>
      <c r="BY47">
        <f>23.50694444</f>
        <v>23.506944440000002</v>
      </c>
      <c r="BZ47">
        <f>24.27802252</f>
        <v>24.27802252</v>
      </c>
      <c r="CA47">
        <f>23.93041843</f>
        <v>23.93041843</v>
      </c>
      <c r="CB47">
        <f>20.29257314</f>
        <v>20.292573139999998</v>
      </c>
      <c r="CC47">
        <f>21.07455227</f>
        <v>21.074552270000002</v>
      </c>
      <c r="CD47">
        <f>18.96433471</f>
        <v>18.964334709999999</v>
      </c>
      <c r="CE47">
        <f>20.321065</f>
        <v>20.321065000000001</v>
      </c>
      <c r="CF47">
        <f>22.85581827</f>
        <v>22.85581827</v>
      </c>
      <c r="CG47">
        <f>22.55520505</f>
        <v>22.555205050000001</v>
      </c>
    </row>
    <row r="48" spans="1:85" x14ac:dyDescent="0.25">
      <c r="A48" t="str">
        <f>"        Volvo Truck"</f>
        <v xml:space="preserve">        Volvo Truck</v>
      </c>
      <c r="B48" t="str">
        <f>"VOLVB SS Equity"</f>
        <v>VOLVB SS Equity</v>
      </c>
      <c r="E48" t="str">
        <f>"Expression"</f>
        <v>Expression</v>
      </c>
      <c r="F48">
        <f ca="1">IF(AND($B$294=1,LEN($F$193) * LEN($F$187)&gt;0),$F$193/$F$187*100,HLOOKUP(INDIRECT(ADDRESS(2,COLUMN())),OFFSET($AT$2,0,0,ROW()-1,40),ROW()-1,FALSE))</f>
        <v>9.5991173229999998</v>
      </c>
      <c r="G48">
        <f ca="1">IF(AND($B$294=1,LEN($G$193) * LEN($G$187)&gt;0),$G$193/$G$187*100,HLOOKUP(INDIRECT(ADDRESS(2,COLUMN())),OFFSET($AT$2,0,0,ROW()-1,40),ROW()-1,FALSE))</f>
        <v>12.860676010000001</v>
      </c>
      <c r="H48">
        <f ca="1">IF(AND($B$294=1,LEN($H$193) * LEN($H$187)&gt;0),$H$193/$H$187*100,HLOOKUP(INDIRECT(ADDRESS(2,COLUMN())),OFFSET($AT$2,0,0,ROW()-1,40),ROW()-1,FALSE))</f>
        <v>14.138240570000001</v>
      </c>
      <c r="I48">
        <f ca="1">IF(AND($B$294=1,LEN($I$193) * LEN($I$187)&gt;0),$I$193/$I$187*100,HLOOKUP(INDIRECT(ADDRESS(2,COLUMN())),OFFSET($AT$2,0,0,ROW()-1,40),ROW()-1,FALSE))</f>
        <v>10.930009589999999</v>
      </c>
      <c r="J48">
        <f ca="1">IF(AND($B$294=1,LEN($J$193) * LEN($J$187)&gt;0),$J$193/$J$187*100,HLOOKUP(INDIRECT(ADDRESS(2,COLUMN())),OFFSET($AT$2,0,0,ROW()-1,40),ROW()-1,FALSE))</f>
        <v>10.85552865</v>
      </c>
      <c r="K48">
        <f ca="1">IF(AND($B$294=1,LEN($K$193) * LEN($K$187)&gt;0),$K$193/$K$187*100,HLOOKUP(INDIRECT(ADDRESS(2,COLUMN())),OFFSET($AT$2,0,0,ROW()-1,40),ROW()-1,FALSE))</f>
        <v>10.605427969999999</v>
      </c>
      <c r="L48">
        <f ca="1">IF(AND($B$294=1,LEN($L$193) * LEN($L$187)&gt;0),$L$193/$L$187*100,HLOOKUP(INDIRECT(ADDRESS(2,COLUMN())),OFFSET($AT$2,0,0,ROW()-1,40),ROW()-1,FALSE))</f>
        <v>9.5833333330000006</v>
      </c>
      <c r="M48">
        <f ca="1">IF(AND($B$294=1,LEN($M$193) * LEN($M$187)&gt;0),$M$193/$M$187*100,HLOOKUP(INDIRECT(ADDRESS(2,COLUMN())),OFFSET($AT$2,0,0,ROW()-1,40),ROW()-1,FALSE))</f>
        <v>11.75036568</v>
      </c>
      <c r="N48">
        <f ca="1">IF(AND($B$294=1,LEN($N$193) * LEN($N$187)&gt;0),$N$193/$N$187*100,HLOOKUP(INDIRECT(ADDRESS(2,COLUMN())),OFFSET($AT$2,0,0,ROW()-1,40),ROW()-1,FALSE))</f>
        <v>11.18690314</v>
      </c>
      <c r="O48">
        <f ca="1">IF(AND($B$294=1,LEN($O$193) * LEN($O$187)&gt;0),$O$193/$O$187*100,HLOOKUP(INDIRECT(ADDRESS(2,COLUMN())),OFFSET($AT$2,0,0,ROW()-1,40),ROW()-1,FALSE))</f>
        <v>5.1561365290000003</v>
      </c>
      <c r="P48">
        <f ca="1">IF(AND($B$294=1,LEN($P$193) * LEN($P$187)&gt;0),$P$193/$P$187*100,HLOOKUP(INDIRECT(ADDRESS(2,COLUMN())),OFFSET($AT$2,0,0,ROW()-1,40),ROW()-1,FALSE))</f>
        <v>17.739403450000001</v>
      </c>
      <c r="Q48">
        <f ca="1">IF(AND($B$294=1,LEN($Q$193) * LEN($Q$187)&gt;0),$Q$193/$Q$187*100,HLOOKUP(INDIRECT(ADDRESS(2,COLUMN())),OFFSET($AT$2,0,0,ROW()-1,40),ROW()-1,FALSE))</f>
        <v>12.796208529999999</v>
      </c>
      <c r="R48">
        <f ca="1">IF(AND($B$294=1,LEN($R$193) * LEN($R$187)&gt;0),$R$193/$R$187*100,HLOOKUP(INDIRECT(ADDRESS(2,COLUMN())),OFFSET($AT$2,0,0,ROW()-1,40),ROW()-1,FALSE))</f>
        <v>12.379989889999999</v>
      </c>
      <c r="S48">
        <f ca="1">IF(AND($B$294=1,LEN($S$193) * LEN($S$187)&gt;0),$S$193/$S$187*100,HLOOKUP(INDIRECT(ADDRESS(2,COLUMN())),OFFSET($AT$2,0,0,ROW()-1,40),ROW()-1,FALSE))</f>
        <v>12.33521657</v>
      </c>
      <c r="T48">
        <f ca="1">IF(AND($B$294=1,LEN($T$193) * LEN($T$187)&gt;0),$T$193/$T$187*100,HLOOKUP(INDIRECT(ADDRESS(2,COLUMN())),OFFSET($AT$2,0,0,ROW()-1,40),ROW()-1,FALSE))</f>
        <v>12.48618785</v>
      </c>
      <c r="U48">
        <f ca="1">IF(AND($B$294=1,LEN($U$193) * LEN($U$187)&gt;0),$U$193/$U$187*100,HLOOKUP(INDIRECT(ADDRESS(2,COLUMN())),OFFSET($AT$2,0,0,ROW()-1,40),ROW()-1,FALSE))</f>
        <v>8.0548926010000006</v>
      </c>
      <c r="V48">
        <f ca="1">IF(AND($B$294=1,LEN($V$193) * LEN($V$187)&gt;0),$V$193/$V$187*100,HLOOKUP(INDIRECT(ADDRESS(2,COLUMN())),OFFSET($AT$2,0,0,ROW()-1,40),ROW()-1,FALSE))</f>
        <v>8.9781746029999994</v>
      </c>
      <c r="W48">
        <f ca="1">IF(AND($B$294=1,LEN($W$193) * LEN($W$187)&gt;0),$W$193/$W$187*100,HLOOKUP(INDIRECT(ADDRESS(2,COLUMN())),OFFSET($AT$2,0,0,ROW()-1,40),ROW()-1,FALSE))</f>
        <v>14.43210931</v>
      </c>
      <c r="X48">
        <f ca="1">IF(AND($B$294=1,LEN($X$193) * LEN($X$187)&gt;0),$X$193/$X$187*100,HLOOKUP(INDIRECT(ADDRESS(2,COLUMN())),OFFSET($AT$2,0,0,ROW()-1,40),ROW()-1,FALSE))</f>
        <v>13.35038363</v>
      </c>
      <c r="Y48">
        <f ca="1">IF(AND($B$294=1,LEN($Y$193) * LEN($Y$187)&gt;0),$Y$193/$Y$187*100,HLOOKUP(INDIRECT(ADDRESS(2,COLUMN())),OFFSET($AT$2,0,0,ROW()-1,40),ROW()-1,FALSE))</f>
        <v>9.3472584859999994</v>
      </c>
      <c r="Z48">
        <f ca="1">IF(AND($B$294=1,LEN($Z$193) * LEN($Z$187)&gt;0),$Z$193/$Z$187*100,HLOOKUP(INDIRECT(ADDRESS(2,COLUMN())),OFFSET($AT$2,0,0,ROW()-1,40),ROW()-1,FALSE))</f>
        <v>15.17761033</v>
      </c>
      <c r="AA48">
        <f ca="1">IF(AND($B$294=1,LEN($AA$193) * LEN($AA$187)&gt;0),$AA$193/$AA$187*100,HLOOKUP(INDIRECT(ADDRESS(2,COLUMN())),OFFSET($AT$2,0,0,ROW()-1,40),ROW()-1,FALSE))</f>
        <v>13.7242268</v>
      </c>
      <c r="AB48">
        <f ca="1">IF(AND($B$294=1,LEN($AB$193) * LEN($AB$187)&gt;0),$AB$193/$AB$187*100,HLOOKUP(INDIRECT(ADDRESS(2,COLUMN())),OFFSET($AT$2,0,0,ROW()-1,40),ROW()-1,FALSE))</f>
        <v>20.412548350000002</v>
      </c>
      <c r="AC48">
        <f ca="1">IF(AND($B$294=1,LEN($AC$193) * LEN($AC$187)&gt;0),$AC$193/$AC$187*100,HLOOKUP(INDIRECT(ADDRESS(2,COLUMN())),OFFSET($AT$2,0,0,ROW()-1,40),ROW()-1,FALSE))</f>
        <v>16.341352700000002</v>
      </c>
      <c r="AD48">
        <f ca="1">IF(AND($B$294=1,LEN($AD$193) * LEN($AD$187)&gt;0),$AD$193/$AD$187*100,HLOOKUP(INDIRECT(ADDRESS(2,COLUMN())),OFFSET($AT$2,0,0,ROW()-1,40),ROW()-1,FALSE))</f>
        <v>15.02276176</v>
      </c>
      <c r="AE48">
        <f ca="1">IF(AND($B$294=1,LEN($AE$193) * LEN($AE$187)&gt;0),$AE$193/$AE$187*100,HLOOKUP(INDIRECT(ADDRESS(2,COLUMN())),OFFSET($AT$2,0,0,ROW()-1,40),ROW()-1,FALSE))</f>
        <v>13.282863040000001</v>
      </c>
      <c r="AF48">
        <f ca="1">IF(AND($B$294=1,LEN($AF$193) * LEN($AF$187)&gt;0),$AF$193/$AF$187*100,HLOOKUP(INDIRECT(ADDRESS(2,COLUMN())),OFFSET($AT$2,0,0,ROW()-1,40),ROW()-1,FALSE))</f>
        <v>13.7653737</v>
      </c>
      <c r="AG48">
        <f ca="1">IF(AND($B$294=1,LEN($AG$193) * LEN($AG$187)&gt;0),$AG$193/$AG$187*100,HLOOKUP(INDIRECT(ADDRESS(2,COLUMN())),OFFSET($AT$2,0,0,ROW()-1,40),ROW()-1,FALSE))</f>
        <v>16.889971580000001</v>
      </c>
      <c r="AH48">
        <f ca="1">IF(AND($B$294=1,LEN($AH$193) * LEN($AH$187)&gt;0),$AH$193/$AH$187*100,HLOOKUP(INDIRECT(ADDRESS(2,COLUMN())),OFFSET($AT$2,0,0,ROW()-1,40),ROW()-1,FALSE))</f>
        <v>18.133333329999999</v>
      </c>
      <c r="AI48">
        <f ca="1">IF(AND($B$294=1,LEN($AI$193) * LEN($AI$187)&gt;0),$AI$193/$AI$187*100,HLOOKUP(INDIRECT(ADDRESS(2,COLUMN())),OFFSET($AT$2,0,0,ROW()-1,40),ROW()-1,FALSE))</f>
        <v>17.075935019999999</v>
      </c>
      <c r="AJ48">
        <f ca="1">IF(AND($B$294=1,LEN($AJ$193) * LEN($AJ$187)&gt;0),$AJ$193/$AJ$187*100,HLOOKUP(INDIRECT(ADDRESS(2,COLUMN())),OFFSET($AT$2,0,0,ROW()-1,40),ROW()-1,FALSE))</f>
        <v>17.164750959999999</v>
      </c>
      <c r="AK48">
        <f ca="1">IF(AND($B$294=1,LEN($AK$193) * LEN($AK$187)&gt;0),$AK$193/$AK$187*100,HLOOKUP(INDIRECT(ADDRESS(2,COLUMN())),OFFSET($AT$2,0,0,ROW()-1,40),ROW()-1,FALSE))</f>
        <v>15.972222220000001</v>
      </c>
      <c r="AL48">
        <f ca="1">IF(AND($B$294=1,LEN($AL$193) * LEN($AL$187)&gt;0),$AL$193/$AL$187*100,HLOOKUP(INDIRECT(ADDRESS(2,COLUMN())),OFFSET($AT$2,0,0,ROW()-1,40),ROW()-1,FALSE))</f>
        <v>18.89378365</v>
      </c>
      <c r="AM48">
        <f ca="1">IF(AND($B$294=1,LEN($AM$193) * LEN($AM$187)&gt;0),$AM$193/$AM$187*100,HLOOKUP(INDIRECT(ADDRESS(2,COLUMN())),OFFSET($AT$2,0,0,ROW()-1,40),ROW()-1,FALSE))</f>
        <v>15.89092619</v>
      </c>
      <c r="AN48">
        <f ca="1">IF(AND($B$294=1,LEN($AN$193) * LEN($AN$187)&gt;0),$AN$193/$AN$187*100,HLOOKUP(INDIRECT(ADDRESS(2,COLUMN())),OFFSET($AT$2,0,0,ROW()-1,40),ROW()-1,FALSE))</f>
        <v>14.216054010000001</v>
      </c>
      <c r="AO48">
        <f ca="1">IF(AND($B$294=1,LEN($AO$193) * LEN($AO$187)&gt;0),$AO$193/$AO$187*100,HLOOKUP(INDIRECT(ADDRESS(2,COLUMN())),OFFSET($AT$2,0,0,ROW()-1,40),ROW()-1,FALSE))</f>
        <v>15.368596419999999</v>
      </c>
      <c r="AP48">
        <f ca="1">IF(AND($B$294=1,LEN($AP$193) * LEN($AP$187)&gt;0),$AP$193/$AP$187*100,HLOOKUP(INDIRECT(ADDRESS(2,COLUMN())),OFFSET($AT$2,0,0,ROW()-1,40),ROW()-1,FALSE))</f>
        <v>15.15775034</v>
      </c>
      <c r="AQ48">
        <f ca="1">IF(AND($B$294=1,LEN($AQ$193) * LEN($AQ$187)&gt;0),$AQ$193/$AQ$187*100,HLOOKUP(INDIRECT(ADDRESS(2,COLUMN())),OFFSET($AT$2,0,0,ROW()-1,40),ROW()-1,FALSE))</f>
        <v>13.58653093</v>
      </c>
      <c r="AR48">
        <f ca="1">IF(AND($B$294=1,LEN($AR$193) * LEN($AR$187)&gt;0),$AR$193/$AR$187*100,HLOOKUP(INDIRECT(ADDRESS(2,COLUMN())),OFFSET($AT$2,0,0,ROW()-1,40),ROW()-1,FALSE))</f>
        <v>15.15994437</v>
      </c>
      <c r="AS48">
        <f ca="1">IF(AND($B$294=1,LEN($AS$193) * LEN($AS$187)&gt;0),$AS$193/$AS$187*100,HLOOKUP(INDIRECT(ADDRESS(2,COLUMN())),OFFSET($AT$2,0,0,ROW()-1,40),ROW()-1,FALSE))</f>
        <v>13.32807571</v>
      </c>
      <c r="AT48">
        <f>9.599117323</f>
        <v>9.5991173229999998</v>
      </c>
      <c r="AU48">
        <f>12.86067601</f>
        <v>12.860676010000001</v>
      </c>
      <c r="AV48">
        <f>14.13824057</f>
        <v>14.138240570000001</v>
      </c>
      <c r="AW48">
        <f>10.93000959</f>
        <v>10.930009589999999</v>
      </c>
      <c r="AX48">
        <f>10.85552865</f>
        <v>10.85552865</v>
      </c>
      <c r="AY48">
        <f>10.60542797</f>
        <v>10.605427969999999</v>
      </c>
      <c r="AZ48">
        <f>9.583333333</f>
        <v>9.5833333330000006</v>
      </c>
      <c r="BA48">
        <f>11.75036568</f>
        <v>11.75036568</v>
      </c>
      <c r="BB48">
        <f>11.18690314</f>
        <v>11.18690314</v>
      </c>
      <c r="BC48">
        <f>5.156136529</f>
        <v>5.1561365290000003</v>
      </c>
      <c r="BD48">
        <f>17.73940345</f>
        <v>17.739403450000001</v>
      </c>
      <c r="BE48">
        <f>12.79620853</f>
        <v>12.796208529999999</v>
      </c>
      <c r="BF48">
        <f>12.37998989</f>
        <v>12.379989889999999</v>
      </c>
      <c r="BG48">
        <f>12.33521657</f>
        <v>12.33521657</v>
      </c>
      <c r="BH48">
        <f>12.48618785</f>
        <v>12.48618785</v>
      </c>
      <c r="BI48">
        <f>8.054892601</f>
        <v>8.0548926010000006</v>
      </c>
      <c r="BJ48">
        <f>8.978174603</f>
        <v>8.9781746029999994</v>
      </c>
      <c r="BK48">
        <f>14.43210931</f>
        <v>14.43210931</v>
      </c>
      <c r="BL48">
        <f>13.35038363</f>
        <v>13.35038363</v>
      </c>
      <c r="BM48">
        <f>9.347258486</f>
        <v>9.3472584859999994</v>
      </c>
      <c r="BN48">
        <f>15.17761033</f>
        <v>15.17761033</v>
      </c>
      <c r="BO48">
        <f>13.7242268</f>
        <v>13.7242268</v>
      </c>
      <c r="BP48">
        <f>20.41254835</f>
        <v>20.412548350000002</v>
      </c>
      <c r="BQ48">
        <f>16.3413527</f>
        <v>16.341352700000002</v>
      </c>
      <c r="BR48">
        <f>15.02276176</f>
        <v>15.02276176</v>
      </c>
      <c r="BS48">
        <f>13.28286304</f>
        <v>13.282863040000001</v>
      </c>
      <c r="BT48">
        <f>13.7653737</f>
        <v>13.7653737</v>
      </c>
      <c r="BU48">
        <f>16.88997158</f>
        <v>16.889971580000001</v>
      </c>
      <c r="BV48">
        <f>18.13333333</f>
        <v>18.133333329999999</v>
      </c>
      <c r="BW48">
        <f>17.07593502</f>
        <v>17.075935019999999</v>
      </c>
      <c r="BX48">
        <f>17.16475096</f>
        <v>17.164750959999999</v>
      </c>
      <c r="BY48">
        <f>15.97222222</f>
        <v>15.972222220000001</v>
      </c>
      <c r="BZ48">
        <f>18.89378365</f>
        <v>18.89378365</v>
      </c>
      <c r="CA48">
        <f>15.89092619</f>
        <v>15.89092619</v>
      </c>
      <c r="CB48">
        <f>14.21605401</f>
        <v>14.216054010000001</v>
      </c>
      <c r="CC48">
        <f>15.36859642</f>
        <v>15.368596419999999</v>
      </c>
      <c r="CD48">
        <f>15.15775034</f>
        <v>15.15775034</v>
      </c>
      <c r="CE48">
        <f>13.58653093</f>
        <v>13.58653093</v>
      </c>
      <c r="CF48">
        <f>15.15994437</f>
        <v>15.15994437</v>
      </c>
      <c r="CG48">
        <f>13.32807571</f>
        <v>13.32807571</v>
      </c>
    </row>
    <row r="49" spans="1:85" x14ac:dyDescent="0.25">
      <c r="A49" t="str">
        <f>"        Mack"</f>
        <v xml:space="preserve">        Mack</v>
      </c>
      <c r="B49" t="str">
        <f>"VOLVB SS Equity"</f>
        <v>VOLVB SS Equity</v>
      </c>
      <c r="E49" t="str">
        <f>"Expression"</f>
        <v>Expression</v>
      </c>
      <c r="F49">
        <f ca="1">IF(AND($B$294=1,LEN($F$194) * LEN($F$187)&gt;0),$F$194/$F$187*100,HLOOKUP(INDIRECT(ADDRESS(2,COLUMN())),OFFSET($AT$2,0,0,ROW()-1,40),ROW()-1,FALSE))</f>
        <v>4.965060684</v>
      </c>
      <c r="G49">
        <f ca="1">IF(AND($B$294=1,LEN($G$194) * LEN($G$187)&gt;0),$G$194/$G$187*100,HLOOKUP(INDIRECT(ADDRESS(2,COLUMN())),OFFSET($AT$2,0,0,ROW()-1,40),ROW()-1,FALSE))</f>
        <v>8.2028029680000003</v>
      </c>
      <c r="H49">
        <f ca="1">IF(AND($B$294=1,LEN($H$194) * LEN($H$187)&gt;0),$H$194/$H$187*100,HLOOKUP(INDIRECT(ADDRESS(2,COLUMN())),OFFSET($AT$2,0,0,ROW()-1,40),ROW()-1,FALSE))</f>
        <v>5.9245960499999999</v>
      </c>
      <c r="I49">
        <f ca="1">IF(AND($B$294=1,LEN($I$194) * LEN($I$187)&gt;0),$I$194/$I$187*100,HLOOKUP(INDIRECT(ADDRESS(2,COLUMN())),OFFSET($AT$2,0,0,ROW()-1,40),ROW()-1,FALSE))</f>
        <v>5.9443911790000001</v>
      </c>
      <c r="J49">
        <f ca="1">IF(AND($B$294=1,LEN($J$194) * LEN($J$187)&gt;0),$J$194/$J$187*100,HLOOKUP(INDIRECT(ADDRESS(2,COLUMN())),OFFSET($AT$2,0,0,ROW()-1,40),ROW()-1,FALSE))</f>
        <v>7.8288942700000002</v>
      </c>
      <c r="K49">
        <f ca="1">IF(AND($B$294=1,LEN($K$194) * LEN($K$187)&gt;0),$K$194/$K$187*100,HLOOKUP(INDIRECT(ADDRESS(2,COLUMN())),OFFSET($AT$2,0,0,ROW()-1,40),ROW()-1,FALSE))</f>
        <v>7.0563674320000001</v>
      </c>
      <c r="L49">
        <f ca="1">IF(AND($B$294=1,LEN($L$194) * LEN($L$187)&gt;0),$L$194/$L$187*100,HLOOKUP(INDIRECT(ADDRESS(2,COLUMN())),OFFSET($AT$2,0,0,ROW()-1,40),ROW()-1,FALSE))</f>
        <v>5.46875</v>
      </c>
      <c r="M49">
        <f ca="1">IF(AND($B$294=1,LEN($M$194) * LEN($M$187)&gt;0),$M$194/$M$187*100,HLOOKUP(INDIRECT(ADDRESS(2,COLUMN())),OFFSET($AT$2,0,0,ROW()-1,40),ROW()-1,FALSE))</f>
        <v>10.872745</v>
      </c>
      <c r="N49">
        <f ca="1">IF(AND($B$294=1,LEN($N$194) * LEN($N$187)&gt;0),$N$194/$N$187*100,HLOOKUP(INDIRECT(ADDRESS(2,COLUMN())),OFFSET($AT$2,0,0,ROW()-1,40),ROW()-1,FALSE))</f>
        <v>7.366984993</v>
      </c>
      <c r="O49">
        <f ca="1">IF(AND($B$294=1,LEN($O$194) * LEN($O$187)&gt;0),$O$194/$O$187*100,HLOOKUP(INDIRECT(ADDRESS(2,COLUMN())),OFFSET($AT$2,0,0,ROW()-1,40),ROW()-1,FALSE))</f>
        <v>4.8656499640000002</v>
      </c>
      <c r="P49">
        <f ca="1">IF(AND($B$294=1,LEN($P$194) * LEN($P$187)&gt;0),$P$194/$P$187*100,HLOOKUP(INDIRECT(ADDRESS(2,COLUMN())),OFFSET($AT$2,0,0,ROW()-1,40),ROW()-1,FALSE))</f>
        <v>8.9481946620000006</v>
      </c>
      <c r="Q49">
        <f ca="1">IF(AND($B$294=1,LEN($Q$194) * LEN($Q$187)&gt;0),$Q$194/$Q$187*100,HLOOKUP(INDIRECT(ADDRESS(2,COLUMN())),OFFSET($AT$2,0,0,ROW()-1,40),ROW()-1,FALSE))</f>
        <v>6.2664560290000004</v>
      </c>
      <c r="R49">
        <f ca="1">IF(AND($B$294=1,LEN($R$194) * LEN($R$187)&gt;0),$R$194/$R$187*100,HLOOKUP(INDIRECT(ADDRESS(2,COLUMN())),OFFSET($AT$2,0,0,ROW()-1,40),ROW()-1,FALSE))</f>
        <v>6.0131379479999998</v>
      </c>
      <c r="S49">
        <f ca="1">IF(AND($B$294=1,LEN($S$194) * LEN($S$187)&gt;0),$S$194/$S$187*100,HLOOKUP(INDIRECT(ADDRESS(2,COLUMN())),OFFSET($AT$2,0,0,ROW()-1,40),ROW()-1,FALSE))</f>
        <v>6.2617702450000001</v>
      </c>
      <c r="T49">
        <f ca="1">IF(AND($B$294=1,LEN($T$194) * LEN($T$187)&gt;0),$T$194/$T$187*100,HLOOKUP(INDIRECT(ADDRESS(2,COLUMN())),OFFSET($AT$2,0,0,ROW()-1,40),ROW()-1,FALSE))</f>
        <v>6.4640883980000003</v>
      </c>
      <c r="U49">
        <f ca="1">IF(AND($B$294=1,LEN($U$194) * LEN($U$187)&gt;0),$U$194/$U$187*100,HLOOKUP(INDIRECT(ADDRESS(2,COLUMN())),OFFSET($AT$2,0,0,ROW()-1,40),ROW()-1,FALSE))</f>
        <v>8.9498806680000005</v>
      </c>
      <c r="V49">
        <f ca="1">IF(AND($B$294=1,LEN($V$194) * LEN($V$187)&gt;0),$V$194/$V$187*100,HLOOKUP(INDIRECT(ADDRESS(2,COLUMN())),OFFSET($AT$2,0,0,ROW()-1,40),ROW()-1,FALSE))</f>
        <v>8.5317460319999991</v>
      </c>
      <c r="W49">
        <f ca="1">IF(AND($B$294=1,LEN($W$194) * LEN($W$187)&gt;0),$W$194/$W$187*100,HLOOKUP(INDIRECT(ADDRESS(2,COLUMN())),OFFSET($AT$2,0,0,ROW()-1,40),ROW()-1,FALSE))</f>
        <v>7.2160546539999997</v>
      </c>
      <c r="X49">
        <f ca="1">IF(AND($B$294=1,LEN($X$194) * LEN($X$187)&gt;0),$X$194/$X$187*100,HLOOKUP(INDIRECT(ADDRESS(2,COLUMN())),OFFSET($AT$2,0,0,ROW()-1,40),ROW()-1,FALSE))</f>
        <v>8.2352941180000006</v>
      </c>
      <c r="Y49">
        <f ca="1">IF(AND($B$294=1,LEN($Y$194) * LEN($Y$187)&gt;0),$Y$194/$Y$187*100,HLOOKUP(INDIRECT(ADDRESS(2,COLUMN())),OFFSET($AT$2,0,0,ROW()-1,40),ROW()-1,FALSE))</f>
        <v>8.9817232380000007</v>
      </c>
      <c r="Z49">
        <f ca="1">IF(AND($B$294=1,LEN($Z$194) * LEN($Z$187)&gt;0),$Z$194/$Z$187*100,HLOOKUP(INDIRECT(ADDRESS(2,COLUMN())),OFFSET($AT$2,0,0,ROW()-1,40),ROW()-1,FALSE))</f>
        <v>7.3735199140000001</v>
      </c>
      <c r="AA49">
        <f ca="1">IF(AND($B$294=1,LEN($AA$194) * LEN($AA$187)&gt;0),$AA$194/$AA$187*100,HLOOKUP(INDIRECT(ADDRESS(2,COLUMN())),OFFSET($AT$2,0,0,ROW()-1,40),ROW()-1,FALSE))</f>
        <v>8.1829896909999995</v>
      </c>
      <c r="AB49">
        <f ca="1">IF(AND($B$294=1,LEN($AB$194) * LEN($AB$187)&gt;0),$AB$194/$AB$187*100,HLOOKUP(INDIRECT(ADDRESS(2,COLUMN())),OFFSET($AT$2,0,0,ROW()-1,40),ROW()-1,FALSE))</f>
        <v>9.0674688440000004</v>
      </c>
      <c r="AC49">
        <f ca="1">IF(AND($B$294=1,LEN($AC$194) * LEN($AC$187)&gt;0),$AC$194/$AC$187*100,HLOOKUP(INDIRECT(ADDRESS(2,COLUMN())),OFFSET($AT$2,0,0,ROW()-1,40),ROW()-1,FALSE))</f>
        <v>10.213345439999999</v>
      </c>
      <c r="AD49">
        <f ca="1">IF(AND($B$294=1,LEN($AD$194) * LEN($AD$187)&gt;0),$AD$194/$AD$187*100,HLOOKUP(INDIRECT(ADDRESS(2,COLUMN())),OFFSET($AT$2,0,0,ROW()-1,40),ROW()-1,FALSE))</f>
        <v>5.95599393</v>
      </c>
      <c r="AE49">
        <f ca="1">IF(AND($B$294=1,LEN($AE$194) * LEN($AE$187)&gt;0),$AE$194/$AE$187*100,HLOOKUP(INDIRECT(ADDRESS(2,COLUMN())),OFFSET($AT$2,0,0,ROW()-1,40),ROW()-1,FALSE))</f>
        <v>6.4693737100000002</v>
      </c>
      <c r="AF49">
        <f ca="1">IF(AND($B$294=1,LEN($AF$194) * LEN($AF$187)&gt;0),$AF$194/$AF$187*100,HLOOKUP(INDIRECT(ADDRESS(2,COLUMN())),OFFSET($AT$2,0,0,ROW()-1,40),ROW()-1,FALSE))</f>
        <v>6.4806054870000001</v>
      </c>
      <c r="AG49">
        <f ca="1">IF(AND($B$294=1,LEN($AG$194) * LEN($AG$187)&gt;0),$AG$194/$AG$187*100,HLOOKUP(INDIRECT(ADDRESS(2,COLUMN())),OFFSET($AT$2,0,0,ROW()-1,40),ROW()-1,FALSE))</f>
        <v>5.643524158</v>
      </c>
      <c r="AH49">
        <f ca="1">IF(AND($B$294=1,LEN($AH$194) * LEN($AH$187)&gt;0),$AH$194/$AH$187*100,HLOOKUP(INDIRECT(ADDRESS(2,COLUMN())),OFFSET($AT$2,0,0,ROW()-1,40),ROW()-1,FALSE))</f>
        <v>7.733333333</v>
      </c>
      <c r="AI49">
        <f ca="1">IF(AND($B$294=1,LEN($AI$194) * LEN($AI$187)&gt;0),$AI$194/$AI$187*100,HLOOKUP(INDIRECT(ADDRESS(2,COLUMN())),OFFSET($AT$2,0,0,ROW()-1,40),ROW()-1,FALSE))</f>
        <v>9.5579901780000007</v>
      </c>
      <c r="AJ49">
        <f ca="1">IF(AND($B$294=1,LEN($AJ$194) * LEN($AJ$187)&gt;0),$AJ$194/$AJ$187*100,HLOOKUP(INDIRECT(ADDRESS(2,COLUMN())),OFFSET($AT$2,0,0,ROW()-1,40),ROW()-1,FALSE))</f>
        <v>6.6666666670000003</v>
      </c>
      <c r="AK49">
        <f ca="1">IF(AND($B$294=1,LEN($AK$194) * LEN($AK$187)&gt;0),$AK$194/$AK$187*100,HLOOKUP(INDIRECT(ADDRESS(2,COLUMN())),OFFSET($AT$2,0,0,ROW()-1,40),ROW()-1,FALSE))</f>
        <v>7.5347222220000001</v>
      </c>
      <c r="AL49">
        <f ca="1">IF(AND($B$294=1,LEN($AL$194) * LEN($AL$187)&gt;0),$AL$194/$AL$187*100,HLOOKUP(INDIRECT(ADDRESS(2,COLUMN())),OFFSET($AT$2,0,0,ROW()-1,40),ROW()-1,FALSE))</f>
        <v>5.3842388640000003</v>
      </c>
      <c r="AM49">
        <f ca="1">IF(AND($B$294=1,LEN($AM$194) * LEN($AM$187)&gt;0),$AM$194/$AM$187*100,HLOOKUP(INDIRECT(ADDRESS(2,COLUMN())),OFFSET($AT$2,0,0,ROW()-1,40),ROW()-1,FALSE))</f>
        <v>8.0394922429999998</v>
      </c>
      <c r="AN49">
        <f ca="1">IF(AND($B$294=1,LEN($AN$194) * LEN($AN$187)&gt;0),$AN$194/$AN$187*100,HLOOKUP(INDIRECT(ADDRESS(2,COLUMN())),OFFSET($AT$2,0,0,ROW()-1,40),ROW()-1,FALSE))</f>
        <v>6.0765191300000003</v>
      </c>
      <c r="AO49">
        <f ca="1">IF(AND($B$294=1,LEN($AO$194) * LEN($AO$187)&gt;0),$AO$194/$AO$187*100,HLOOKUP(INDIRECT(ADDRESS(2,COLUMN())),OFFSET($AT$2,0,0,ROW()-1,40),ROW()-1,FALSE))</f>
        <v>5.7059558519999998</v>
      </c>
      <c r="AP49">
        <f ca="1">IF(AND($B$294=1,LEN($AP$194) * LEN($AP$187)&gt;0),$AP$194/$AP$187*100,HLOOKUP(INDIRECT(ADDRESS(2,COLUMN())),OFFSET($AT$2,0,0,ROW()-1,40),ROW()-1,FALSE))</f>
        <v>3.8065843620000002</v>
      </c>
      <c r="AQ49">
        <f ca="1">IF(AND($B$294=1,LEN($AQ$194) * LEN($AQ$187)&gt;0),$AQ$194/$AQ$187*100,HLOOKUP(INDIRECT(ADDRESS(2,COLUMN())),OFFSET($AT$2,0,0,ROW()-1,40),ROW()-1,FALSE))</f>
        <v>6.734534064</v>
      </c>
      <c r="AR49">
        <f ca="1">IF(AND($B$294=1,LEN($AR$194) * LEN($AR$187)&gt;0),$AR$194/$AR$187*100,HLOOKUP(INDIRECT(ADDRESS(2,COLUMN())),OFFSET($AT$2,0,0,ROW()-1,40),ROW()-1,FALSE))</f>
        <v>7.6958738990000004</v>
      </c>
      <c r="AS49">
        <f ca="1">IF(AND($B$294=1,LEN($AS$194) * LEN($AS$187)&gt;0),$AS$194/$AS$187*100,HLOOKUP(INDIRECT(ADDRESS(2,COLUMN())),OFFSET($AT$2,0,0,ROW()-1,40),ROW()-1,FALSE))</f>
        <v>9.2271293379999992</v>
      </c>
      <c r="AT49">
        <f>4.965060684</f>
        <v>4.965060684</v>
      </c>
      <c r="AU49">
        <f>8.202802968</f>
        <v>8.2028029680000003</v>
      </c>
      <c r="AV49">
        <f>5.92459605</f>
        <v>5.9245960499999999</v>
      </c>
      <c r="AW49">
        <f>5.944391179</f>
        <v>5.9443911790000001</v>
      </c>
      <c r="AX49">
        <f>7.82889427</f>
        <v>7.8288942700000002</v>
      </c>
      <c r="AY49">
        <f>7.056367432</f>
        <v>7.0563674320000001</v>
      </c>
      <c r="AZ49">
        <f>5.46875</f>
        <v>5.46875</v>
      </c>
      <c r="BA49">
        <f>10.872745</f>
        <v>10.872745</v>
      </c>
      <c r="BB49">
        <f>7.366984993</f>
        <v>7.366984993</v>
      </c>
      <c r="BC49">
        <f>4.865649964</f>
        <v>4.8656499640000002</v>
      </c>
      <c r="BD49">
        <f>8.948194662</f>
        <v>8.9481946620000006</v>
      </c>
      <c r="BE49">
        <f>6.266456029</f>
        <v>6.2664560290000004</v>
      </c>
      <c r="BF49">
        <f>6.013137948</f>
        <v>6.0131379479999998</v>
      </c>
      <c r="BG49">
        <f>6.261770245</f>
        <v>6.2617702450000001</v>
      </c>
      <c r="BH49">
        <f>6.464088398</f>
        <v>6.4640883980000003</v>
      </c>
      <c r="BI49">
        <f>8.949880668</f>
        <v>8.9498806680000005</v>
      </c>
      <c r="BJ49">
        <f>8.531746032</f>
        <v>8.5317460319999991</v>
      </c>
      <c r="BK49">
        <f>7.216054654</f>
        <v>7.2160546539999997</v>
      </c>
      <c r="BL49">
        <f>8.235294118</f>
        <v>8.2352941180000006</v>
      </c>
      <c r="BM49">
        <f>8.981723238</f>
        <v>8.9817232380000007</v>
      </c>
      <c r="BN49">
        <f>7.373519914</f>
        <v>7.3735199140000001</v>
      </c>
      <c r="BO49">
        <f>8.182989691</f>
        <v>8.1829896909999995</v>
      </c>
      <c r="BP49">
        <f>9.067468844</f>
        <v>9.0674688440000004</v>
      </c>
      <c r="BQ49">
        <f>10.21334544</f>
        <v>10.213345439999999</v>
      </c>
      <c r="BR49">
        <f>5.95599393</f>
        <v>5.95599393</v>
      </c>
      <c r="BS49">
        <f>6.46937371</f>
        <v>6.4693737100000002</v>
      </c>
      <c r="BT49">
        <f>6.480605487</f>
        <v>6.4806054870000001</v>
      </c>
      <c r="BU49">
        <f>5.643524158</f>
        <v>5.643524158</v>
      </c>
      <c r="BV49">
        <f>7.733333333</f>
        <v>7.733333333</v>
      </c>
      <c r="BW49">
        <f>9.557990178</f>
        <v>9.5579901780000007</v>
      </c>
      <c r="BX49">
        <f>6.666666667</f>
        <v>6.6666666670000003</v>
      </c>
      <c r="BY49">
        <f>7.534722222</f>
        <v>7.5347222220000001</v>
      </c>
      <c r="BZ49">
        <f>5.384238864</f>
        <v>5.3842388640000003</v>
      </c>
      <c r="CA49">
        <f>8.039492243</f>
        <v>8.0394922429999998</v>
      </c>
      <c r="CB49">
        <f>6.07651913</f>
        <v>6.0765191300000003</v>
      </c>
      <c r="CC49">
        <f>5.705955852</f>
        <v>5.7059558519999998</v>
      </c>
      <c r="CD49">
        <f>3.806584362</f>
        <v>3.8065843620000002</v>
      </c>
      <c r="CE49">
        <f>6.734534064</f>
        <v>6.734534064</v>
      </c>
      <c r="CF49">
        <f>7.695873899</f>
        <v>7.6958738990000004</v>
      </c>
      <c r="CG49">
        <f>9.227129338</f>
        <v>9.2271293379999992</v>
      </c>
    </row>
    <row r="50" spans="1:85" x14ac:dyDescent="0.25">
      <c r="A50" t="str">
        <f>"    Navistar"</f>
        <v xml:space="preserve">    Navistar</v>
      </c>
      <c r="B50" t="str">
        <f>"NAV US Equity"</f>
        <v>NAV US Equity</v>
      </c>
      <c r="E50" t="str">
        <f>"Sum"</f>
        <v>Sum</v>
      </c>
      <c r="F50">
        <f ca="1">IF(ISERROR(IF(SUM($F$51:$F$51) = 0, "", SUM($F$51:$F$51))), "", (IF(SUM($F$51:$F$51) = 0, "", SUM($F$51:$F$51))))</f>
        <v>23.427730780000001</v>
      </c>
      <c r="G50">
        <f ca="1">IF(ISERROR(IF(SUM($G$51:$G$51) = 0, "", SUM($G$51:$G$51))), "", (IF(SUM($G$51:$G$51) = 0, "", SUM($G$51:$G$51))))</f>
        <v>13.27287716</v>
      </c>
      <c r="H50">
        <f ca="1">IF(ISERROR(IF(SUM($H$51:$H$51) = 0, "", SUM($H$51:$H$51))), "", (IF(SUM($H$51:$H$51) = 0, "", SUM($H$51:$H$51))))</f>
        <v>16.38240575</v>
      </c>
      <c r="I50">
        <f ca="1">IF(ISERROR(IF(SUM($I$51:$I$51) = 0, "", SUM($I$51:$I$51))), "", (IF(SUM($I$51:$I$51) = 0, "", SUM($I$51:$I$51))))</f>
        <v>14.04602109</v>
      </c>
      <c r="J50">
        <f ca="1">IF(ISERROR(IF(SUM($J$51:$J$51) = 0, "", SUM($J$51:$J$51))), "", (IF(SUM($J$51:$J$51) = 0, "", SUM($J$51:$J$51))))</f>
        <v>16.908797419999999</v>
      </c>
      <c r="K50">
        <f ca="1">IF(ISERROR(IF(SUM($K$51:$K$51) = 0, "", SUM($K$51:$K$51))), "", (IF(SUM($K$51:$K$51) = 0, "", SUM($K$51:$K$51))))</f>
        <v>13.736951980000001</v>
      </c>
      <c r="L50">
        <f ca="1">IF(ISERROR(IF(SUM($L$51:$L$51) = 0, "", SUM($L$51:$L$51))), "", (IF(SUM($L$51:$L$51) = 0, "", SUM($L$51:$L$51))))</f>
        <v>17.552083329999999</v>
      </c>
      <c r="M50">
        <f ca="1">IF(ISERROR(IF(SUM($M$51:$M$51) = 0, "", SUM($M$51:$M$51))), "", (IF(SUM($M$51:$M$51) = 0, "", SUM($M$51:$M$51))))</f>
        <v>13.2618235</v>
      </c>
      <c r="N50">
        <f ca="1">IF(ISERROR(IF(SUM($N$51:$N$51) = 0, "", SUM($N$51:$N$51))), "", (IF(SUM($N$51:$N$51) = 0, "", SUM($N$51:$N$51))))</f>
        <v>11.32332879</v>
      </c>
      <c r="O50">
        <f ca="1">IF(ISERROR(IF(SUM($O$51:$O$51) = 0, "", SUM($O$51:$O$51))), "", (IF(SUM($O$51:$O$51) = 0, "", SUM($O$51:$O$51))))</f>
        <v>18.010167030000002</v>
      </c>
      <c r="P50">
        <f ca="1">IF(ISERROR(IF(SUM($P$51:$P$51) = 0, "", SUM($P$51:$P$51))), "", (IF(SUM($P$51:$P$51) = 0, "", SUM($P$51:$P$51))))</f>
        <v>8.8435374150000001</v>
      </c>
      <c r="Q50">
        <f ca="1">IF(ISERROR(IF(SUM($Q$51:$Q$51) = 0, "", SUM($Q$51:$Q$51))), "", (IF(SUM($Q$51:$Q$51) = 0, "", SUM($Q$51:$Q$51))))</f>
        <v>9.6366508690000003</v>
      </c>
      <c r="R50">
        <f ca="1">IF(ISERROR(IF(SUM($R$51:$R$51) = 0, "", SUM($R$51:$R$51))), "", (IF(SUM($R$51:$R$51) = 0, "", SUM($R$51:$R$51))))</f>
        <v>20.66700354</v>
      </c>
      <c r="S50">
        <f ca="1">IF(ISERROR(IF(SUM($S$51:$S$51) = 0, "", SUM($S$51:$S$51))), "", (IF(SUM($S$51:$S$51) = 0, "", SUM($S$51:$S$51))))</f>
        <v>15.442561209999999</v>
      </c>
      <c r="T50">
        <f ca="1">IF(ISERROR(IF(SUM($T$51:$T$51) = 0, "", SUM($T$51:$T$51))), "", (IF(SUM($T$51:$T$51) = 0, "", SUM($T$51:$T$51))))</f>
        <v>11.436464089999999</v>
      </c>
      <c r="U50">
        <f ca="1">IF(ISERROR(IF(SUM($U$51:$U$51) = 0, "", SUM($U$51:$U$51))), "", (IF(SUM($U$51:$U$51) = 0, "", SUM($U$51:$U$51))))</f>
        <v>10.62052506</v>
      </c>
      <c r="V50">
        <f ca="1">IF(ISERROR(IF(SUM($V$51:$V$51) = 0, "", SUM($V$51:$V$51))), "", (IF(SUM($V$51:$V$51) = 0, "", SUM($V$51:$V$51))))</f>
        <v>12.400793650000001</v>
      </c>
      <c r="W50">
        <f ca="1">IF(ISERROR(IF(SUM($W$51:$W$51) = 0, "", SUM($W$51:$W$51))), "", (IF(SUM($W$51:$W$51) = 0, "", SUM($W$51:$W$51))))</f>
        <v>11.48590948</v>
      </c>
      <c r="X50">
        <f ca="1">IF(ISERROR(IF(SUM($X$51:$X$51) = 0, "", SUM($X$51:$X$51))), "", (IF(SUM($X$51:$X$51) = 0, "", SUM($X$51:$X$51))))</f>
        <v>14.629156010000001</v>
      </c>
      <c r="Y50">
        <f ca="1">IF(ISERROR(IF(SUM($Y$51:$Y$51) = 0, "", SUM($Y$51:$Y$51))), "", (IF(SUM($Y$51:$Y$51) = 0, "", SUM($Y$51:$Y$51))))</f>
        <v>11.27937337</v>
      </c>
      <c r="Z50">
        <f ca="1">IF(ISERROR(IF(SUM($Z$51:$Z$51) = 0, "", SUM($Z$51:$Z$51))), "", (IF(SUM($Z$51:$Z$51) = 0, "", SUM($Z$51:$Z$51))))</f>
        <v>9.9031216359999998</v>
      </c>
      <c r="AA50">
        <f ca="1">IF(ISERROR(IF(SUM($AA$51:$AA$51) = 0, "", SUM($AA$51:$AA$51))), "", (IF(SUM($AA$51:$AA$51) = 0, "", SUM($AA$51:$AA$51))))</f>
        <v>13.33762887</v>
      </c>
      <c r="AB50">
        <f ca="1">IF(ISERROR(IF(SUM($AB$51:$AB$51) = 0, "", SUM($AB$51:$AB$51))), "", (IF(SUM($AB$51:$AB$51) = 0, "", SUM($AB$51:$AB$51))))</f>
        <v>8.5517834120000007</v>
      </c>
      <c r="AC50">
        <f ca="1">IF(ISERROR(IF(SUM($AC$51:$AC$51) = 0, "", SUM($AC$51:$AC$51))), "", (IF(SUM($AC$51:$AC$51) = 0, "", SUM($AC$51:$AC$51))))</f>
        <v>8.5338175219999997</v>
      </c>
      <c r="AD50">
        <f ca="1">IF(ISERROR(IF(SUM($AD$51:$AD$51) = 0, "", SUM($AD$51:$AD$51))), "", (IF(SUM($AD$51:$AD$51) = 0, "", SUM($AD$51:$AD$51))))</f>
        <v>17.905918060000001</v>
      </c>
      <c r="AE50">
        <f ca="1">IF(ISERROR(IF(SUM($AE$51:$AE$51) = 0, "", SUM($AE$51:$AE$51))), "", (IF(SUM($AE$51:$AE$51) = 0, "", SUM($AE$51:$AE$51))))</f>
        <v>11.32140399</v>
      </c>
      <c r="AF50">
        <f ca="1">IF(ISERROR(IF(SUM($AF$51:$AF$51) = 0, "", SUM($AF$51:$AF$51))), "", (IF(SUM($AF$51:$AF$51) = 0, "", SUM($AF$51:$AF$51))))</f>
        <v>18.448438979999999</v>
      </c>
      <c r="AG50">
        <f ca="1">IF(ISERROR(IF(SUM($AG$51:$AG$51) = 0, "", SUM($AG$51:$AG$51))), "", (IF(SUM($AG$51:$AG$51) = 0, "", SUM($AG$51:$AG$51))))</f>
        <v>14.738124239999999</v>
      </c>
      <c r="AH50">
        <f ca="1">IF(ISERROR(IF(SUM($AH$51:$AH$51) = 0, "", SUM($AH$51:$AH$51))), "", (IF(SUM($AH$51:$AH$51) = 0, "", SUM($AH$51:$AH$51))))</f>
        <v>13.752380949999999</v>
      </c>
      <c r="AI50">
        <f ca="1">IF(ISERROR(IF(SUM($AI$51:$AI$51) = 0, "", SUM($AI$51:$AI$51))), "", (IF(SUM($AI$51:$AI$51) = 0, "", SUM($AI$51:$AI$51))))</f>
        <v>14.12920287</v>
      </c>
      <c r="AJ50">
        <f ca="1">IF(ISERROR(IF(SUM($AJ$51:$AJ$51) = 0, "", SUM($AJ$51:$AJ$51))), "", (IF(SUM($AJ$51:$AJ$51) = 0, "", SUM($AJ$51:$AJ$51))))</f>
        <v>13.2183908</v>
      </c>
      <c r="AK50">
        <f ca="1">IF(ISERROR(IF(SUM($AK$51:$AK$51) = 0, "", SUM($AK$51:$AK$51))), "", (IF(SUM($AK$51:$AK$51) = 0, "", SUM($AK$51:$AK$51))))</f>
        <v>10.69444444</v>
      </c>
      <c r="AL50">
        <f ca="1">IF(ISERROR(IF(SUM($AL$51:$AL$51) = 0, "", SUM($AL$51:$AL$51))), "", (IF(SUM($AL$51:$AL$51) = 0, "", SUM($AL$51:$AL$51))))</f>
        <v>13.069016149999999</v>
      </c>
      <c r="AM50">
        <f ca="1">IF(ISERROR(IF(SUM($AM$51:$AM$51) = 0, "", SUM($AM$51:$AM$51))), "", (IF(SUM($AM$51:$AM$51) = 0, "", SUM($AM$51:$AM$51))))</f>
        <v>13.82228491</v>
      </c>
      <c r="AN50">
        <f ca="1">IF(ISERROR(IF(SUM($AN$51:$AN$51) = 0, "", SUM($AN$51:$AN$51))), "", (IF(SUM($AN$51:$AN$51) = 0, "", SUM($AN$51:$AN$51))))</f>
        <v>13.46586647</v>
      </c>
      <c r="AO50">
        <f ca="1">IF(ISERROR(IF(SUM($AO$51:$AO$51) = 0, "", SUM($AO$51:$AO$51))), "", (IF(SUM($AO$51:$AO$51) = 0, "", SUM($AO$51:$AO$51))))</f>
        <v>13.24448147</v>
      </c>
      <c r="AP50">
        <f ca="1">IF(ISERROR(IF(SUM($AP$51:$AP$51) = 0, "", SUM($AP$51:$AP$51))), "", (IF(SUM($AP$51:$AP$51) = 0, "", SUM($AP$51:$AP$51))))</f>
        <v>14.094650209999999</v>
      </c>
      <c r="AQ50">
        <f ca="1">IF(ISERROR(IF(SUM($AQ$51:$AQ$51) = 0, "", SUM($AQ$51:$AQ$51))), "", (IF(SUM($AQ$51:$AQ$51) = 0, "", SUM($AQ$51:$AQ$51))))</f>
        <v>13.743148</v>
      </c>
      <c r="AR50">
        <f ca="1">IF(ISERROR(IF(SUM($AR$51:$AR$51) = 0, "", SUM($AR$51:$AR$51))), "", (IF(SUM($AR$51:$AR$51) = 0, "", SUM($AR$51:$AR$51))))</f>
        <v>9.5966620309999993</v>
      </c>
      <c r="AS50">
        <f ca="1">IF(ISERROR(IF(SUM($AS$51:$AS$51) = 0, "", SUM($AS$51:$AS$51))), "", (IF(SUM($AS$51:$AS$51) = 0, "", SUM($AS$51:$AS$51))))</f>
        <v>15.26025237</v>
      </c>
      <c r="AT50">
        <f>23.42773078</f>
        <v>23.427730780000001</v>
      </c>
      <c r="AU50">
        <f>13.27287716</f>
        <v>13.27287716</v>
      </c>
      <c r="AV50">
        <f>16.38240575</f>
        <v>16.38240575</v>
      </c>
      <c r="AW50">
        <f>14.04602109</f>
        <v>14.04602109</v>
      </c>
      <c r="AX50">
        <f>16.90879742</f>
        <v>16.908797419999999</v>
      </c>
      <c r="AY50">
        <f>13.73695198</f>
        <v>13.736951980000001</v>
      </c>
      <c r="AZ50">
        <f>17.55208333</f>
        <v>17.552083329999999</v>
      </c>
      <c r="BA50">
        <f>13.2618235</f>
        <v>13.2618235</v>
      </c>
      <c r="BB50">
        <f>11.32332879</f>
        <v>11.32332879</v>
      </c>
      <c r="BC50">
        <f>18.01016703</f>
        <v>18.010167030000002</v>
      </c>
      <c r="BD50">
        <f>8.843537415</f>
        <v>8.8435374150000001</v>
      </c>
      <c r="BE50">
        <f>9.636650869</f>
        <v>9.6366508690000003</v>
      </c>
      <c r="BF50">
        <f>20.66700354</f>
        <v>20.66700354</v>
      </c>
      <c r="BG50">
        <f>15.44256121</f>
        <v>15.442561209999999</v>
      </c>
      <c r="BH50">
        <f>11.43646409</f>
        <v>11.436464089999999</v>
      </c>
      <c r="BI50">
        <f>10.62052506</f>
        <v>10.62052506</v>
      </c>
      <c r="BJ50">
        <f>12.40079365</f>
        <v>12.400793650000001</v>
      </c>
      <c r="BK50">
        <f>11.48590948</f>
        <v>11.48590948</v>
      </c>
      <c r="BL50">
        <f>14.62915601</f>
        <v>14.629156010000001</v>
      </c>
      <c r="BM50">
        <f>11.27937337</f>
        <v>11.27937337</v>
      </c>
      <c r="BN50">
        <f>9.903121636</f>
        <v>9.9031216359999998</v>
      </c>
      <c r="BO50">
        <f>13.33762887</f>
        <v>13.33762887</v>
      </c>
      <c r="BP50">
        <f>8.551783412</f>
        <v>8.5517834120000007</v>
      </c>
      <c r="BQ50">
        <f>8.533817522</f>
        <v>8.5338175219999997</v>
      </c>
      <c r="BR50">
        <f>17.90591806</f>
        <v>17.905918060000001</v>
      </c>
      <c r="BS50">
        <f>11.32140399</f>
        <v>11.32140399</v>
      </c>
      <c r="BT50">
        <f>18.44843898</f>
        <v>18.448438979999999</v>
      </c>
      <c r="BU50">
        <f>14.73812424</f>
        <v>14.738124239999999</v>
      </c>
      <c r="BV50">
        <f>13.75238095</f>
        <v>13.752380949999999</v>
      </c>
      <c r="BW50">
        <f>14.12920287</f>
        <v>14.12920287</v>
      </c>
      <c r="BX50">
        <f>13.2183908</f>
        <v>13.2183908</v>
      </c>
      <c r="BY50">
        <f>10.69444444</f>
        <v>10.69444444</v>
      </c>
      <c r="BZ50">
        <f>13.06901615</f>
        <v>13.069016149999999</v>
      </c>
      <c r="CA50">
        <f>13.82228491</f>
        <v>13.82228491</v>
      </c>
      <c r="CB50">
        <f>13.46586647</f>
        <v>13.46586647</v>
      </c>
      <c r="CC50">
        <f>13.24448147</f>
        <v>13.24448147</v>
      </c>
      <c r="CD50">
        <f>14.09465021</f>
        <v>14.094650209999999</v>
      </c>
      <c r="CE50">
        <f>13.743148</f>
        <v>13.743148</v>
      </c>
      <c r="CF50">
        <f>9.596662031</f>
        <v>9.5966620309999993</v>
      </c>
      <c r="CG50">
        <f>15.26025237</f>
        <v>15.26025237</v>
      </c>
    </row>
    <row r="51" spans="1:85" x14ac:dyDescent="0.25">
      <c r="A51" t="str">
        <f>"        International"</f>
        <v xml:space="preserve">        International</v>
      </c>
      <c r="B51" t="str">
        <f>"NAV US Equity"</f>
        <v>NAV US Equity</v>
      </c>
      <c r="E51" t="str">
        <f>"Expression"</f>
        <v>Expression</v>
      </c>
      <c r="F51">
        <f ca="1">IF(AND($B$294=1,LEN($F$195) * LEN($F$187)&gt;0),$F$195/$F$187*100,HLOOKUP(INDIRECT(ADDRESS(2,COLUMN())),OFFSET($AT$2,0,0,ROW()-1,40),ROW()-1,FALSE))</f>
        <v>23.427730780000001</v>
      </c>
      <c r="G51">
        <f ca="1">IF(AND($B$294=1,LEN($G$195) * LEN($G$187)&gt;0),$G$195/$G$187*100,HLOOKUP(INDIRECT(ADDRESS(2,COLUMN())),OFFSET($AT$2,0,0,ROW()-1,40),ROW()-1,FALSE))</f>
        <v>13.27287716</v>
      </c>
      <c r="H51">
        <f ca="1">IF(AND($B$294=1,LEN($H$195) * LEN($H$187)&gt;0),$H$195/$H$187*100,HLOOKUP(INDIRECT(ADDRESS(2,COLUMN())),OFFSET($AT$2,0,0,ROW()-1,40),ROW()-1,FALSE))</f>
        <v>16.38240575</v>
      </c>
      <c r="I51">
        <f ca="1">IF(AND($B$294=1,LEN($I$195) * LEN($I$187)&gt;0),$I$195/$I$187*100,HLOOKUP(INDIRECT(ADDRESS(2,COLUMN())),OFFSET($AT$2,0,0,ROW()-1,40),ROW()-1,FALSE))</f>
        <v>14.04602109</v>
      </c>
      <c r="J51">
        <f ca="1">IF(AND($B$294=1,LEN($J$195) * LEN($J$187)&gt;0),$J$195/$J$187*100,HLOOKUP(INDIRECT(ADDRESS(2,COLUMN())),OFFSET($AT$2,0,0,ROW()-1,40),ROW()-1,FALSE))</f>
        <v>16.908797419999999</v>
      </c>
      <c r="K51">
        <f ca="1">IF(AND($B$294=1,LEN($K$195) * LEN($K$187)&gt;0),$K$195/$K$187*100,HLOOKUP(INDIRECT(ADDRESS(2,COLUMN())),OFFSET($AT$2,0,0,ROW()-1,40),ROW()-1,FALSE))</f>
        <v>13.736951980000001</v>
      </c>
      <c r="L51">
        <f ca="1">IF(AND($B$294=1,LEN($L$195) * LEN($L$187)&gt;0),$L$195/$L$187*100,HLOOKUP(INDIRECT(ADDRESS(2,COLUMN())),OFFSET($AT$2,0,0,ROW()-1,40),ROW()-1,FALSE))</f>
        <v>17.552083329999999</v>
      </c>
      <c r="M51">
        <f ca="1">IF(AND($B$294=1,LEN($M$195) * LEN($M$187)&gt;0),$M$195/$M$187*100,HLOOKUP(INDIRECT(ADDRESS(2,COLUMN())),OFFSET($AT$2,0,0,ROW()-1,40),ROW()-1,FALSE))</f>
        <v>13.2618235</v>
      </c>
      <c r="N51">
        <f ca="1">IF(AND($B$294=1,LEN($N$195) * LEN($N$187)&gt;0),$N$195/$N$187*100,HLOOKUP(INDIRECT(ADDRESS(2,COLUMN())),OFFSET($AT$2,0,0,ROW()-1,40),ROW()-1,FALSE))</f>
        <v>11.32332879</v>
      </c>
      <c r="O51">
        <f ca="1">IF(AND($B$294=1,LEN($O$195) * LEN($O$187)&gt;0),$O$195/$O$187*100,HLOOKUP(INDIRECT(ADDRESS(2,COLUMN())),OFFSET($AT$2,0,0,ROW()-1,40),ROW()-1,FALSE))</f>
        <v>18.010167030000002</v>
      </c>
      <c r="P51">
        <f ca="1">IF(AND($B$294=1,LEN($P$195) * LEN($P$187)&gt;0),$P$195/$P$187*100,HLOOKUP(INDIRECT(ADDRESS(2,COLUMN())),OFFSET($AT$2,0,0,ROW()-1,40),ROW()-1,FALSE))</f>
        <v>8.8435374150000001</v>
      </c>
      <c r="Q51">
        <f ca="1">IF(AND($B$294=1,LEN($Q$195) * LEN($Q$187)&gt;0),$Q$195/$Q$187*100,HLOOKUP(INDIRECT(ADDRESS(2,COLUMN())),OFFSET($AT$2,0,0,ROW()-1,40),ROW()-1,FALSE))</f>
        <v>9.6366508690000003</v>
      </c>
      <c r="R51">
        <f ca="1">IF(AND($B$294=1,LEN($R$195) * LEN($R$187)&gt;0),$R$195/$R$187*100,HLOOKUP(INDIRECT(ADDRESS(2,COLUMN())),OFFSET($AT$2,0,0,ROW()-1,40),ROW()-1,FALSE))</f>
        <v>20.66700354</v>
      </c>
      <c r="S51">
        <f ca="1">IF(AND($B$294=1,LEN($S$195) * LEN($S$187)&gt;0),$S$195/$S$187*100,HLOOKUP(INDIRECT(ADDRESS(2,COLUMN())),OFFSET($AT$2,0,0,ROW()-1,40),ROW()-1,FALSE))</f>
        <v>15.442561209999999</v>
      </c>
      <c r="T51">
        <f ca="1">IF(AND($B$294=1,LEN($T$195) * LEN($T$187)&gt;0),$T$195/$T$187*100,HLOOKUP(INDIRECT(ADDRESS(2,COLUMN())),OFFSET($AT$2,0,0,ROW()-1,40),ROW()-1,FALSE))</f>
        <v>11.436464089999999</v>
      </c>
      <c r="U51">
        <f ca="1">IF(AND($B$294=1,LEN($U$195) * LEN($U$187)&gt;0),$U$195/$U$187*100,HLOOKUP(INDIRECT(ADDRESS(2,COLUMN())),OFFSET($AT$2,0,0,ROW()-1,40),ROW()-1,FALSE))</f>
        <v>10.62052506</v>
      </c>
      <c r="V51">
        <f ca="1">IF(AND($B$294=1,LEN($V$195) * LEN($V$187)&gt;0),$V$195/$V$187*100,HLOOKUP(INDIRECT(ADDRESS(2,COLUMN())),OFFSET($AT$2,0,0,ROW()-1,40),ROW()-1,FALSE))</f>
        <v>12.400793650000001</v>
      </c>
      <c r="W51">
        <f ca="1">IF(AND($B$294=1,LEN($W$195) * LEN($W$187)&gt;0),$W$195/$W$187*100,HLOOKUP(INDIRECT(ADDRESS(2,COLUMN())),OFFSET($AT$2,0,0,ROW()-1,40),ROW()-1,FALSE))</f>
        <v>11.48590948</v>
      </c>
      <c r="X51">
        <f ca="1">IF(AND($B$294=1,LEN($X$195) * LEN($X$187)&gt;0),$X$195/$X$187*100,HLOOKUP(INDIRECT(ADDRESS(2,COLUMN())),OFFSET($AT$2,0,0,ROW()-1,40),ROW()-1,FALSE))</f>
        <v>14.629156010000001</v>
      </c>
      <c r="Y51">
        <f ca="1">IF(AND($B$294=1,LEN($Y$195) * LEN($Y$187)&gt;0),$Y$195/$Y$187*100,HLOOKUP(INDIRECT(ADDRESS(2,COLUMN())),OFFSET($AT$2,0,0,ROW()-1,40),ROW()-1,FALSE))</f>
        <v>11.27937337</v>
      </c>
      <c r="Z51">
        <f ca="1">IF(AND($B$294=1,LEN($Z$195) * LEN($Z$187)&gt;0),$Z$195/$Z$187*100,HLOOKUP(INDIRECT(ADDRESS(2,COLUMN())),OFFSET($AT$2,0,0,ROW()-1,40),ROW()-1,FALSE))</f>
        <v>9.9031216359999998</v>
      </c>
      <c r="AA51">
        <f ca="1">IF(AND($B$294=1,LEN($AA$195) * LEN($AA$187)&gt;0),$AA$195/$AA$187*100,HLOOKUP(INDIRECT(ADDRESS(2,COLUMN())),OFFSET($AT$2,0,0,ROW()-1,40),ROW()-1,FALSE))</f>
        <v>13.33762887</v>
      </c>
      <c r="AB51">
        <f ca="1">IF(AND($B$294=1,LEN($AB$195) * LEN($AB$187)&gt;0),$AB$195/$AB$187*100,HLOOKUP(INDIRECT(ADDRESS(2,COLUMN())),OFFSET($AT$2,0,0,ROW()-1,40),ROW()-1,FALSE))</f>
        <v>8.5517834120000007</v>
      </c>
      <c r="AC51">
        <f ca="1">IF(AND($B$294=1,LEN($AC$195) * LEN($AC$187)&gt;0),$AC$195/$AC$187*100,HLOOKUP(INDIRECT(ADDRESS(2,COLUMN())),OFFSET($AT$2,0,0,ROW()-1,40),ROW()-1,FALSE))</f>
        <v>8.5338175219999997</v>
      </c>
      <c r="AD51">
        <f ca="1">IF(AND($B$294=1,LEN($AD$195) * LEN($AD$187)&gt;0),$AD$195/$AD$187*100,HLOOKUP(INDIRECT(ADDRESS(2,COLUMN())),OFFSET($AT$2,0,0,ROW()-1,40),ROW()-1,FALSE))</f>
        <v>17.905918060000001</v>
      </c>
      <c r="AE51">
        <f ca="1">IF(AND($B$294=1,LEN($AE$195) * LEN($AE$187)&gt;0),$AE$195/$AE$187*100,HLOOKUP(INDIRECT(ADDRESS(2,COLUMN())),OFFSET($AT$2,0,0,ROW()-1,40),ROW()-1,FALSE))</f>
        <v>11.32140399</v>
      </c>
      <c r="AF51">
        <f ca="1">IF(AND($B$294=1,LEN($AF$195) * LEN($AF$187)&gt;0),$AF$195/$AF$187*100,HLOOKUP(INDIRECT(ADDRESS(2,COLUMN())),OFFSET($AT$2,0,0,ROW()-1,40),ROW()-1,FALSE))</f>
        <v>18.448438979999999</v>
      </c>
      <c r="AG51">
        <f ca="1">IF(AND($B$294=1,LEN($AG$195) * LEN($AG$187)&gt;0),$AG$195/$AG$187*100,HLOOKUP(INDIRECT(ADDRESS(2,COLUMN())),OFFSET($AT$2,0,0,ROW()-1,40),ROW()-1,FALSE))</f>
        <v>14.738124239999999</v>
      </c>
      <c r="AH51">
        <f ca="1">IF(AND($B$294=1,LEN($AH$195) * LEN($AH$187)&gt;0),$AH$195/$AH$187*100,HLOOKUP(INDIRECT(ADDRESS(2,COLUMN())),OFFSET($AT$2,0,0,ROW()-1,40),ROW()-1,FALSE))</f>
        <v>13.752380949999999</v>
      </c>
      <c r="AI51">
        <f ca="1">IF(AND($B$294=1,LEN($AI$195) * LEN($AI$187)&gt;0),$AI$195/$AI$187*100,HLOOKUP(INDIRECT(ADDRESS(2,COLUMN())),OFFSET($AT$2,0,0,ROW()-1,40),ROW()-1,FALSE))</f>
        <v>14.12920287</v>
      </c>
      <c r="AJ51">
        <f ca="1">IF(AND($B$294=1,LEN($AJ$195) * LEN($AJ$187)&gt;0),$AJ$195/$AJ$187*100,HLOOKUP(INDIRECT(ADDRESS(2,COLUMN())),OFFSET($AT$2,0,0,ROW()-1,40),ROW()-1,FALSE))</f>
        <v>13.2183908</v>
      </c>
      <c r="AK51">
        <f ca="1">IF(AND($B$294=1,LEN($AK$195) * LEN($AK$187)&gt;0),$AK$195/$AK$187*100,HLOOKUP(INDIRECT(ADDRESS(2,COLUMN())),OFFSET($AT$2,0,0,ROW()-1,40),ROW()-1,FALSE))</f>
        <v>10.69444444</v>
      </c>
      <c r="AL51">
        <f ca="1">IF(AND($B$294=1,LEN($AL$195) * LEN($AL$187)&gt;0),$AL$195/$AL$187*100,HLOOKUP(INDIRECT(ADDRESS(2,COLUMN())),OFFSET($AT$2,0,0,ROW()-1,40),ROW()-1,FALSE))</f>
        <v>13.069016149999999</v>
      </c>
      <c r="AM51">
        <f ca="1">IF(AND($B$294=1,LEN($AM$195) * LEN($AM$187)&gt;0),$AM$195/$AM$187*100,HLOOKUP(INDIRECT(ADDRESS(2,COLUMN())),OFFSET($AT$2,0,0,ROW()-1,40),ROW()-1,FALSE))</f>
        <v>13.82228491</v>
      </c>
      <c r="AN51">
        <f ca="1">IF(AND($B$294=1,LEN($AN$195) * LEN($AN$187)&gt;0),$AN$195/$AN$187*100,HLOOKUP(INDIRECT(ADDRESS(2,COLUMN())),OFFSET($AT$2,0,0,ROW()-1,40),ROW()-1,FALSE))</f>
        <v>13.46586647</v>
      </c>
      <c r="AO51">
        <f ca="1">IF(AND($B$294=1,LEN($AO$195) * LEN($AO$187)&gt;0),$AO$195/$AO$187*100,HLOOKUP(INDIRECT(ADDRESS(2,COLUMN())),OFFSET($AT$2,0,0,ROW()-1,40),ROW()-1,FALSE))</f>
        <v>13.24448147</v>
      </c>
      <c r="AP51">
        <f ca="1">IF(AND($B$294=1,LEN($AP$195) * LEN($AP$187)&gt;0),$AP$195/$AP$187*100,HLOOKUP(INDIRECT(ADDRESS(2,COLUMN())),OFFSET($AT$2,0,0,ROW()-1,40),ROW()-1,FALSE))</f>
        <v>14.094650209999999</v>
      </c>
      <c r="AQ51">
        <f ca="1">IF(AND($B$294=1,LEN($AQ$195) * LEN($AQ$187)&gt;0),$AQ$195/$AQ$187*100,HLOOKUP(INDIRECT(ADDRESS(2,COLUMN())),OFFSET($AT$2,0,0,ROW()-1,40),ROW()-1,FALSE))</f>
        <v>13.743148</v>
      </c>
      <c r="AR51">
        <f ca="1">IF(AND($B$294=1,LEN($AR$195) * LEN($AR$187)&gt;0),$AR$195/$AR$187*100,HLOOKUP(INDIRECT(ADDRESS(2,COLUMN())),OFFSET($AT$2,0,0,ROW()-1,40),ROW()-1,FALSE))</f>
        <v>9.5966620309999993</v>
      </c>
      <c r="AS51">
        <f ca="1">IF(AND($B$294=1,LEN($AS$195) * LEN($AS$187)&gt;0),$AS$195/$AS$187*100,HLOOKUP(INDIRECT(ADDRESS(2,COLUMN())),OFFSET($AT$2,0,0,ROW()-1,40),ROW()-1,FALSE))</f>
        <v>15.26025237</v>
      </c>
      <c r="AT51">
        <f>23.42773078</f>
        <v>23.427730780000001</v>
      </c>
      <c r="AU51">
        <f>13.27287716</f>
        <v>13.27287716</v>
      </c>
      <c r="AV51">
        <f>16.38240575</f>
        <v>16.38240575</v>
      </c>
      <c r="AW51">
        <f>14.04602109</f>
        <v>14.04602109</v>
      </c>
      <c r="AX51">
        <f>16.90879742</f>
        <v>16.908797419999999</v>
      </c>
      <c r="AY51">
        <f>13.73695198</f>
        <v>13.736951980000001</v>
      </c>
      <c r="AZ51">
        <f>17.55208333</f>
        <v>17.552083329999999</v>
      </c>
      <c r="BA51">
        <f>13.2618235</f>
        <v>13.2618235</v>
      </c>
      <c r="BB51">
        <f>11.32332879</f>
        <v>11.32332879</v>
      </c>
      <c r="BC51">
        <f>18.01016703</f>
        <v>18.010167030000002</v>
      </c>
      <c r="BD51">
        <f>8.843537415</f>
        <v>8.8435374150000001</v>
      </c>
      <c r="BE51">
        <f>9.636650869</f>
        <v>9.6366508690000003</v>
      </c>
      <c r="BF51">
        <f>20.66700354</f>
        <v>20.66700354</v>
      </c>
      <c r="BG51">
        <f>15.44256121</f>
        <v>15.442561209999999</v>
      </c>
      <c r="BH51">
        <f>11.43646409</f>
        <v>11.436464089999999</v>
      </c>
      <c r="BI51">
        <f>10.62052506</f>
        <v>10.62052506</v>
      </c>
      <c r="BJ51">
        <f>12.40079365</f>
        <v>12.400793650000001</v>
      </c>
      <c r="BK51">
        <f>11.48590948</f>
        <v>11.48590948</v>
      </c>
      <c r="BL51">
        <f>14.62915601</f>
        <v>14.629156010000001</v>
      </c>
      <c r="BM51">
        <f>11.27937337</f>
        <v>11.27937337</v>
      </c>
      <c r="BN51">
        <f>9.903121636</f>
        <v>9.9031216359999998</v>
      </c>
      <c r="BO51">
        <f>13.33762887</f>
        <v>13.33762887</v>
      </c>
      <c r="BP51">
        <f>8.551783412</f>
        <v>8.5517834120000007</v>
      </c>
      <c r="BQ51">
        <f>8.533817522</f>
        <v>8.5338175219999997</v>
      </c>
      <c r="BR51">
        <f>17.90591806</f>
        <v>17.905918060000001</v>
      </c>
      <c r="BS51">
        <f>11.32140399</f>
        <v>11.32140399</v>
      </c>
      <c r="BT51">
        <f>18.44843898</f>
        <v>18.448438979999999</v>
      </c>
      <c r="BU51">
        <f>14.73812424</f>
        <v>14.738124239999999</v>
      </c>
      <c r="BV51">
        <f>13.75238095</f>
        <v>13.752380949999999</v>
      </c>
      <c r="BW51">
        <f>14.12920287</f>
        <v>14.12920287</v>
      </c>
      <c r="BX51">
        <f>13.2183908</f>
        <v>13.2183908</v>
      </c>
      <c r="BY51">
        <f>10.69444444</f>
        <v>10.69444444</v>
      </c>
      <c r="BZ51">
        <f>13.06901615</f>
        <v>13.069016149999999</v>
      </c>
      <c r="CA51">
        <f>13.82228491</f>
        <v>13.82228491</v>
      </c>
      <c r="CB51">
        <f>13.46586647</f>
        <v>13.46586647</v>
      </c>
      <c r="CC51">
        <f>13.24448147</f>
        <v>13.24448147</v>
      </c>
      <c r="CD51">
        <f>14.09465021</f>
        <v>14.094650209999999</v>
      </c>
      <c r="CE51">
        <f>13.743148</f>
        <v>13.743148</v>
      </c>
      <c r="CF51">
        <f>9.596662031</f>
        <v>9.5966620309999993</v>
      </c>
      <c r="CG51">
        <f>15.26025237</f>
        <v>15.26025237</v>
      </c>
    </row>
    <row r="52" spans="1:85" x14ac:dyDescent="0.25">
      <c r="A52" t="str">
        <f>"Mexico (Class 8)"</f>
        <v>Mexico (Class 8)</v>
      </c>
      <c r="B52" t="str">
        <f>"TRCKMX8S Index"</f>
        <v>TRCKMX8S Index</v>
      </c>
      <c r="E52" t="str">
        <f>"Sum"</f>
        <v>Sum</v>
      </c>
      <c r="F52">
        <f ca="1">IF(ISERROR(IF(SUM($F$53,$F$55,$F$57,$F$61,$F$64,$F$65,$F$68,$F$69) = 0, "", SUM($F$53,$F$55,$F$57,$F$61,$F$64,$F$65,$F$68,$F$69))), "", (IF(SUM($F$53,$F$55,$F$57,$F$61,$F$64,$F$65,$F$68,$F$69) = 0, "", SUM($F$53,$F$55,$F$57,$F$61,$F$64,$F$65,$F$68,$F$69))))</f>
        <v>100.00000000700001</v>
      </c>
      <c r="G52">
        <f ca="1">IF(ISERROR(IF(SUM($G$53,$G$55,$G$57,$G$61,$G$64,$G$65,$G$68,$G$69) = 0, "", SUM($G$53,$G$55,$G$57,$G$61,$G$64,$G$65,$G$68,$G$69))), "", (IF(SUM($G$53,$G$55,$G$57,$G$61,$G$64,$G$65,$G$68,$G$69) = 0, "", SUM($G$53,$G$55,$G$57,$G$61,$G$64,$G$65,$G$68,$G$69))))</f>
        <v>99.999999998000007</v>
      </c>
      <c r="H52">
        <f ca="1">IF(ISERROR(IF(SUM($H$53,$H$55,$H$57,$H$61,$H$64,$H$65,$H$68,$H$69) = 0, "", SUM($H$53,$H$55,$H$57,$H$61,$H$64,$H$65,$H$68,$H$69))), "", (IF(SUM($H$53,$H$55,$H$57,$H$61,$H$64,$H$65,$H$68,$H$69) = 0, "", SUM($H$53,$H$55,$H$57,$H$61,$H$64,$H$65,$H$68,$H$69))))</f>
        <v>99.999999989000003</v>
      </c>
      <c r="I52">
        <f ca="1">IF(ISERROR(IF(SUM($I$53,$I$55,$I$57,$I$61,$I$64,$I$65,$I$68,$I$69) = 0, "", SUM($I$53,$I$55,$I$57,$I$61,$I$64,$I$65,$I$68,$I$69))), "", (IF(SUM($I$53,$I$55,$I$57,$I$61,$I$64,$I$65,$I$68,$I$69) = 0, "", SUM($I$53,$I$55,$I$57,$I$61,$I$64,$I$65,$I$68,$I$69))))</f>
        <v>99.999999997000003</v>
      </c>
      <c r="J52">
        <f ca="1">IF(ISERROR(IF(SUM($J$53,$J$55,$J$57,$J$61,$J$64,$J$65,$J$68,$J$69) = 0, "", SUM($J$53,$J$55,$J$57,$J$61,$J$64,$J$65,$J$68,$J$69))), "", (IF(SUM($J$53,$J$55,$J$57,$J$61,$J$64,$J$65,$J$68,$J$69) = 0, "", SUM($J$53,$J$55,$J$57,$J$61,$J$64,$J$65,$J$68,$J$69))))</f>
        <v>99.999999996</v>
      </c>
      <c r="K52">
        <f ca="1">IF(ISERROR(IF(SUM($K$53,$K$55,$K$57,$K$61,$K$64,$K$65,$K$68,$K$69) = 0, "", SUM($K$53,$K$55,$K$57,$K$61,$K$64,$K$65,$K$68,$K$69))), "", (IF(SUM($K$53,$K$55,$K$57,$K$61,$K$64,$K$65,$K$68,$K$69) = 0, "", SUM($K$53,$K$55,$K$57,$K$61,$K$64,$K$65,$K$68,$K$69))))</f>
        <v>99.999999991999999</v>
      </c>
      <c r="L52">
        <f ca="1">IF(ISERROR(IF(SUM($L$53,$L$55,$L$57,$L$61,$L$64,$L$65,$L$68,$L$69) = 0, "", SUM($L$53,$L$55,$L$57,$L$61,$L$64,$L$65,$L$68,$L$69))), "", (IF(SUM($L$53,$L$55,$L$57,$L$61,$L$64,$L$65,$L$68,$L$69) = 0, "", SUM($L$53,$L$55,$L$57,$L$61,$L$64,$L$65,$L$68,$L$69))))</f>
        <v>99.999999994999996</v>
      </c>
      <c r="M52">
        <f ca="1">IF(ISERROR(IF(SUM($M$53,$M$55,$M$57,$M$61,$M$64,$M$65,$M$68,$M$69) = 0, "", SUM($M$53,$M$55,$M$57,$M$61,$M$64,$M$65,$M$68,$M$69))), "", (IF(SUM($M$53,$M$55,$M$57,$M$61,$M$64,$M$65,$M$68,$M$69) = 0, "", SUM($M$53,$M$55,$M$57,$M$61,$M$64,$M$65,$M$68,$M$69))))</f>
        <v>99.999999990000006</v>
      </c>
      <c r="N52">
        <f ca="1">IF(ISERROR(IF(SUM($N$53,$N$55,$N$57,$N$61,$N$64,$N$65,$N$68,$N$69) = 0, "", SUM($N$53,$N$55,$N$57,$N$61,$N$64,$N$65,$N$68,$N$69))), "", (IF(SUM($N$53,$N$55,$N$57,$N$61,$N$64,$N$65,$N$68,$N$69) = 0, "", SUM($N$53,$N$55,$N$57,$N$61,$N$64,$N$65,$N$68,$N$69))))</f>
        <v>100.000000005</v>
      </c>
      <c r="O52">
        <f ca="1">IF(ISERROR(IF(SUM($O$53,$O$55,$O$57,$O$61,$O$64,$O$65,$O$68,$O$69) = 0, "", SUM($O$53,$O$55,$O$57,$O$61,$O$64,$O$65,$O$68,$O$69))), "", (IF(SUM($O$53,$O$55,$O$57,$O$61,$O$64,$O$65,$O$68,$O$69) = 0, "", SUM($O$53,$O$55,$O$57,$O$61,$O$64,$O$65,$O$68,$O$69))))</f>
        <v>100.00000000099999</v>
      </c>
      <c r="P52">
        <f ca="1">IF(ISERROR(IF(SUM($P$53,$P$55,$P$57,$P$61,$P$64,$P$65,$P$68,$P$69) = 0, "", SUM($P$53,$P$55,$P$57,$P$61,$P$64,$P$65,$P$68,$P$69))), "", (IF(SUM($P$53,$P$55,$P$57,$P$61,$P$64,$P$65,$P$68,$P$69) = 0, "", SUM($P$53,$P$55,$P$57,$P$61,$P$64,$P$65,$P$68,$P$69))))</f>
        <v>99.999999994000007</v>
      </c>
      <c r="Q52">
        <f ca="1">IF(ISERROR(IF(SUM($Q$53,$Q$55,$Q$57,$Q$61,$Q$64,$Q$65,$Q$68,$Q$69) = 0, "", SUM($Q$53,$Q$55,$Q$57,$Q$61,$Q$64,$Q$65,$Q$68,$Q$69))), "", (IF(SUM($Q$53,$Q$55,$Q$57,$Q$61,$Q$64,$Q$65,$Q$68,$Q$69) = 0, "", SUM($Q$53,$Q$55,$Q$57,$Q$61,$Q$64,$Q$65,$Q$68,$Q$69))))</f>
        <v>100.00000000099999</v>
      </c>
      <c r="R52">
        <f ca="1">IF(ISERROR(IF(SUM($R$53,$R$55,$R$57,$R$61,$R$64,$R$65,$R$68,$R$69) = 0, "", SUM($R$53,$R$55,$R$57,$R$61,$R$64,$R$65,$R$68,$R$69))), "", (IF(SUM($R$53,$R$55,$R$57,$R$61,$R$64,$R$65,$R$68,$R$69) = 0, "", SUM($R$53,$R$55,$R$57,$R$61,$R$64,$R$65,$R$68,$R$69))))</f>
        <v>100.00000000599999</v>
      </c>
      <c r="S52">
        <f ca="1">IF(ISERROR(IF(SUM($S$53,$S$55,$S$57,$S$61,$S$64,$S$65,$S$68,$S$69) = 0, "", SUM($S$53,$S$55,$S$57,$S$61,$S$64,$S$65,$S$68,$S$69))), "", (IF(SUM($S$53,$S$55,$S$57,$S$61,$S$64,$S$65,$S$68,$S$69) = 0, "", SUM($S$53,$S$55,$S$57,$S$61,$S$64,$S$65,$S$68,$S$69))))</f>
        <v>99.999999997999993</v>
      </c>
      <c r="T52">
        <f ca="1">IF(ISERROR(IF(SUM($T$53,$T$55,$T$57,$T$61,$T$64,$T$65,$T$68,$T$69) = 0, "", SUM($T$53,$T$55,$T$57,$T$61,$T$64,$T$65,$T$68,$T$69))), "", (IF(SUM($T$53,$T$55,$T$57,$T$61,$T$64,$T$65,$T$68,$T$69) = 0, "", SUM($T$53,$T$55,$T$57,$T$61,$T$64,$T$65,$T$68,$T$69))))</f>
        <v>100.000000009</v>
      </c>
      <c r="U52">
        <f ca="1">IF(ISERROR(IF(SUM($U$53,$U$55,$U$57,$U$61,$U$64,$U$65,$U$68,$U$69) = 0, "", SUM($U$53,$U$55,$U$57,$U$61,$U$64,$U$65,$U$68,$U$69))), "", (IF(SUM($U$53,$U$55,$U$57,$U$61,$U$64,$U$65,$U$68,$U$69) = 0, "", SUM($U$53,$U$55,$U$57,$U$61,$U$64,$U$65,$U$68,$U$69))))</f>
        <v>99.999999998999996</v>
      </c>
      <c r="V52">
        <f ca="1">IF(ISERROR(IF(SUM($V$53,$V$55,$V$57,$V$61,$V$64,$V$65,$V$68,$V$69) = 0, "", SUM($V$53,$V$55,$V$57,$V$61,$V$64,$V$65,$V$68,$V$69))), "", (IF(SUM($V$53,$V$55,$V$57,$V$61,$V$64,$V$65,$V$68,$V$69) = 0, "", SUM($V$53,$V$55,$V$57,$V$61,$V$64,$V$65,$V$68,$V$69))))</f>
        <v>99.999999996999989</v>
      </c>
      <c r="W52">
        <f ca="1">IF(ISERROR(IF(SUM($W$53,$W$55,$W$57,$W$61,$W$64,$W$65,$W$68,$W$69) = 0, "", SUM($W$53,$W$55,$W$57,$W$61,$W$64,$W$65,$W$68,$W$69))), "", (IF(SUM($W$53,$W$55,$W$57,$W$61,$W$64,$W$65,$W$68,$W$69) = 0, "", SUM($W$53,$W$55,$W$57,$W$61,$W$64,$W$65,$W$68,$W$69))))</f>
        <v>100.000000001</v>
      </c>
      <c r="X52">
        <f ca="1">IF(ISERROR(IF(SUM($X$53,$X$55,$X$57,$X$61,$X$64,$X$65,$X$68,$X$69) = 0, "", SUM($X$53,$X$55,$X$57,$X$61,$X$64,$X$65,$X$68,$X$69))), "", (IF(SUM($X$53,$X$55,$X$57,$X$61,$X$64,$X$65,$X$68,$X$69) = 0, "", SUM($X$53,$X$55,$X$57,$X$61,$X$64,$X$65,$X$68,$X$69))))</f>
        <v>100.00000000200001</v>
      </c>
      <c r="Y52">
        <f ca="1">IF(ISERROR(IF(SUM($Y$53,$Y$55,$Y$57,$Y$61,$Y$64,$Y$65,$Y$68,$Y$69) = 0, "", SUM($Y$53,$Y$55,$Y$57,$Y$61,$Y$64,$Y$65,$Y$68,$Y$69))), "", (IF(SUM($Y$53,$Y$55,$Y$57,$Y$61,$Y$64,$Y$65,$Y$68,$Y$69) = 0, "", SUM($Y$53,$Y$55,$Y$57,$Y$61,$Y$64,$Y$65,$Y$68,$Y$69))))</f>
        <v>100.00000001299999</v>
      </c>
      <c r="Z52">
        <f ca="1">IF(ISERROR(IF(SUM($Z$53,$Z$55,$Z$57,$Z$61,$Z$64,$Z$65,$Z$68,$Z$69) = 0, "", SUM($Z$53,$Z$55,$Z$57,$Z$61,$Z$64,$Z$65,$Z$68,$Z$69))), "", (IF(SUM($Z$53,$Z$55,$Z$57,$Z$61,$Z$64,$Z$65,$Z$68,$Z$69) = 0, "", SUM($Z$53,$Z$55,$Z$57,$Z$61,$Z$64,$Z$65,$Z$68,$Z$69))))</f>
        <v>99.999999989000003</v>
      </c>
      <c r="AA52">
        <f ca="1">IF(ISERROR(IF(SUM($AA$53,$AA$55,$AA$57,$AA$61,$AA$64,$AA$65,$AA$68,$AA$69) = 0, "", SUM($AA$53,$AA$55,$AA$57,$AA$61,$AA$64,$AA$65,$AA$68,$AA$69))), "", (IF(SUM($AA$53,$AA$55,$AA$57,$AA$61,$AA$64,$AA$65,$AA$68,$AA$69) = 0, "", SUM($AA$53,$AA$55,$AA$57,$AA$61,$AA$64,$AA$65,$AA$68,$AA$69))))</f>
        <v>99.999999997999993</v>
      </c>
      <c r="AB52">
        <f ca="1">IF(ISERROR(IF(SUM($AB$53,$AB$55,$AB$57,$AB$61,$AB$64,$AB$65,$AB$68,$AB$69) = 0, "", SUM($AB$53,$AB$55,$AB$57,$AB$61,$AB$64,$AB$65,$AB$68,$AB$69))), "", (IF(SUM($AB$53,$AB$55,$AB$57,$AB$61,$AB$64,$AB$65,$AB$68,$AB$69) = 0, "", SUM($AB$53,$AB$55,$AB$57,$AB$61,$AB$64,$AB$65,$AB$68,$AB$69))))</f>
        <v>99.999999998999982</v>
      </c>
      <c r="AC52">
        <f ca="1">IF(ISERROR(IF(SUM($AC$53,$AC$55,$AC$57,$AC$61,$AC$64,$AC$65,$AC$68,$AC$69) = 0, "", SUM($AC$53,$AC$55,$AC$57,$AC$61,$AC$64,$AC$65,$AC$68,$AC$69))), "", (IF(SUM($AC$53,$AC$55,$AC$57,$AC$61,$AC$64,$AC$65,$AC$68,$AC$69) = 0, "", SUM($AC$53,$AC$55,$AC$57,$AC$61,$AC$64,$AC$65,$AC$68,$AC$69))))</f>
        <v>100.000000004</v>
      </c>
      <c r="AD52">
        <f ca="1">IF(ISERROR(IF(SUM($AD$53,$AD$55,$AD$57,$AD$61,$AD$64,$AD$65,$AD$68,$AD$69) = 0, "", SUM($AD$53,$AD$55,$AD$57,$AD$61,$AD$64,$AD$65,$AD$68,$AD$69))), "", (IF(SUM($AD$53,$AD$55,$AD$57,$AD$61,$AD$64,$AD$65,$AD$68,$AD$69) = 0, "", SUM($AD$53,$AD$55,$AD$57,$AD$61,$AD$64,$AD$65,$AD$68,$AD$69))))</f>
        <v>99.999999992000014</v>
      </c>
      <c r="AE52">
        <f ca="1">IF(ISERROR(IF(SUM($AE$53,$AE$55,$AE$57,$AE$61,$AE$64,$AE$65,$AE$68,$AE$69) = 0, "", SUM($AE$53,$AE$55,$AE$57,$AE$61,$AE$64,$AE$65,$AE$68,$AE$69))), "", (IF(SUM($AE$53,$AE$55,$AE$57,$AE$61,$AE$64,$AE$65,$AE$68,$AE$69) = 0, "", SUM($AE$53,$AE$55,$AE$57,$AE$61,$AE$64,$AE$65,$AE$68,$AE$69))))</f>
        <v>99.999999998000007</v>
      </c>
      <c r="AF52">
        <f ca="1">IF(ISERROR(IF(SUM($AF$53,$AF$55,$AF$57,$AF$61,$AF$64,$AF$65,$AF$68,$AF$69) = 0, "", SUM($AF$53,$AF$55,$AF$57,$AF$61,$AF$64,$AF$65,$AF$68,$AF$69))), "", (IF(SUM($AF$53,$AF$55,$AF$57,$AF$61,$AF$64,$AF$65,$AF$68,$AF$69) = 0, "", SUM($AF$53,$AF$55,$AF$57,$AF$61,$AF$64,$AF$65,$AF$68,$AF$69))))</f>
        <v>100.00000000299998</v>
      </c>
      <c r="AG52">
        <f ca="1">IF(ISERROR(IF(SUM($AG$53,$AG$55,$AG$57,$AG$61,$AG$64,$AG$65,$AG$68,$AG$69) = 0, "", SUM($AG$53,$AG$55,$AG$57,$AG$61,$AG$64,$AG$65,$AG$68,$AG$69))), "", (IF(SUM($AG$53,$AG$55,$AG$57,$AG$61,$AG$64,$AG$65,$AG$68,$AG$69) = 0, "", SUM($AG$53,$AG$55,$AG$57,$AG$61,$AG$64,$AG$65,$AG$68,$AG$69))))</f>
        <v>99.999999993000003</v>
      </c>
      <c r="AH52">
        <f ca="1">IF(ISERROR(IF(SUM($AH$53,$AH$55,$AH$57,$AH$61,$AH$64,$AH$65,$AH$68,$AH$69) = 0, "", SUM($AH$53,$AH$55,$AH$57,$AH$61,$AH$64,$AH$65,$AH$68,$AH$69))), "", (IF(SUM($AH$53,$AH$55,$AH$57,$AH$61,$AH$64,$AH$65,$AH$68,$AH$69) = 0, "", SUM($AH$53,$AH$55,$AH$57,$AH$61,$AH$64,$AH$65,$AH$68,$AH$69))))</f>
        <v>99.999999998999996</v>
      </c>
      <c r="AI52">
        <f ca="1">IF(ISERROR(IF(SUM($AI$53,$AI$55,$AI$57,$AI$61,$AI$64,$AI$65,$AI$68,$AI$69) = 0, "", SUM($AI$53,$AI$55,$AI$57,$AI$61,$AI$64,$AI$65,$AI$68,$AI$69))), "", (IF(SUM($AI$53,$AI$55,$AI$57,$AI$61,$AI$64,$AI$65,$AI$68,$AI$69) = 0, "", SUM($AI$53,$AI$55,$AI$57,$AI$61,$AI$64,$AI$65,$AI$68,$AI$69))))</f>
        <v>100.00000001299999</v>
      </c>
      <c r="AJ52">
        <f ca="1">IF(ISERROR(IF(SUM($AJ$53,$AJ$55,$AJ$57,$AJ$61,$AJ$64,$AJ$65,$AJ$68,$AJ$69) = 0, "", SUM($AJ$53,$AJ$55,$AJ$57,$AJ$61,$AJ$64,$AJ$65,$AJ$68,$AJ$69))), "", (IF(SUM($AJ$53,$AJ$55,$AJ$57,$AJ$61,$AJ$64,$AJ$65,$AJ$68,$AJ$69) = 0, "", SUM($AJ$53,$AJ$55,$AJ$57,$AJ$61,$AJ$64,$AJ$65,$AJ$68,$AJ$69))))</f>
        <v>99.999999999000011</v>
      </c>
      <c r="AK52">
        <f ca="1">IF(ISERROR(IF(SUM($AK$53,$AK$55,$AK$57,$AK$61,$AK$64,$AK$65,$AK$68,$AK$69) = 0, "", SUM($AK$53,$AK$55,$AK$57,$AK$61,$AK$64,$AK$65,$AK$68,$AK$69))), "", (IF(SUM($AK$53,$AK$55,$AK$57,$AK$61,$AK$64,$AK$65,$AK$68,$AK$69) = 0, "", SUM($AK$53,$AK$55,$AK$57,$AK$61,$AK$64,$AK$65,$AK$68,$AK$69))))</f>
        <v>99.999999996000014</v>
      </c>
      <c r="AL52">
        <f ca="1">IF(ISERROR(IF(SUM($AL$53,$AL$55,$AL$57,$AL$61,$AL$64,$AL$65,$AL$68,$AL$69) = 0, "", SUM($AL$53,$AL$55,$AL$57,$AL$61,$AL$64,$AL$65,$AL$68,$AL$69))), "", (IF(SUM($AL$53,$AL$55,$AL$57,$AL$61,$AL$64,$AL$65,$AL$68,$AL$69) = 0, "", SUM($AL$53,$AL$55,$AL$57,$AL$61,$AL$64,$AL$65,$AL$68,$AL$69))))</f>
        <v>99.999999996</v>
      </c>
      <c r="AM52">
        <f ca="1">IF(ISERROR(IF(SUM($AM$53,$AM$55,$AM$57,$AM$61,$AM$64,$AM$65,$AM$68,$AM$69) = 0, "", SUM($AM$53,$AM$55,$AM$57,$AM$61,$AM$64,$AM$65,$AM$68,$AM$69))), "", (IF(SUM($AM$53,$AM$55,$AM$57,$AM$61,$AM$64,$AM$65,$AM$68,$AM$69) = 0, "", SUM($AM$53,$AM$55,$AM$57,$AM$61,$AM$64,$AM$65,$AM$68,$AM$69))))</f>
        <v>100.000000001</v>
      </c>
      <c r="AN52">
        <f ca="1">IF(ISERROR(IF(SUM($AN$53,$AN$55,$AN$57,$AN$61,$AN$64,$AN$65,$AN$68,$AN$69) = 0, "", SUM($AN$53,$AN$55,$AN$57,$AN$61,$AN$64,$AN$65,$AN$68,$AN$69))), "", (IF(SUM($AN$53,$AN$55,$AN$57,$AN$61,$AN$64,$AN$65,$AN$68,$AN$69) = 0, "", SUM($AN$53,$AN$55,$AN$57,$AN$61,$AN$64,$AN$65,$AN$68,$AN$69))))</f>
        <v>100.00000001000001</v>
      </c>
      <c r="AO52">
        <f ca="1">IF(ISERROR(IF(SUM($AO$53,$AO$55,$AO$57,$AO$61,$AO$64,$AO$65,$AO$68,$AO$69) = 0, "", SUM($AO$53,$AO$55,$AO$57,$AO$61,$AO$64,$AO$65,$AO$68,$AO$69))), "", (IF(SUM($AO$53,$AO$55,$AO$57,$AO$61,$AO$64,$AO$65,$AO$68,$AO$69) = 0, "", SUM($AO$53,$AO$55,$AO$57,$AO$61,$AO$64,$AO$65,$AO$68,$AO$69))))</f>
        <v>100</v>
      </c>
      <c r="AP52">
        <f ca="1">IF(ISERROR(IF(SUM($AP$53,$AP$55,$AP$57,$AP$61,$AP$64,$AP$65,$AP$68,$AP$69) = 0, "", SUM($AP$53,$AP$55,$AP$57,$AP$61,$AP$64,$AP$65,$AP$68,$AP$69))), "", (IF(SUM($AP$53,$AP$55,$AP$57,$AP$61,$AP$64,$AP$65,$AP$68,$AP$69) = 0, "", SUM($AP$53,$AP$55,$AP$57,$AP$61,$AP$64,$AP$65,$AP$68,$AP$69))))</f>
        <v>100.000000009</v>
      </c>
      <c r="AQ52">
        <f ca="1">IF(ISERROR(IF(SUM($AQ$53,$AQ$55,$AQ$57,$AQ$61,$AQ$64,$AQ$65,$AQ$68,$AQ$69) = 0, "", SUM($AQ$53,$AQ$55,$AQ$57,$AQ$61,$AQ$64,$AQ$65,$AQ$68,$AQ$69))), "", (IF(SUM($AQ$53,$AQ$55,$AQ$57,$AQ$61,$AQ$64,$AQ$65,$AQ$68,$AQ$69) = 0, "", SUM($AQ$53,$AQ$55,$AQ$57,$AQ$61,$AQ$64,$AQ$65,$AQ$68,$AQ$69))))</f>
        <v>100.00000000599999</v>
      </c>
      <c r="AR52">
        <f ca="1">IF(ISERROR(IF(SUM($AR$53,$AR$55,$AR$57,$AR$61,$AR$64,$AR$65,$AR$68,$AR$69) = 0, "", SUM($AR$53,$AR$55,$AR$57,$AR$61,$AR$64,$AR$65,$AR$68,$AR$69))), "", (IF(SUM($AR$53,$AR$55,$AR$57,$AR$61,$AR$64,$AR$65,$AR$68,$AR$69) = 0, "", SUM($AR$53,$AR$55,$AR$57,$AR$61,$AR$64,$AR$65,$AR$68,$AR$69))))</f>
        <v>100.00000000600001</v>
      </c>
      <c r="AS52">
        <f ca="1">IF(ISERROR(IF(SUM($AS$53,$AS$55,$AS$57,$AS$61,$AS$64,$AS$65,$AS$68,$AS$69) = 0, "", SUM($AS$53,$AS$55,$AS$57,$AS$61,$AS$64,$AS$65,$AS$68,$AS$69))), "", (IF(SUM($AS$53,$AS$55,$AS$57,$AS$61,$AS$64,$AS$65,$AS$68,$AS$69) = 0, "", SUM($AS$53,$AS$55,$AS$57,$AS$61,$AS$64,$AS$65,$AS$68,$AS$69))))</f>
        <v>99.999999998000007</v>
      </c>
      <c r="AT52">
        <f>100</f>
        <v>100</v>
      </c>
      <c r="AU52">
        <f>100</f>
        <v>100</v>
      </c>
      <c r="AV52">
        <f>100</f>
        <v>100</v>
      </c>
      <c r="AW52">
        <f>100</f>
        <v>100</v>
      </c>
      <c r="AX52">
        <f>100</f>
        <v>100</v>
      </c>
      <c r="AY52">
        <f>100</f>
        <v>100</v>
      </c>
      <c r="AZ52">
        <f>100</f>
        <v>100</v>
      </c>
      <c r="BA52">
        <f>100</f>
        <v>100</v>
      </c>
      <c r="BB52">
        <f>100</f>
        <v>100</v>
      </c>
      <c r="BC52">
        <f>100</f>
        <v>100</v>
      </c>
      <c r="BD52">
        <f>100</f>
        <v>100</v>
      </c>
      <c r="BE52">
        <f>100</f>
        <v>100</v>
      </c>
      <c r="BF52">
        <f>100</f>
        <v>100</v>
      </c>
      <c r="BG52">
        <f>100</f>
        <v>100</v>
      </c>
      <c r="BH52">
        <f>100</f>
        <v>100</v>
      </c>
      <c r="BI52">
        <f>100</f>
        <v>100</v>
      </c>
      <c r="BJ52">
        <f>100</f>
        <v>100</v>
      </c>
      <c r="BK52">
        <f>100</f>
        <v>100</v>
      </c>
      <c r="BL52">
        <f>100</f>
        <v>100</v>
      </c>
      <c r="BM52">
        <f>100</f>
        <v>100</v>
      </c>
      <c r="BN52">
        <f>100</f>
        <v>100</v>
      </c>
      <c r="BO52">
        <f>100</f>
        <v>100</v>
      </c>
      <c r="BP52">
        <f>100</f>
        <v>100</v>
      </c>
      <c r="BQ52">
        <f>100</f>
        <v>100</v>
      </c>
      <c r="BR52">
        <f>100</f>
        <v>100</v>
      </c>
      <c r="BS52">
        <f>100</f>
        <v>100</v>
      </c>
      <c r="BT52">
        <f>100</f>
        <v>100</v>
      </c>
      <c r="BU52">
        <f>100</f>
        <v>100</v>
      </c>
      <c r="BV52">
        <f>100</f>
        <v>100</v>
      </c>
      <c r="BW52">
        <f>100</f>
        <v>100</v>
      </c>
      <c r="BX52">
        <f>100</f>
        <v>100</v>
      </c>
      <c r="BY52">
        <f>100</f>
        <v>100</v>
      </c>
      <c r="BZ52">
        <f>100</f>
        <v>100</v>
      </c>
      <c r="CA52">
        <f>100</f>
        <v>100</v>
      </c>
      <c r="CB52">
        <f>100</f>
        <v>100</v>
      </c>
      <c r="CC52">
        <f>100</f>
        <v>100</v>
      </c>
      <c r="CD52">
        <f>100</f>
        <v>100</v>
      </c>
      <c r="CE52">
        <f>100</f>
        <v>100</v>
      </c>
      <c r="CF52">
        <f>100</f>
        <v>100</v>
      </c>
      <c r="CG52">
        <f>100</f>
        <v>100</v>
      </c>
    </row>
    <row r="53" spans="1:85" x14ac:dyDescent="0.25">
      <c r="A53" t="str">
        <f>"    PACCAR"</f>
        <v xml:space="preserve">    PACCAR</v>
      </c>
      <c r="B53" t="str">
        <f>"PCAR US Equity"</f>
        <v>PCAR US Equity</v>
      </c>
      <c r="E53" t="str">
        <f>"Sum"</f>
        <v>Sum</v>
      </c>
      <c r="F53">
        <f ca="1">IF(ISERROR(IF(SUM($F$54:$F$54) = 0, "", SUM($F$54:$F$54))), "", (IF(SUM($F$54:$F$54) = 0, "", SUM($F$54:$F$54))))</f>
        <v>29.055400559999999</v>
      </c>
      <c r="G53">
        <f ca="1">IF(ISERROR(IF(SUM($G$54:$G$54) = 0, "", SUM($G$54:$G$54))), "", (IF(SUM($G$54:$G$54) = 0, "", SUM($G$54:$G$54))))</f>
        <v>32.999164579999999</v>
      </c>
      <c r="H53">
        <f ca="1">IF(ISERROR(IF(SUM($H$54:$H$54) = 0, "", SUM($H$54:$H$54))), "", (IF(SUM($H$54:$H$54) = 0, "", SUM($H$54:$H$54))))</f>
        <v>36.865342159999997</v>
      </c>
      <c r="I53">
        <f ca="1">IF(ISERROR(IF(SUM($I$54:$I$54) = 0, "", SUM($I$54:$I$54))), "", (IF(SUM($I$54:$I$54) = 0, "", SUM($I$54:$I$54))))</f>
        <v>34.217506630000003</v>
      </c>
      <c r="J53">
        <f ca="1">IF(ISERROR(IF(SUM($J$54:$J$54) = 0, "", SUM($J$54:$J$54))), "", (IF(SUM($J$54:$J$54) = 0, "", SUM($J$54:$J$54))))</f>
        <v>32.575757580000001</v>
      </c>
      <c r="K53">
        <f ca="1">IF(ISERROR(IF(SUM($K$54:$K$54) = 0, "", SUM($K$54:$K$54))), "", (IF(SUM($K$54:$K$54) = 0, "", SUM($K$54:$K$54))))</f>
        <v>31.59495871</v>
      </c>
      <c r="L53">
        <f ca="1">IF(ISERROR(IF(SUM($L$54:$L$54) = 0, "", SUM($L$54:$L$54))), "", (IF(SUM($L$54:$L$54) = 0, "", SUM($L$54:$L$54))))</f>
        <v>29.32604736</v>
      </c>
      <c r="M53">
        <f ca="1">IF(ISERROR(IF(SUM($M$54:$M$54) = 0, "", SUM($M$54:$M$54))), "", (IF(SUM($M$54:$M$54) = 0, "", SUM($M$54:$M$54))))</f>
        <v>31.18870145</v>
      </c>
      <c r="N53">
        <f ca="1">IF(ISERROR(IF(SUM($N$54:$N$54) = 0, "", SUM($N$54:$N$54))), "", (IF(SUM($N$54:$N$54) = 0, "", SUM($N$54:$N$54))))</f>
        <v>30.973000509999999</v>
      </c>
      <c r="O53">
        <f ca="1">IF(ISERROR(IF(SUM($O$54:$O$54) = 0, "", SUM($O$54:$O$54))), "", (IF(SUM($O$54:$O$54) = 0, "", SUM($O$54:$O$54))))</f>
        <v>23.282051280000001</v>
      </c>
      <c r="P53">
        <f ca="1">IF(ISERROR(IF(SUM($P$54:$P$54) = 0, "", SUM($P$54:$P$54))), "", (IF(SUM($P$54:$P$54) = 0, "", SUM($P$54:$P$54))))</f>
        <v>38.076830149999999</v>
      </c>
      <c r="Q53">
        <f ca="1">IF(ISERROR(IF(SUM($Q$54:$Q$54) = 0, "", SUM($Q$54:$Q$54))), "", (IF(SUM($Q$54:$Q$54) = 0, "", SUM($Q$54:$Q$54))))</f>
        <v>35.23174796</v>
      </c>
      <c r="R53">
        <f ca="1">IF(ISERROR(IF(SUM($R$54:$R$54) = 0, "", SUM($R$54:$R$54))), "", (IF(SUM($R$54:$R$54) = 0, "", SUM($R$54:$R$54))))</f>
        <v>30.3997195</v>
      </c>
      <c r="S53">
        <f ca="1">IF(ISERROR(IF(SUM($S$54:$S$54) = 0, "", SUM($S$54:$S$54))), "", (IF(SUM($S$54:$S$54) = 0, "", SUM($S$54:$S$54))))</f>
        <v>33.778272149999999</v>
      </c>
      <c r="T53">
        <f ca="1">IF(ISERROR(IF(SUM($T$54:$T$54) = 0, "", SUM($T$54:$T$54))), "", (IF(SUM($T$54:$T$54) = 0, "", SUM($T$54:$T$54))))</f>
        <v>35.952682719999999</v>
      </c>
      <c r="U53">
        <f ca="1">IF(ISERROR(IF(SUM($U$54:$U$54) = 0, "", SUM($U$54:$U$54))), "", (IF(SUM($U$54:$U$54) = 0, "", SUM($U$54:$U$54))))</f>
        <v>31.283422460000001</v>
      </c>
      <c r="V53">
        <f ca="1">IF(ISERROR(IF(SUM($V$54:$V$54) = 0, "", SUM($V$54:$V$54))), "", (IF(SUM($V$54:$V$54) = 0, "", SUM($V$54:$V$54))))</f>
        <v>35.793686080000001</v>
      </c>
      <c r="W53">
        <f ca="1">IF(ISERROR(IF(SUM($W$54:$W$54) = 0, "", SUM($W$54:$W$54))), "", (IF(SUM($W$54:$W$54) = 0, "", SUM($W$54:$W$54))))</f>
        <v>25.068368280000001</v>
      </c>
      <c r="X53">
        <f ca="1">IF(ISERROR(IF(SUM($X$54:$X$54) = 0, "", SUM($X$54:$X$54))), "", (IF(SUM($X$54:$X$54) = 0, "", SUM($X$54:$X$54))))</f>
        <v>28.18181818</v>
      </c>
      <c r="Y53">
        <f ca="1">IF(ISERROR(IF(SUM($Y$54:$Y$54) = 0, "", SUM($Y$54:$Y$54))), "", (IF(SUM($Y$54:$Y$54) = 0, "", SUM($Y$54:$Y$54))))</f>
        <v>34.043538679999997</v>
      </c>
      <c r="Z53">
        <f ca="1">IF(ISERROR(IF(SUM($Z$54:$Z$54) = 0, "", SUM($Z$54:$Z$54))), "", (IF(SUM($Z$54:$Z$54) = 0, "", SUM($Z$54:$Z$54))))</f>
        <v>40.799589949999998</v>
      </c>
      <c r="AA53">
        <f ca="1">IF(ISERROR(IF(SUM($AA$54:$AA$54) = 0, "", SUM($AA$54:$AA$54))), "", (IF(SUM($AA$54:$AA$54) = 0, "", SUM($AA$54:$AA$54))))</f>
        <v>17.74023231</v>
      </c>
      <c r="AB53">
        <f ca="1">IF(ISERROR(IF(SUM($AB$54:$AB$54) = 0, "", SUM($AB$54:$AB$54))), "", (IF(SUM($AB$54:$AB$54) = 0, "", SUM($AB$54:$AB$54))))</f>
        <v>42.1072366</v>
      </c>
      <c r="AC53">
        <f ca="1">IF(ISERROR(IF(SUM($AC$54:$AC$54) = 0, "", SUM($AC$54:$AC$54))), "", (IF(SUM($AC$54:$AC$54) = 0, "", SUM($AC$54:$AC$54))))</f>
        <v>35.703324809999998</v>
      </c>
      <c r="AD53">
        <f ca="1">IF(ISERROR(IF(SUM($AD$54:$AD$54) = 0, "", SUM($AD$54:$AD$54))), "", (IF(SUM($AD$54:$AD$54) = 0, "", SUM($AD$54:$AD$54))))</f>
        <v>38.195418420000003</v>
      </c>
      <c r="AE53">
        <f ca="1">IF(ISERROR(IF(SUM($AE$54:$AE$54) = 0, "", SUM($AE$54:$AE$54))), "", (IF(SUM($AE$54:$AE$54) = 0, "", SUM($AE$54:$AE$54))))</f>
        <v>35.34303534</v>
      </c>
      <c r="AF53">
        <f ca="1">IF(ISERROR(IF(SUM($AF$54:$AF$54) = 0, "", SUM($AF$54:$AF$54))), "", (IF(SUM($AF$54:$AF$54) = 0, "", SUM($AF$54:$AF$54))))</f>
        <v>42.576028620000002</v>
      </c>
      <c r="AG53">
        <f ca="1">IF(ISERROR(IF(SUM($AG$54:$AG$54) = 0, "", SUM($AG$54:$AG$54))), "", (IF(SUM($AG$54:$AG$54) = 0, "", SUM($AG$54:$AG$54))))</f>
        <v>33.902110460000003</v>
      </c>
      <c r="AH53">
        <f ca="1">IF(ISERROR(IF(SUM($AH$54:$AH$54) = 0, "", SUM($AH$54:$AH$54))), "", (IF(SUM($AH$54:$AH$54) = 0, "", SUM($AH$54:$AH$54))))</f>
        <v>41.096605740000001</v>
      </c>
      <c r="AI53">
        <f ca="1">IF(ISERROR(IF(SUM($AI$54:$AI$54) = 0, "", SUM($AI$54:$AI$54))), "", (IF(SUM($AI$54:$AI$54) = 0, "", SUM($AI$54:$AI$54))))</f>
        <v>34.979662990000001</v>
      </c>
      <c r="AJ53">
        <f ca="1">IF(ISERROR(IF(SUM($AJ$54:$AJ$54) = 0, "", SUM($AJ$54:$AJ$54))), "", (IF(SUM($AJ$54:$AJ$54) = 0, "", SUM($AJ$54:$AJ$54))))</f>
        <v>39.823925430000003</v>
      </c>
      <c r="AK53">
        <f ca="1">IF(ISERROR(IF(SUM($AK$54:$AK$54) = 0, "", SUM($AK$54:$AK$54))), "", (IF(SUM($AK$54:$AK$54) = 0, "", SUM($AK$54:$AK$54))))</f>
        <v>41.107184920000002</v>
      </c>
      <c r="AL53">
        <f ca="1">IF(ISERROR(IF(SUM($AL$54:$AL$54) = 0, "", SUM($AL$54:$AL$54))), "", (IF(SUM($AL$54:$AL$54) = 0, "", SUM($AL$54:$AL$54))))</f>
        <v>40.607734809999997</v>
      </c>
      <c r="AM53">
        <f ca="1">IF(ISERROR(IF(SUM($AM$54:$AM$54) = 0, "", SUM($AM$54:$AM$54))), "", (IF(SUM($AM$54:$AM$54) = 0, "", SUM($AM$54:$AM$54))))</f>
        <v>38.035714290000001</v>
      </c>
      <c r="AN53">
        <f ca="1">IF(ISERROR(IF(SUM($AN$54:$AN$54) = 0, "", SUM($AN$54:$AN$54))), "", (IF(SUM($AN$54:$AN$54) = 0, "", SUM($AN$54:$AN$54))))</f>
        <v>34.106634110000002</v>
      </c>
      <c r="AO53">
        <f ca="1">IF(ISERROR(IF(SUM($AO$54:$AO$54) = 0, "", SUM($AO$54:$AO$54))), "", (IF(SUM($AO$54:$AO$54) = 0, "", SUM($AO$54:$AO$54))))</f>
        <v>34.143109539999998</v>
      </c>
      <c r="AP53">
        <f ca="1">IF(ISERROR(IF(SUM($AP$54:$AP$54) = 0, "", SUM($AP$54:$AP$54))), "", (IF(SUM($AP$54:$AP$54) = 0, "", SUM($AP$54:$AP$54))))</f>
        <v>34.119702930000003</v>
      </c>
      <c r="AQ53">
        <f ca="1">IF(ISERROR(IF(SUM($AQ$54:$AQ$54) = 0, "", SUM($AQ$54:$AQ$54))), "", (IF(SUM($AQ$54:$AQ$54) = 0, "", SUM($AQ$54:$AQ$54))))</f>
        <v>38.328690809999998</v>
      </c>
      <c r="AR53">
        <f ca="1">IF(ISERROR(IF(SUM($AR$54:$AR$54) = 0, "", SUM($AR$54:$AR$54))), "", (IF(SUM($AR$54:$AR$54) = 0, "", SUM($AR$54:$AR$54))))</f>
        <v>35.346861730000001</v>
      </c>
      <c r="AS53">
        <f ca="1">IF(ISERROR(IF(SUM($AS$54:$AS$54) = 0, "", SUM($AS$54:$AS$54))), "", (IF(SUM($AS$54:$AS$54) = 0, "", SUM($AS$54:$AS$54))))</f>
        <v>31.28517824</v>
      </c>
      <c r="AT53">
        <f>29.05540056</f>
        <v>29.055400559999999</v>
      </c>
      <c r="AU53">
        <f>32.99916458</f>
        <v>32.999164579999999</v>
      </c>
      <c r="AV53">
        <f>36.86534216</f>
        <v>36.865342159999997</v>
      </c>
      <c r="AW53">
        <f>34.21750663</f>
        <v>34.217506630000003</v>
      </c>
      <c r="AX53">
        <f>32.57575758</f>
        <v>32.575757580000001</v>
      </c>
      <c r="AY53">
        <f>31.59495871</f>
        <v>31.59495871</v>
      </c>
      <c r="AZ53">
        <f>29.32604736</f>
        <v>29.32604736</v>
      </c>
      <c r="BA53">
        <f>31.18870145</f>
        <v>31.18870145</v>
      </c>
      <c r="BB53">
        <f>30.97300051</f>
        <v>30.973000509999999</v>
      </c>
      <c r="BC53">
        <f>23.28205128</f>
        <v>23.282051280000001</v>
      </c>
      <c r="BD53">
        <f>38.07683015</f>
        <v>38.076830149999999</v>
      </c>
      <c r="BE53">
        <f>35.23174796</f>
        <v>35.23174796</v>
      </c>
      <c r="BF53">
        <f>30.3997195</f>
        <v>30.3997195</v>
      </c>
      <c r="BG53">
        <f>33.77827215</f>
        <v>33.778272149999999</v>
      </c>
      <c r="BH53">
        <f>35.95268272</f>
        <v>35.952682719999999</v>
      </c>
      <c r="BI53">
        <f>31.28342246</f>
        <v>31.283422460000001</v>
      </c>
      <c r="BJ53">
        <f>35.79368608</f>
        <v>35.793686080000001</v>
      </c>
      <c r="BK53">
        <f>25.06836828</f>
        <v>25.068368280000001</v>
      </c>
      <c r="BL53">
        <f>28.18181818</f>
        <v>28.18181818</v>
      </c>
      <c r="BM53">
        <f>34.04353868</f>
        <v>34.043538679999997</v>
      </c>
      <c r="BN53">
        <f>40.79958995</f>
        <v>40.799589949999998</v>
      </c>
      <c r="BO53">
        <f>17.74023231</f>
        <v>17.74023231</v>
      </c>
      <c r="BP53">
        <f>42.1072366</f>
        <v>42.1072366</v>
      </c>
      <c r="BQ53">
        <f>35.70332481</f>
        <v>35.703324809999998</v>
      </c>
      <c r="BR53">
        <f>38.19541842</f>
        <v>38.195418420000003</v>
      </c>
      <c r="BS53">
        <f>35.34303534</f>
        <v>35.34303534</v>
      </c>
      <c r="BT53">
        <f>42.57602862</f>
        <v>42.576028620000002</v>
      </c>
      <c r="BU53">
        <f>33.90211046</f>
        <v>33.902110460000003</v>
      </c>
      <c r="BV53">
        <f>41.09660574</f>
        <v>41.096605740000001</v>
      </c>
      <c r="BW53">
        <f>34.97966299</f>
        <v>34.979662990000001</v>
      </c>
      <c r="BX53">
        <f>39.82392543</f>
        <v>39.823925430000003</v>
      </c>
      <c r="BY53">
        <f>41.10718492</f>
        <v>41.107184920000002</v>
      </c>
      <c r="BZ53">
        <f>40.60773481</f>
        <v>40.607734809999997</v>
      </c>
      <c r="CA53">
        <f>38.03571429</f>
        <v>38.035714290000001</v>
      </c>
      <c r="CB53">
        <f>34.10663411</f>
        <v>34.106634110000002</v>
      </c>
      <c r="CC53">
        <f>34.14310954</f>
        <v>34.143109539999998</v>
      </c>
      <c r="CD53">
        <f>34.11970293</f>
        <v>34.119702930000003</v>
      </c>
      <c r="CE53">
        <f>38.32869081</f>
        <v>38.328690809999998</v>
      </c>
      <c r="CF53">
        <f>35.34686173</f>
        <v>35.346861730000001</v>
      </c>
      <c r="CG53">
        <f>31.28517824</f>
        <v>31.28517824</v>
      </c>
    </row>
    <row r="54" spans="1:85" x14ac:dyDescent="0.25">
      <c r="A54" t="str">
        <f>"        Kenworth"</f>
        <v xml:space="preserve">        Kenworth</v>
      </c>
      <c r="B54" t="str">
        <f>"PCAR US Equity"</f>
        <v>PCAR US Equity</v>
      </c>
      <c r="E54" t="str">
        <f>"Expression"</f>
        <v>Expression</v>
      </c>
      <c r="F54">
        <f ca="1">IF(AND($B$294=1,LEN($F$197) * LEN($F$196)&gt;0),$F$197/$F$196*100,HLOOKUP(INDIRECT(ADDRESS(2,COLUMN())),OFFSET($AT$2,0,0,ROW()-1,40),ROW()-1,FALSE))</f>
        <v>29.055400559999999</v>
      </c>
      <c r="G54">
        <f ca="1">IF(AND($B$294=1,LEN($G$197) * LEN($G$196)&gt;0),$G$197/$G$196*100,HLOOKUP(INDIRECT(ADDRESS(2,COLUMN())),OFFSET($AT$2,0,0,ROW()-1,40),ROW()-1,FALSE))</f>
        <v>32.999164579999999</v>
      </c>
      <c r="H54">
        <f ca="1">IF(AND($B$294=1,LEN($H$197) * LEN($H$196)&gt;0),$H$197/$H$196*100,HLOOKUP(INDIRECT(ADDRESS(2,COLUMN())),OFFSET($AT$2,0,0,ROW()-1,40),ROW()-1,FALSE))</f>
        <v>36.865342159999997</v>
      </c>
      <c r="I54">
        <f ca="1">IF(AND($B$294=1,LEN($I$197) * LEN($I$196)&gt;0),$I$197/$I$196*100,HLOOKUP(INDIRECT(ADDRESS(2,COLUMN())),OFFSET($AT$2,0,0,ROW()-1,40),ROW()-1,FALSE))</f>
        <v>34.217506630000003</v>
      </c>
      <c r="J54">
        <f ca="1">IF(AND($B$294=1,LEN($J$197) * LEN($J$196)&gt;0),$J$197/$J$196*100,HLOOKUP(INDIRECT(ADDRESS(2,COLUMN())),OFFSET($AT$2,0,0,ROW()-1,40),ROW()-1,FALSE))</f>
        <v>32.575757580000001</v>
      </c>
      <c r="K54">
        <f ca="1">IF(AND($B$294=1,LEN($K$197) * LEN($K$196)&gt;0),$K$197/$K$196*100,HLOOKUP(INDIRECT(ADDRESS(2,COLUMN())),OFFSET($AT$2,0,0,ROW()-1,40),ROW()-1,FALSE))</f>
        <v>31.59495871</v>
      </c>
      <c r="L54">
        <f ca="1">IF(AND($B$294=1,LEN($L$197) * LEN($L$196)&gt;0),$L$197/$L$196*100,HLOOKUP(INDIRECT(ADDRESS(2,COLUMN())),OFFSET($AT$2,0,0,ROW()-1,40),ROW()-1,FALSE))</f>
        <v>29.32604736</v>
      </c>
      <c r="M54">
        <f ca="1">IF(AND($B$294=1,LEN($M$197) * LEN($M$196)&gt;0),$M$197/$M$196*100,HLOOKUP(INDIRECT(ADDRESS(2,COLUMN())),OFFSET($AT$2,0,0,ROW()-1,40),ROW()-1,FALSE))</f>
        <v>31.18870145</v>
      </c>
      <c r="N54">
        <f ca="1">IF(AND($B$294=1,LEN($N$197) * LEN($N$196)&gt;0),$N$197/$N$196*100,HLOOKUP(INDIRECT(ADDRESS(2,COLUMN())),OFFSET($AT$2,0,0,ROW()-1,40),ROW()-1,FALSE))</f>
        <v>30.973000509999999</v>
      </c>
      <c r="O54">
        <f ca="1">IF(AND($B$294=1,LEN($O$197) * LEN($O$196)&gt;0),$O$197/$O$196*100,HLOOKUP(INDIRECT(ADDRESS(2,COLUMN())),OFFSET($AT$2,0,0,ROW()-1,40),ROW()-1,FALSE))</f>
        <v>23.282051280000001</v>
      </c>
      <c r="P54">
        <f ca="1">IF(AND($B$294=1,LEN($P$197) * LEN($P$196)&gt;0),$P$197/$P$196*100,HLOOKUP(INDIRECT(ADDRESS(2,COLUMN())),OFFSET($AT$2,0,0,ROW()-1,40),ROW()-1,FALSE))</f>
        <v>38.076830149999999</v>
      </c>
      <c r="Q54">
        <f ca="1">IF(AND($B$294=1,LEN($Q$197) * LEN($Q$196)&gt;0),$Q$197/$Q$196*100,HLOOKUP(INDIRECT(ADDRESS(2,COLUMN())),OFFSET($AT$2,0,0,ROW()-1,40),ROW()-1,FALSE))</f>
        <v>35.23174796</v>
      </c>
      <c r="R54">
        <f ca="1">IF(AND($B$294=1,LEN($R$197) * LEN($R$196)&gt;0),$R$197/$R$196*100,HLOOKUP(INDIRECT(ADDRESS(2,COLUMN())),OFFSET($AT$2,0,0,ROW()-1,40),ROW()-1,FALSE))</f>
        <v>30.3997195</v>
      </c>
      <c r="S54">
        <f ca="1">IF(AND($B$294=1,LEN($S$197) * LEN($S$196)&gt;0),$S$197/$S$196*100,HLOOKUP(INDIRECT(ADDRESS(2,COLUMN())),OFFSET($AT$2,0,0,ROW()-1,40),ROW()-1,FALSE))</f>
        <v>33.778272149999999</v>
      </c>
      <c r="T54">
        <f ca="1">IF(AND($B$294=1,LEN($T$197) * LEN($T$196)&gt;0),$T$197/$T$196*100,HLOOKUP(INDIRECT(ADDRESS(2,COLUMN())),OFFSET($AT$2,0,0,ROW()-1,40),ROW()-1,FALSE))</f>
        <v>35.952682719999999</v>
      </c>
      <c r="U54">
        <f ca="1">IF(AND($B$294=1,LEN($U$197) * LEN($U$196)&gt;0),$U$197/$U$196*100,HLOOKUP(INDIRECT(ADDRESS(2,COLUMN())),OFFSET($AT$2,0,0,ROW()-1,40),ROW()-1,FALSE))</f>
        <v>31.283422460000001</v>
      </c>
      <c r="V54">
        <f ca="1">IF(AND($B$294=1,LEN($V$197) * LEN($V$196)&gt;0),$V$197/$V$196*100,HLOOKUP(INDIRECT(ADDRESS(2,COLUMN())),OFFSET($AT$2,0,0,ROW()-1,40),ROW()-1,FALSE))</f>
        <v>35.793686080000001</v>
      </c>
      <c r="W54">
        <f ca="1">IF(AND($B$294=1,LEN($W$197) * LEN($W$196)&gt;0),$W$197/$W$196*100,HLOOKUP(INDIRECT(ADDRESS(2,COLUMN())),OFFSET($AT$2,0,0,ROW()-1,40),ROW()-1,FALSE))</f>
        <v>25.068368280000001</v>
      </c>
      <c r="X54">
        <f ca="1">IF(AND($B$294=1,LEN($X$197) * LEN($X$196)&gt;0),$X$197/$X$196*100,HLOOKUP(INDIRECT(ADDRESS(2,COLUMN())),OFFSET($AT$2,0,0,ROW()-1,40),ROW()-1,FALSE))</f>
        <v>28.18181818</v>
      </c>
      <c r="Y54">
        <f ca="1">IF(AND($B$294=1,LEN($Y$197) * LEN($Y$196)&gt;0),$Y$197/$Y$196*100,HLOOKUP(INDIRECT(ADDRESS(2,COLUMN())),OFFSET($AT$2,0,0,ROW()-1,40),ROW()-1,FALSE))</f>
        <v>34.043538679999997</v>
      </c>
      <c r="Z54">
        <f ca="1">IF(AND($B$294=1,LEN($Z$197) * LEN($Z$196)&gt;0),$Z$197/$Z$196*100,HLOOKUP(INDIRECT(ADDRESS(2,COLUMN())),OFFSET($AT$2,0,0,ROW()-1,40),ROW()-1,FALSE))</f>
        <v>40.799589949999998</v>
      </c>
      <c r="AA54">
        <f ca="1">IF(AND($B$294=1,LEN($AA$197) * LEN($AA$196)&gt;0),$AA$197/$AA$196*100,HLOOKUP(INDIRECT(ADDRESS(2,COLUMN())),OFFSET($AT$2,0,0,ROW()-1,40),ROW()-1,FALSE))</f>
        <v>17.74023231</v>
      </c>
      <c r="AB54">
        <f ca="1">IF(AND($B$294=1,LEN($AB$197) * LEN($AB$196)&gt;0),$AB$197/$AB$196*100,HLOOKUP(INDIRECT(ADDRESS(2,COLUMN())),OFFSET($AT$2,0,0,ROW()-1,40),ROW()-1,FALSE))</f>
        <v>42.1072366</v>
      </c>
      <c r="AC54">
        <f ca="1">IF(AND($B$294=1,LEN($AC$197) * LEN($AC$196)&gt;0),$AC$197/$AC$196*100,HLOOKUP(INDIRECT(ADDRESS(2,COLUMN())),OFFSET($AT$2,0,0,ROW()-1,40),ROW()-1,FALSE))</f>
        <v>35.703324809999998</v>
      </c>
      <c r="AD54">
        <f ca="1">IF(AND($B$294=1,LEN($AD$197) * LEN($AD$196)&gt;0),$AD$197/$AD$196*100,HLOOKUP(INDIRECT(ADDRESS(2,COLUMN())),OFFSET($AT$2,0,0,ROW()-1,40),ROW()-1,FALSE))</f>
        <v>38.195418420000003</v>
      </c>
      <c r="AE54">
        <f ca="1">IF(AND($B$294=1,LEN($AE$197) * LEN($AE$196)&gt;0),$AE$197/$AE$196*100,HLOOKUP(INDIRECT(ADDRESS(2,COLUMN())),OFFSET($AT$2,0,0,ROW()-1,40),ROW()-1,FALSE))</f>
        <v>35.34303534</v>
      </c>
      <c r="AF54">
        <f ca="1">IF(AND($B$294=1,LEN($AF$197) * LEN($AF$196)&gt;0),$AF$197/$AF$196*100,HLOOKUP(INDIRECT(ADDRESS(2,COLUMN())),OFFSET($AT$2,0,0,ROW()-1,40),ROW()-1,FALSE))</f>
        <v>42.576028620000002</v>
      </c>
      <c r="AG54">
        <f ca="1">IF(AND($B$294=1,LEN($AG$197) * LEN($AG$196)&gt;0),$AG$197/$AG$196*100,HLOOKUP(INDIRECT(ADDRESS(2,COLUMN())),OFFSET($AT$2,0,0,ROW()-1,40),ROW()-1,FALSE))</f>
        <v>33.902110460000003</v>
      </c>
      <c r="AH54">
        <f ca="1">IF(AND($B$294=1,LEN($AH$197) * LEN($AH$196)&gt;0),$AH$197/$AH$196*100,HLOOKUP(INDIRECT(ADDRESS(2,COLUMN())),OFFSET($AT$2,0,0,ROW()-1,40),ROW()-1,FALSE))</f>
        <v>41.096605740000001</v>
      </c>
      <c r="AI54">
        <f ca="1">IF(AND($B$294=1,LEN($AI$197) * LEN($AI$196)&gt;0),$AI$197/$AI$196*100,HLOOKUP(INDIRECT(ADDRESS(2,COLUMN())),OFFSET($AT$2,0,0,ROW()-1,40),ROW()-1,FALSE))</f>
        <v>34.979662990000001</v>
      </c>
      <c r="AJ54">
        <f ca="1">IF(AND($B$294=1,LEN($AJ$197) * LEN($AJ$196)&gt;0),$AJ$197/$AJ$196*100,HLOOKUP(INDIRECT(ADDRESS(2,COLUMN())),OFFSET($AT$2,0,0,ROW()-1,40),ROW()-1,FALSE))</f>
        <v>39.823925430000003</v>
      </c>
      <c r="AK54">
        <f ca="1">IF(AND($B$294=1,LEN($AK$197) * LEN($AK$196)&gt;0),$AK$197/$AK$196*100,HLOOKUP(INDIRECT(ADDRESS(2,COLUMN())),OFFSET($AT$2,0,0,ROW()-1,40),ROW()-1,FALSE))</f>
        <v>41.107184920000002</v>
      </c>
      <c r="AL54">
        <f ca="1">IF(AND($B$294=1,LEN($AL$197) * LEN($AL$196)&gt;0),$AL$197/$AL$196*100,HLOOKUP(INDIRECT(ADDRESS(2,COLUMN())),OFFSET($AT$2,0,0,ROW()-1,40),ROW()-1,FALSE))</f>
        <v>40.607734809999997</v>
      </c>
      <c r="AM54">
        <f ca="1">IF(AND($B$294=1,LEN($AM$197) * LEN($AM$196)&gt;0),$AM$197/$AM$196*100,HLOOKUP(INDIRECT(ADDRESS(2,COLUMN())),OFFSET($AT$2,0,0,ROW()-1,40),ROW()-1,FALSE))</f>
        <v>38.035714290000001</v>
      </c>
      <c r="AN54">
        <f ca="1">IF(AND($B$294=1,LEN($AN$197) * LEN($AN$196)&gt;0),$AN$197/$AN$196*100,HLOOKUP(INDIRECT(ADDRESS(2,COLUMN())),OFFSET($AT$2,0,0,ROW()-1,40),ROW()-1,FALSE))</f>
        <v>34.106634110000002</v>
      </c>
      <c r="AO54">
        <f ca="1">IF(AND($B$294=1,LEN($AO$197) * LEN($AO$196)&gt;0),$AO$197/$AO$196*100,HLOOKUP(INDIRECT(ADDRESS(2,COLUMN())),OFFSET($AT$2,0,0,ROW()-1,40),ROW()-1,FALSE))</f>
        <v>34.143109539999998</v>
      </c>
      <c r="AP54">
        <f ca="1">IF(AND($B$294=1,LEN($AP$197) * LEN($AP$196)&gt;0),$AP$197/$AP$196*100,HLOOKUP(INDIRECT(ADDRESS(2,COLUMN())),OFFSET($AT$2,0,0,ROW()-1,40),ROW()-1,FALSE))</f>
        <v>34.119702930000003</v>
      </c>
      <c r="AQ54">
        <f ca="1">IF(AND($B$294=1,LEN($AQ$197) * LEN($AQ$196)&gt;0),$AQ$197/$AQ$196*100,HLOOKUP(INDIRECT(ADDRESS(2,COLUMN())),OFFSET($AT$2,0,0,ROW()-1,40),ROW()-1,FALSE))</f>
        <v>38.328690809999998</v>
      </c>
      <c r="AR54">
        <f ca="1">IF(AND($B$294=1,LEN($AR$197) * LEN($AR$196)&gt;0),$AR$197/$AR$196*100,HLOOKUP(INDIRECT(ADDRESS(2,COLUMN())),OFFSET($AT$2,0,0,ROW()-1,40),ROW()-1,FALSE))</f>
        <v>35.346861730000001</v>
      </c>
      <c r="AS54">
        <f ca="1">IF(AND($B$294=1,LEN($AS$197) * LEN($AS$196)&gt;0),$AS$197/$AS$196*100,HLOOKUP(INDIRECT(ADDRESS(2,COLUMN())),OFFSET($AT$2,0,0,ROW()-1,40),ROW()-1,FALSE))</f>
        <v>31.28517824</v>
      </c>
      <c r="AT54">
        <f>29.05540056</f>
        <v>29.055400559999999</v>
      </c>
      <c r="AU54">
        <f>32.99916458</f>
        <v>32.999164579999999</v>
      </c>
      <c r="AV54">
        <f>36.86534216</f>
        <v>36.865342159999997</v>
      </c>
      <c r="AW54">
        <f>34.21750663</f>
        <v>34.217506630000003</v>
      </c>
      <c r="AX54">
        <f>32.57575758</f>
        <v>32.575757580000001</v>
      </c>
      <c r="AY54">
        <f>31.59495871</f>
        <v>31.59495871</v>
      </c>
      <c r="AZ54">
        <f>29.32604736</f>
        <v>29.32604736</v>
      </c>
      <c r="BA54">
        <f>31.18870145</f>
        <v>31.18870145</v>
      </c>
      <c r="BB54">
        <f>30.97300051</f>
        <v>30.973000509999999</v>
      </c>
      <c r="BC54">
        <f>23.28205128</f>
        <v>23.282051280000001</v>
      </c>
      <c r="BD54">
        <f>38.07683015</f>
        <v>38.076830149999999</v>
      </c>
      <c r="BE54">
        <f>35.23174796</f>
        <v>35.23174796</v>
      </c>
      <c r="BF54">
        <f>30.3997195</f>
        <v>30.3997195</v>
      </c>
      <c r="BG54">
        <f>33.77827215</f>
        <v>33.778272149999999</v>
      </c>
      <c r="BH54">
        <f>35.95268272</f>
        <v>35.952682719999999</v>
      </c>
      <c r="BI54">
        <f>31.28342246</f>
        <v>31.283422460000001</v>
      </c>
      <c r="BJ54">
        <f>35.79368608</f>
        <v>35.793686080000001</v>
      </c>
      <c r="BK54">
        <f>25.06836828</f>
        <v>25.068368280000001</v>
      </c>
      <c r="BL54">
        <f>28.18181818</f>
        <v>28.18181818</v>
      </c>
      <c r="BM54">
        <f>34.04353868</f>
        <v>34.043538679999997</v>
      </c>
      <c r="BN54">
        <f>40.79958995</f>
        <v>40.799589949999998</v>
      </c>
      <c r="BO54">
        <f>17.74023231</f>
        <v>17.74023231</v>
      </c>
      <c r="BP54">
        <f>42.1072366</f>
        <v>42.1072366</v>
      </c>
      <c r="BQ54">
        <f>35.70332481</f>
        <v>35.703324809999998</v>
      </c>
      <c r="BR54">
        <f>38.19541842</f>
        <v>38.195418420000003</v>
      </c>
      <c r="BS54">
        <f>35.34303534</f>
        <v>35.34303534</v>
      </c>
      <c r="BT54">
        <f>42.57602862</f>
        <v>42.576028620000002</v>
      </c>
      <c r="BU54">
        <f>33.90211046</f>
        <v>33.902110460000003</v>
      </c>
      <c r="BV54">
        <f>41.09660574</f>
        <v>41.096605740000001</v>
      </c>
      <c r="BW54">
        <f>34.97966299</f>
        <v>34.979662990000001</v>
      </c>
      <c r="BX54">
        <f>39.82392543</f>
        <v>39.823925430000003</v>
      </c>
      <c r="BY54">
        <f>41.10718492</f>
        <v>41.107184920000002</v>
      </c>
      <c r="BZ54">
        <f>40.60773481</f>
        <v>40.607734809999997</v>
      </c>
      <c r="CA54">
        <f>38.03571429</f>
        <v>38.035714290000001</v>
      </c>
      <c r="CB54">
        <f>34.10663411</f>
        <v>34.106634110000002</v>
      </c>
      <c r="CC54">
        <f>34.14310954</f>
        <v>34.143109539999998</v>
      </c>
      <c r="CD54">
        <f>34.11970293</f>
        <v>34.119702930000003</v>
      </c>
      <c r="CE54">
        <f>38.32869081</f>
        <v>38.328690809999998</v>
      </c>
      <c r="CF54">
        <f>35.34686173</f>
        <v>35.346861730000001</v>
      </c>
      <c r="CG54">
        <f>31.28517824</f>
        <v>31.28517824</v>
      </c>
    </row>
    <row r="55" spans="1:85" x14ac:dyDescent="0.25">
      <c r="A55" t="str">
        <f>"    Navistar"</f>
        <v xml:space="preserve">    Navistar</v>
      </c>
      <c r="B55" t="str">
        <f>"NAV US Equity"</f>
        <v>NAV US Equity</v>
      </c>
      <c r="E55" t="str">
        <f>"Sum"</f>
        <v>Sum</v>
      </c>
      <c r="F55">
        <f ca="1">IF(ISERROR(IF(SUM($F$56:$F$56) = 0, "", SUM($F$56:$F$56))), "", (IF(SUM($F$56:$F$56) = 0, "", SUM($F$56:$F$56))))</f>
        <v>26.982861700000001</v>
      </c>
      <c r="G55">
        <f ca="1">IF(ISERROR(IF(SUM($G$56:$G$56) = 0, "", SUM($G$56:$G$56))), "", (IF(SUM($G$56:$G$56) = 0, "", SUM($G$56:$G$56))))</f>
        <v>17.878028400000002</v>
      </c>
      <c r="H55">
        <f ca="1">IF(ISERROR(IF(SUM($H$56:$H$56) = 0, "", SUM($H$56:$H$56))), "", (IF(SUM($H$56:$H$56) = 0, "", SUM($H$56:$H$56))))</f>
        <v>17.660044150000001</v>
      </c>
      <c r="I55">
        <f ca="1">IF(ISERROR(IF(SUM($I$56:$I$56) = 0, "", SUM($I$56:$I$56))), "", (IF(SUM($I$56:$I$56) = 0, "", SUM($I$56:$I$56))))</f>
        <v>18.78868258</v>
      </c>
      <c r="J55">
        <f ca="1">IF(ISERROR(IF(SUM($J$56:$J$56) = 0, "", SUM($J$56:$J$56))), "", (IF(SUM($J$56:$J$56) = 0, "", SUM($J$56:$J$56))))</f>
        <v>15.361952860000001</v>
      </c>
      <c r="K55">
        <f ca="1">IF(ISERROR(IF(SUM($K$56:$K$56) = 0, "", SUM($K$56:$K$56))), "", (IF(SUM($K$56:$K$56) = 0, "", SUM($K$56:$K$56))))</f>
        <v>16.253802690000001</v>
      </c>
      <c r="L55">
        <f ca="1">IF(ISERROR(IF(SUM($L$56:$L$56) = 0, "", SUM($L$56:$L$56))), "", (IF(SUM($L$56:$L$56) = 0, "", SUM($L$56:$L$56))))</f>
        <v>21.539162109999999</v>
      </c>
      <c r="M55">
        <f ca="1">IF(ISERROR(IF(SUM($M$56:$M$56) = 0, "", SUM($M$56:$M$56))), "", (IF(SUM($M$56:$M$56) = 0, "", SUM($M$56:$M$56))))</f>
        <v>17.653981949999999</v>
      </c>
      <c r="N55">
        <f ca="1">IF(ISERROR(IF(SUM($N$56:$N$56) = 0, "", SUM($N$56:$N$56))), "", (IF(SUM($N$56:$N$56) = 0, "", SUM($N$56:$N$56))))</f>
        <v>19.61283749</v>
      </c>
      <c r="O55">
        <f ca="1">IF(ISERROR(IF(SUM($O$56:$O$56) = 0, "", SUM($O$56:$O$56))), "", (IF(SUM($O$56:$O$56) = 0, "", SUM($O$56:$O$56))))</f>
        <v>21.487179489999999</v>
      </c>
      <c r="P55">
        <f ca="1">IF(ISERROR(IF(SUM($P$56:$P$56) = 0, "", SUM($P$56:$P$56))), "", (IF(SUM($P$56:$P$56) = 0, "", SUM($P$56:$P$56))))</f>
        <v>15.82507852</v>
      </c>
      <c r="Q55">
        <f ca="1">IF(ISERROR(IF(SUM($Q$56:$Q$56) = 0, "", SUM($Q$56:$Q$56))), "", (IF(SUM($Q$56:$Q$56) = 0, "", SUM($Q$56:$Q$56))))</f>
        <v>22.50833081</v>
      </c>
      <c r="R55">
        <f ca="1">IF(ISERROR(IF(SUM($R$56:$R$56) = 0, "", SUM($R$56:$R$56))), "", (IF(SUM($R$56:$R$56) = 0, "", SUM($R$56:$R$56))))</f>
        <v>24.19354839</v>
      </c>
      <c r="S55">
        <f ca="1">IF(ISERROR(IF(SUM($S$56:$S$56) = 0, "", SUM($S$56:$S$56))), "", (IF(SUM($S$56:$S$56) = 0, "", SUM($S$56:$S$56))))</f>
        <v>20.430107530000001</v>
      </c>
      <c r="T55">
        <f ca="1">IF(ISERROR(IF(SUM($T$56:$T$56) = 0, "", SUM($T$56:$T$56))), "", (IF(SUM($T$56:$T$56) = 0, "", SUM($T$56:$T$56))))</f>
        <v>20.19433883</v>
      </c>
      <c r="U55">
        <f ca="1">IF(ISERROR(IF(SUM($U$56:$U$56) = 0, "", SUM($U$56:$U$56))), "", (IF(SUM($U$56:$U$56) = 0, "", SUM($U$56:$U$56))))</f>
        <v>22.673796790000001</v>
      </c>
      <c r="V55">
        <f ca="1">IF(ISERROR(IF(SUM($V$56:$V$56) = 0, "", SUM($V$56:$V$56))), "", (IF(SUM($V$56:$V$56) = 0, "", SUM($V$56:$V$56))))</f>
        <v>20.720320139999998</v>
      </c>
      <c r="W55">
        <f ca="1">IF(ISERROR(IF(SUM($W$56:$W$56) = 0, "", SUM($W$56:$W$56))), "", (IF(SUM($W$56:$W$56) = 0, "", SUM($W$56:$W$56))))</f>
        <v>22.014585230000002</v>
      </c>
      <c r="X55">
        <f ca="1">IF(ISERROR(IF(SUM($X$56:$X$56) = 0, "", SUM($X$56:$X$56))), "", (IF(SUM($X$56:$X$56) = 0, "", SUM($X$56:$X$56))))</f>
        <v>23.116883120000001</v>
      </c>
      <c r="Y55">
        <f ca="1">IF(ISERROR(IF(SUM($Y$56:$Y$56) = 0, "", SUM($Y$56:$Y$56))), "", (IF(SUM($Y$56:$Y$56) = 0, "", SUM($Y$56:$Y$56))))</f>
        <v>17.276516910000002</v>
      </c>
      <c r="Z55">
        <f ca="1">IF(ISERROR(IF(SUM($Z$56:$Z$56) = 0, "", SUM($Z$56:$Z$56))), "", (IF(SUM($Z$56:$Z$56) = 0, "", SUM($Z$56:$Z$56))))</f>
        <v>20.861096870000001</v>
      </c>
      <c r="AA55">
        <f ca="1">IF(ISERROR(IF(SUM($AA$56:$AA$56) = 0, "", SUM($AA$56:$AA$56))), "", (IF(SUM($AA$56:$AA$56) = 0, "", SUM($AA$56:$AA$56))))</f>
        <v>26.135163670000001</v>
      </c>
      <c r="AB55">
        <f ca="1">IF(ISERROR(IF(SUM($AB$56:$AB$56) = 0, "", SUM($AB$56:$AB$56))), "", (IF(SUM($AB$56:$AB$56) = 0, "", SUM($AB$56:$AB$56))))</f>
        <v>13.38582677</v>
      </c>
      <c r="AC55">
        <f ca="1">IF(ISERROR(IF(SUM($AC$56:$AC$56) = 0, "", SUM($AC$56:$AC$56))), "", (IF(SUM($AC$56:$AC$56) = 0, "", SUM($AC$56:$AC$56))))</f>
        <v>18.56777494</v>
      </c>
      <c r="AD55">
        <f ca="1">IF(ISERROR(IF(SUM($AD$56:$AD$56) = 0, "", SUM($AD$56:$AD$56))), "", (IF(SUM($AD$56:$AD$56) = 0, "", SUM($AD$56:$AD$56))))</f>
        <v>25.0116877</v>
      </c>
      <c r="AE55">
        <f ca="1">IF(ISERROR(IF(SUM($AE$56:$AE$56) = 0, "", SUM($AE$56:$AE$56))), "", (IF(SUM($AE$56:$AE$56) = 0, "", SUM($AE$56:$AE$56))))</f>
        <v>24.688149689999999</v>
      </c>
      <c r="AF55">
        <f ca="1">IF(ISERROR(IF(SUM($AF$56:$AF$56) = 0, "", SUM($AF$56:$AF$56))), "", (IF(SUM($AF$56:$AF$56) = 0, "", SUM($AF$56:$AF$56))))</f>
        <v>20.52772809</v>
      </c>
      <c r="AG55">
        <f ca="1">IF(ISERROR(IF(SUM($AG$56:$AG$56) = 0, "", SUM($AG$56:$AG$56))), "", (IF(SUM($AG$56:$AG$56) = 0, "", SUM($AG$56:$AG$56))))</f>
        <v>19.353390210000001</v>
      </c>
      <c r="AH55">
        <f ca="1">IF(ISERROR(IF(SUM($AH$56:$AH$56) = 0, "", SUM($AH$56:$AH$56))), "", (IF(SUM($AH$56:$AH$56) = 0, "", SUM($AH$56:$AH$56))))</f>
        <v>20.522193210000001</v>
      </c>
      <c r="AI55">
        <f ca="1">IF(ISERROR(IF(SUM($AI$56:$AI$56) = 0, "", SUM($AI$56:$AI$56))), "", (IF(SUM($AI$56:$AI$56) = 0, "", SUM($AI$56:$AI$56))))</f>
        <v>20.45322487</v>
      </c>
      <c r="AJ55">
        <f ca="1">IF(ISERROR(IF(SUM($AJ$56:$AJ$56) = 0, "", SUM($AJ$56:$AJ$56))), "", (IF(SUM($AJ$56:$AJ$56) = 0, "", SUM($AJ$56:$AJ$56))))</f>
        <v>21.025375449999999</v>
      </c>
      <c r="AK55">
        <f ca="1">IF(ISERROR(IF(SUM($AK$56:$AK$56) = 0, "", SUM($AK$56:$AK$56))), "", (IF(SUM($AK$56:$AK$56) = 0, "", SUM($AK$56:$AK$56))))</f>
        <v>23.674911659999999</v>
      </c>
      <c r="AL55">
        <f ca="1">IF(ISERROR(IF(SUM($AL$56:$AL$56) = 0, "", SUM($AL$56:$AL$56))), "", (IF(SUM($AL$56:$AL$56) = 0, "", SUM($AL$56:$AL$56))))</f>
        <v>20.773480660000001</v>
      </c>
      <c r="AM55">
        <f ca="1">IF(ISERROR(IF(SUM($AM$56:$AM$56) = 0, "", SUM($AM$56:$AM$56))), "", (IF(SUM($AM$56:$AM$56) = 0, "", SUM($AM$56:$AM$56))))</f>
        <v>23.27380952</v>
      </c>
      <c r="AN55">
        <f ca="1">IF(ISERROR(IF(SUM($AN$56:$AN$56) = 0, "", SUM($AN$56:$AN$56))), "", (IF(SUM($AN$56:$AN$56) = 0, "", SUM($AN$56:$AN$56))))</f>
        <v>23.07692308</v>
      </c>
      <c r="AO55">
        <f ca="1">IF(ISERROR(IF(SUM($AO$56:$AO$56) = 0, "", SUM($AO$56:$AO$56))), "", (IF(SUM($AO$56:$AO$56) = 0, "", SUM($AO$56:$AO$56))))</f>
        <v>23.144876329999999</v>
      </c>
      <c r="AP55">
        <f ca="1">IF(ISERROR(IF(SUM($AP$56:$AP$56) = 0, "", SUM($AP$56:$AP$56))), "", (IF(SUM($AP$56:$AP$56) = 0, "", SUM($AP$56:$AP$56))))</f>
        <v>23.11052862</v>
      </c>
      <c r="AQ55">
        <f ca="1">IF(ISERROR(IF(SUM($AQ$56:$AQ$56) = 0, "", SUM($AQ$56:$AQ$56))), "", (IF(SUM($AQ$56:$AQ$56) = 0, "", SUM($AQ$56:$AQ$56))))</f>
        <v>23.17548747</v>
      </c>
      <c r="AR55">
        <f ca="1">IF(ISERROR(IF(SUM($AR$56:$AR$56) = 0, "", SUM($AR$56:$AR$56))), "", (IF(SUM($AR$56:$AR$56) = 0, "", SUM($AR$56:$AR$56))))</f>
        <v>25.48371874</v>
      </c>
      <c r="AS55">
        <f ca="1">IF(ISERROR(IF(SUM($AS$56:$AS$56) = 0, "", SUM($AS$56:$AS$56))), "", (IF(SUM($AS$56:$AS$56) = 0, "", SUM($AS$56:$AS$56))))</f>
        <v>32.598499060000002</v>
      </c>
      <c r="AT55">
        <f>26.9828617</f>
        <v>26.982861700000001</v>
      </c>
      <c r="AU55">
        <f>17.8780284</f>
        <v>17.878028400000002</v>
      </c>
      <c r="AV55">
        <f>17.66004415</f>
        <v>17.660044150000001</v>
      </c>
      <c r="AW55">
        <f>18.78868258</f>
        <v>18.78868258</v>
      </c>
      <c r="AX55">
        <f>15.36195286</f>
        <v>15.361952860000001</v>
      </c>
      <c r="AY55">
        <f>16.25380269</f>
        <v>16.253802690000001</v>
      </c>
      <c r="AZ55">
        <f>21.53916211</f>
        <v>21.539162109999999</v>
      </c>
      <c r="BA55">
        <f>17.65398195</f>
        <v>17.653981949999999</v>
      </c>
      <c r="BB55">
        <f>19.61283749</f>
        <v>19.61283749</v>
      </c>
      <c r="BC55">
        <f>21.48717949</f>
        <v>21.487179489999999</v>
      </c>
      <c r="BD55">
        <f>15.82507852</f>
        <v>15.82507852</v>
      </c>
      <c r="BE55">
        <f>22.50833081</f>
        <v>22.50833081</v>
      </c>
      <c r="BF55">
        <f>24.19354839</f>
        <v>24.19354839</v>
      </c>
      <c r="BG55">
        <f>20.43010753</f>
        <v>20.430107530000001</v>
      </c>
      <c r="BH55">
        <f>20.19433883</f>
        <v>20.19433883</v>
      </c>
      <c r="BI55">
        <f>22.67379679</f>
        <v>22.673796790000001</v>
      </c>
      <c r="BJ55">
        <f>20.72032014</f>
        <v>20.720320139999998</v>
      </c>
      <c r="BK55">
        <f>22.01458523</f>
        <v>22.014585230000002</v>
      </c>
      <c r="BL55">
        <f>23.11688312</f>
        <v>23.116883120000001</v>
      </c>
      <c r="BM55">
        <f>17.27651691</f>
        <v>17.276516910000002</v>
      </c>
      <c r="BN55">
        <f>20.86109687</f>
        <v>20.861096870000001</v>
      </c>
      <c r="BO55">
        <f>26.13516367</f>
        <v>26.135163670000001</v>
      </c>
      <c r="BP55">
        <f>13.38582677</f>
        <v>13.38582677</v>
      </c>
      <c r="BQ55">
        <f>18.56777494</f>
        <v>18.56777494</v>
      </c>
      <c r="BR55">
        <f>25.0116877</f>
        <v>25.0116877</v>
      </c>
      <c r="BS55">
        <f>24.68814969</f>
        <v>24.688149689999999</v>
      </c>
      <c r="BT55">
        <f>20.52772809</f>
        <v>20.52772809</v>
      </c>
      <c r="BU55">
        <f>19.35339021</f>
        <v>19.353390210000001</v>
      </c>
      <c r="BV55">
        <f>20.52219321</f>
        <v>20.522193210000001</v>
      </c>
      <c r="BW55">
        <f>20.45322487</f>
        <v>20.45322487</v>
      </c>
      <c r="BX55">
        <f>21.02537545</f>
        <v>21.025375449999999</v>
      </c>
      <c r="BY55">
        <f>23.67491166</f>
        <v>23.674911659999999</v>
      </c>
      <c r="BZ55">
        <f>20.77348066</f>
        <v>20.773480660000001</v>
      </c>
      <c r="CA55">
        <f>23.27380952</f>
        <v>23.27380952</v>
      </c>
      <c r="CB55">
        <f>23.07692308</f>
        <v>23.07692308</v>
      </c>
      <c r="CC55">
        <f>23.14487633</f>
        <v>23.144876329999999</v>
      </c>
      <c r="CD55">
        <f>23.11052862</f>
        <v>23.11052862</v>
      </c>
      <c r="CE55">
        <f>23.17548747</f>
        <v>23.17548747</v>
      </c>
      <c r="CF55">
        <f>25.48371874</f>
        <v>25.48371874</v>
      </c>
      <c r="CG55">
        <f>32.59849906</f>
        <v>32.598499060000002</v>
      </c>
    </row>
    <row r="56" spans="1:85" x14ac:dyDescent="0.25">
      <c r="A56" t="str">
        <f>"        International"</f>
        <v xml:space="preserve">        International</v>
      </c>
      <c r="B56" t="str">
        <f>"NAV US Equity"</f>
        <v>NAV US Equity</v>
      </c>
      <c r="E56" t="str">
        <f>"Expression"</f>
        <v>Expression</v>
      </c>
      <c r="F56">
        <f ca="1">IF(AND($B$294=1,LEN($F$198) * LEN($F$196)&gt;0),$F$198/$F$196*100,HLOOKUP(INDIRECT(ADDRESS(2,COLUMN())),OFFSET($AT$2,0,0,ROW()-1,40),ROW()-1,FALSE))</f>
        <v>26.982861700000001</v>
      </c>
      <c r="G56">
        <f ca="1">IF(AND($B$294=1,LEN($G$198) * LEN($G$196)&gt;0),$G$198/$G$196*100,HLOOKUP(INDIRECT(ADDRESS(2,COLUMN())),OFFSET($AT$2,0,0,ROW()-1,40),ROW()-1,FALSE))</f>
        <v>17.878028400000002</v>
      </c>
      <c r="H56">
        <f ca="1">IF(AND($B$294=1,LEN($H$198) * LEN($H$196)&gt;0),$H$198/$H$196*100,HLOOKUP(INDIRECT(ADDRESS(2,COLUMN())),OFFSET($AT$2,0,0,ROW()-1,40),ROW()-1,FALSE))</f>
        <v>17.660044150000001</v>
      </c>
      <c r="I56">
        <f ca="1">IF(AND($B$294=1,LEN($I$198) * LEN($I$196)&gt;0),$I$198/$I$196*100,HLOOKUP(INDIRECT(ADDRESS(2,COLUMN())),OFFSET($AT$2,0,0,ROW()-1,40),ROW()-1,FALSE))</f>
        <v>18.78868258</v>
      </c>
      <c r="J56">
        <f ca="1">IF(AND($B$294=1,LEN($J$198) * LEN($J$196)&gt;0),$J$198/$J$196*100,HLOOKUP(INDIRECT(ADDRESS(2,COLUMN())),OFFSET($AT$2,0,0,ROW()-1,40),ROW()-1,FALSE))</f>
        <v>15.361952860000001</v>
      </c>
      <c r="K56">
        <f ca="1">IF(AND($B$294=1,LEN($K$198) * LEN($K$196)&gt;0),$K$198/$K$196*100,HLOOKUP(INDIRECT(ADDRESS(2,COLUMN())),OFFSET($AT$2,0,0,ROW()-1,40),ROW()-1,FALSE))</f>
        <v>16.253802690000001</v>
      </c>
      <c r="L56">
        <f ca="1">IF(AND($B$294=1,LEN($L$198) * LEN($L$196)&gt;0),$L$198/$L$196*100,HLOOKUP(INDIRECT(ADDRESS(2,COLUMN())),OFFSET($AT$2,0,0,ROW()-1,40),ROW()-1,FALSE))</f>
        <v>21.539162109999999</v>
      </c>
      <c r="M56">
        <f ca="1">IF(AND($B$294=1,LEN($M$198) * LEN($M$196)&gt;0),$M$198/$M$196*100,HLOOKUP(INDIRECT(ADDRESS(2,COLUMN())),OFFSET($AT$2,0,0,ROW()-1,40),ROW()-1,FALSE))</f>
        <v>17.653981949999999</v>
      </c>
      <c r="N56">
        <f ca="1">IF(AND($B$294=1,LEN($N$198) * LEN($N$196)&gt;0),$N$198/$N$196*100,HLOOKUP(INDIRECT(ADDRESS(2,COLUMN())),OFFSET($AT$2,0,0,ROW()-1,40),ROW()-1,FALSE))</f>
        <v>19.61283749</v>
      </c>
      <c r="O56">
        <f ca="1">IF(AND($B$294=1,LEN($O$198) * LEN($O$196)&gt;0),$O$198/$O$196*100,HLOOKUP(INDIRECT(ADDRESS(2,COLUMN())),OFFSET($AT$2,0,0,ROW()-1,40),ROW()-1,FALSE))</f>
        <v>21.487179489999999</v>
      </c>
      <c r="P56">
        <f ca="1">IF(AND($B$294=1,LEN($P$198) * LEN($P$196)&gt;0),$P$198/$P$196*100,HLOOKUP(INDIRECT(ADDRESS(2,COLUMN())),OFFSET($AT$2,0,0,ROW()-1,40),ROW()-1,FALSE))</f>
        <v>15.82507852</v>
      </c>
      <c r="Q56">
        <f ca="1">IF(AND($B$294=1,LEN($Q$198) * LEN($Q$196)&gt;0),$Q$198/$Q$196*100,HLOOKUP(INDIRECT(ADDRESS(2,COLUMN())),OFFSET($AT$2,0,0,ROW()-1,40),ROW()-1,FALSE))</f>
        <v>22.50833081</v>
      </c>
      <c r="R56">
        <f ca="1">IF(AND($B$294=1,LEN($R$198) * LEN($R$196)&gt;0),$R$198/$R$196*100,HLOOKUP(INDIRECT(ADDRESS(2,COLUMN())),OFFSET($AT$2,0,0,ROW()-1,40),ROW()-1,FALSE))</f>
        <v>24.19354839</v>
      </c>
      <c r="S56">
        <f ca="1">IF(AND($B$294=1,LEN($S$198) * LEN($S$196)&gt;0),$S$198/$S$196*100,HLOOKUP(INDIRECT(ADDRESS(2,COLUMN())),OFFSET($AT$2,0,0,ROW()-1,40),ROW()-1,FALSE))</f>
        <v>20.430107530000001</v>
      </c>
      <c r="T56">
        <f ca="1">IF(AND($B$294=1,LEN($T$198) * LEN($T$196)&gt;0),$T$198/$T$196*100,HLOOKUP(INDIRECT(ADDRESS(2,COLUMN())),OFFSET($AT$2,0,0,ROW()-1,40),ROW()-1,FALSE))</f>
        <v>20.19433883</v>
      </c>
      <c r="U56">
        <f ca="1">IF(AND($B$294=1,LEN($U$198) * LEN($U$196)&gt;0),$U$198/$U$196*100,HLOOKUP(INDIRECT(ADDRESS(2,COLUMN())),OFFSET($AT$2,0,0,ROW()-1,40),ROW()-1,FALSE))</f>
        <v>22.673796790000001</v>
      </c>
      <c r="V56">
        <f ca="1">IF(AND($B$294=1,LEN($V$198) * LEN($V$196)&gt;0),$V$198/$V$196*100,HLOOKUP(INDIRECT(ADDRESS(2,COLUMN())),OFFSET($AT$2,0,0,ROW()-1,40),ROW()-1,FALSE))</f>
        <v>20.720320139999998</v>
      </c>
      <c r="W56">
        <f ca="1">IF(AND($B$294=1,LEN($W$198) * LEN($W$196)&gt;0),$W$198/$W$196*100,HLOOKUP(INDIRECT(ADDRESS(2,COLUMN())),OFFSET($AT$2,0,0,ROW()-1,40),ROW()-1,FALSE))</f>
        <v>22.014585230000002</v>
      </c>
      <c r="X56">
        <f ca="1">IF(AND($B$294=1,LEN($X$198) * LEN($X$196)&gt;0),$X$198/$X$196*100,HLOOKUP(INDIRECT(ADDRESS(2,COLUMN())),OFFSET($AT$2,0,0,ROW()-1,40),ROW()-1,FALSE))</f>
        <v>23.116883120000001</v>
      </c>
      <c r="Y56">
        <f ca="1">IF(AND($B$294=1,LEN($Y$198) * LEN($Y$196)&gt;0),$Y$198/$Y$196*100,HLOOKUP(INDIRECT(ADDRESS(2,COLUMN())),OFFSET($AT$2,0,0,ROW()-1,40),ROW()-1,FALSE))</f>
        <v>17.276516910000002</v>
      </c>
      <c r="Z56">
        <f ca="1">IF(AND($B$294=1,LEN($Z$198) * LEN($Z$196)&gt;0),$Z$198/$Z$196*100,HLOOKUP(INDIRECT(ADDRESS(2,COLUMN())),OFFSET($AT$2,0,0,ROW()-1,40),ROW()-1,FALSE))</f>
        <v>20.861096870000001</v>
      </c>
      <c r="AA56">
        <f ca="1">IF(AND($B$294=1,LEN($AA$198) * LEN($AA$196)&gt;0),$AA$198/$AA$196*100,HLOOKUP(INDIRECT(ADDRESS(2,COLUMN())),OFFSET($AT$2,0,0,ROW()-1,40),ROW()-1,FALSE))</f>
        <v>26.135163670000001</v>
      </c>
      <c r="AB56">
        <f ca="1">IF(AND($B$294=1,LEN($AB$198) * LEN($AB$196)&gt;0),$AB$198/$AB$196*100,HLOOKUP(INDIRECT(ADDRESS(2,COLUMN())),OFFSET($AT$2,0,0,ROW()-1,40),ROW()-1,FALSE))</f>
        <v>13.38582677</v>
      </c>
      <c r="AC56">
        <f ca="1">IF(AND($B$294=1,LEN($AC$198) * LEN($AC$196)&gt;0),$AC$198/$AC$196*100,HLOOKUP(INDIRECT(ADDRESS(2,COLUMN())),OFFSET($AT$2,0,0,ROW()-1,40),ROW()-1,FALSE))</f>
        <v>18.56777494</v>
      </c>
      <c r="AD56">
        <f ca="1">IF(AND($B$294=1,LEN($AD$198) * LEN($AD$196)&gt;0),$AD$198/$AD$196*100,HLOOKUP(INDIRECT(ADDRESS(2,COLUMN())),OFFSET($AT$2,0,0,ROW()-1,40),ROW()-1,FALSE))</f>
        <v>25.0116877</v>
      </c>
      <c r="AE56">
        <f ca="1">IF(AND($B$294=1,LEN($AE$198) * LEN($AE$196)&gt;0),$AE$198/$AE$196*100,HLOOKUP(INDIRECT(ADDRESS(2,COLUMN())),OFFSET($AT$2,0,0,ROW()-1,40),ROW()-1,FALSE))</f>
        <v>24.688149689999999</v>
      </c>
      <c r="AF56">
        <f ca="1">IF(AND($B$294=1,LEN($AF$198) * LEN($AF$196)&gt;0),$AF$198/$AF$196*100,HLOOKUP(INDIRECT(ADDRESS(2,COLUMN())),OFFSET($AT$2,0,0,ROW()-1,40),ROW()-1,FALSE))</f>
        <v>20.52772809</v>
      </c>
      <c r="AG56">
        <f ca="1">IF(AND($B$294=1,LEN($AG$198) * LEN($AG$196)&gt;0),$AG$198/$AG$196*100,HLOOKUP(INDIRECT(ADDRESS(2,COLUMN())),OFFSET($AT$2,0,0,ROW()-1,40),ROW()-1,FALSE))</f>
        <v>19.353390210000001</v>
      </c>
      <c r="AH56">
        <f ca="1">IF(AND($B$294=1,LEN($AH$198) * LEN($AH$196)&gt;0),$AH$198/$AH$196*100,HLOOKUP(INDIRECT(ADDRESS(2,COLUMN())),OFFSET($AT$2,0,0,ROW()-1,40),ROW()-1,FALSE))</f>
        <v>20.522193210000001</v>
      </c>
      <c r="AI56">
        <f ca="1">IF(AND($B$294=1,LEN($AI$198) * LEN($AI$196)&gt;0),$AI$198/$AI$196*100,HLOOKUP(INDIRECT(ADDRESS(2,COLUMN())),OFFSET($AT$2,0,0,ROW()-1,40),ROW()-1,FALSE))</f>
        <v>20.45322487</v>
      </c>
      <c r="AJ56">
        <f ca="1">IF(AND($B$294=1,LEN($AJ$198) * LEN($AJ$196)&gt;0),$AJ$198/$AJ$196*100,HLOOKUP(INDIRECT(ADDRESS(2,COLUMN())),OFFSET($AT$2,0,0,ROW()-1,40),ROW()-1,FALSE))</f>
        <v>21.025375449999999</v>
      </c>
      <c r="AK56">
        <f ca="1">IF(AND($B$294=1,LEN($AK$198) * LEN($AK$196)&gt;0),$AK$198/$AK$196*100,HLOOKUP(INDIRECT(ADDRESS(2,COLUMN())),OFFSET($AT$2,0,0,ROW()-1,40),ROW()-1,FALSE))</f>
        <v>23.674911659999999</v>
      </c>
      <c r="AL56">
        <f ca="1">IF(AND($B$294=1,LEN($AL$198) * LEN($AL$196)&gt;0),$AL$198/$AL$196*100,HLOOKUP(INDIRECT(ADDRESS(2,COLUMN())),OFFSET($AT$2,0,0,ROW()-1,40),ROW()-1,FALSE))</f>
        <v>20.773480660000001</v>
      </c>
      <c r="AM56">
        <f ca="1">IF(AND($B$294=1,LEN($AM$198) * LEN($AM$196)&gt;0),$AM$198/$AM$196*100,HLOOKUP(INDIRECT(ADDRESS(2,COLUMN())),OFFSET($AT$2,0,0,ROW()-1,40),ROW()-1,FALSE))</f>
        <v>23.27380952</v>
      </c>
      <c r="AN56">
        <f ca="1">IF(AND($B$294=1,LEN($AN$198) * LEN($AN$196)&gt;0),$AN$198/$AN$196*100,HLOOKUP(INDIRECT(ADDRESS(2,COLUMN())),OFFSET($AT$2,0,0,ROW()-1,40),ROW()-1,FALSE))</f>
        <v>23.07692308</v>
      </c>
      <c r="AO56">
        <f ca="1">IF(AND($B$294=1,LEN($AO$198) * LEN($AO$196)&gt;0),$AO$198/$AO$196*100,HLOOKUP(INDIRECT(ADDRESS(2,COLUMN())),OFFSET($AT$2,0,0,ROW()-1,40),ROW()-1,FALSE))</f>
        <v>23.144876329999999</v>
      </c>
      <c r="AP56">
        <f ca="1">IF(AND($B$294=1,LEN($AP$198) * LEN($AP$196)&gt;0),$AP$198/$AP$196*100,HLOOKUP(INDIRECT(ADDRESS(2,COLUMN())),OFFSET($AT$2,0,0,ROW()-1,40),ROW()-1,FALSE))</f>
        <v>23.11052862</v>
      </c>
      <c r="AQ56">
        <f ca="1">IF(AND($B$294=1,LEN($AQ$198) * LEN($AQ$196)&gt;0),$AQ$198/$AQ$196*100,HLOOKUP(INDIRECT(ADDRESS(2,COLUMN())),OFFSET($AT$2,0,0,ROW()-1,40),ROW()-1,FALSE))</f>
        <v>23.17548747</v>
      </c>
      <c r="AR56">
        <f ca="1">IF(AND($B$294=1,LEN($AR$198) * LEN($AR$196)&gt;0),$AR$198/$AR$196*100,HLOOKUP(INDIRECT(ADDRESS(2,COLUMN())),OFFSET($AT$2,0,0,ROW()-1,40),ROW()-1,FALSE))</f>
        <v>25.48371874</v>
      </c>
      <c r="AS56">
        <f ca="1">IF(AND($B$294=1,LEN($AS$198) * LEN($AS$196)&gt;0),$AS$198/$AS$196*100,HLOOKUP(INDIRECT(ADDRESS(2,COLUMN())),OFFSET($AT$2,0,0,ROW()-1,40),ROW()-1,FALSE))</f>
        <v>32.598499060000002</v>
      </c>
      <c r="AT56">
        <f>26.9828617</f>
        <v>26.982861700000001</v>
      </c>
      <c r="AU56">
        <f>17.8780284</f>
        <v>17.878028400000002</v>
      </c>
      <c r="AV56">
        <f>17.66004415</f>
        <v>17.660044150000001</v>
      </c>
      <c r="AW56">
        <f>18.78868258</f>
        <v>18.78868258</v>
      </c>
      <c r="AX56">
        <f>15.36195286</f>
        <v>15.361952860000001</v>
      </c>
      <c r="AY56">
        <f>16.25380269</f>
        <v>16.253802690000001</v>
      </c>
      <c r="AZ56">
        <f>21.53916211</f>
        <v>21.539162109999999</v>
      </c>
      <c r="BA56">
        <f>17.65398195</f>
        <v>17.653981949999999</v>
      </c>
      <c r="BB56">
        <f>19.61283749</f>
        <v>19.61283749</v>
      </c>
      <c r="BC56">
        <f>21.48717949</f>
        <v>21.487179489999999</v>
      </c>
      <c r="BD56">
        <f>15.82507852</f>
        <v>15.82507852</v>
      </c>
      <c r="BE56">
        <f>22.50833081</f>
        <v>22.50833081</v>
      </c>
      <c r="BF56">
        <f>24.19354839</f>
        <v>24.19354839</v>
      </c>
      <c r="BG56">
        <f>20.43010753</f>
        <v>20.430107530000001</v>
      </c>
      <c r="BH56">
        <f>20.19433883</f>
        <v>20.19433883</v>
      </c>
      <c r="BI56">
        <f>22.67379679</f>
        <v>22.673796790000001</v>
      </c>
      <c r="BJ56">
        <f>20.72032014</f>
        <v>20.720320139999998</v>
      </c>
      <c r="BK56">
        <f>22.01458523</f>
        <v>22.014585230000002</v>
      </c>
      <c r="BL56">
        <f>23.11688312</f>
        <v>23.116883120000001</v>
      </c>
      <c r="BM56">
        <f>17.27651691</f>
        <v>17.276516910000002</v>
      </c>
      <c r="BN56">
        <f>20.86109687</f>
        <v>20.861096870000001</v>
      </c>
      <c r="BO56">
        <f>26.13516367</f>
        <v>26.135163670000001</v>
      </c>
      <c r="BP56">
        <f>13.38582677</f>
        <v>13.38582677</v>
      </c>
      <c r="BQ56">
        <f>18.56777494</f>
        <v>18.56777494</v>
      </c>
      <c r="BR56">
        <f>25.0116877</f>
        <v>25.0116877</v>
      </c>
      <c r="BS56">
        <f>24.68814969</f>
        <v>24.688149689999999</v>
      </c>
      <c r="BT56">
        <f>20.52772809</f>
        <v>20.52772809</v>
      </c>
      <c r="BU56">
        <f>19.35339021</f>
        <v>19.353390210000001</v>
      </c>
      <c r="BV56">
        <f>20.52219321</f>
        <v>20.522193210000001</v>
      </c>
      <c r="BW56">
        <f>20.45322487</f>
        <v>20.45322487</v>
      </c>
      <c r="BX56">
        <f>21.02537545</f>
        <v>21.025375449999999</v>
      </c>
      <c r="BY56">
        <f>23.67491166</f>
        <v>23.674911659999999</v>
      </c>
      <c r="BZ56">
        <f>20.77348066</f>
        <v>20.773480660000001</v>
      </c>
      <c r="CA56">
        <f>23.27380952</f>
        <v>23.27380952</v>
      </c>
      <c r="CB56">
        <f>23.07692308</f>
        <v>23.07692308</v>
      </c>
      <c r="CC56">
        <f>23.14487633</f>
        <v>23.144876329999999</v>
      </c>
      <c r="CD56">
        <f>23.11052862</f>
        <v>23.11052862</v>
      </c>
      <c r="CE56">
        <f>23.17548747</f>
        <v>23.17548747</v>
      </c>
      <c r="CF56">
        <f>25.48371874</f>
        <v>25.48371874</v>
      </c>
      <c r="CG56">
        <f>32.59849906</f>
        <v>32.598499060000002</v>
      </c>
    </row>
    <row r="57" spans="1:85" x14ac:dyDescent="0.25">
      <c r="A57" t="str">
        <f>"    Daimler"</f>
        <v xml:space="preserve">    Daimler</v>
      </c>
      <c r="B57" t="str">
        <f>"DAI GR Equity"</f>
        <v>DAI GR Equity</v>
      </c>
      <c r="E57" t="str">
        <f>"Sum"</f>
        <v>Sum</v>
      </c>
      <c r="F57">
        <f ca="1">IF(ISERROR(IF(SUM($F$58:$F$60) = 0, "", SUM($F$58:$F$60))), "", (IF(SUM($F$58:$F$60) = 0, "", SUM($F$58:$F$60))))</f>
        <v>27.062574730000001</v>
      </c>
      <c r="G57">
        <f ca="1">IF(ISERROR(IF(SUM($G$58:$G$60) = 0, "", SUM($G$58:$G$60))), "", (IF(SUM($G$58:$G$60) = 0, "", SUM($G$58:$G$60))))</f>
        <v>26.524644949999999</v>
      </c>
      <c r="H57">
        <f ca="1">IF(ISERROR(IF(SUM($H$58:$H$60) = 0, "", SUM($H$58:$H$60))), "", (IF(SUM($H$58:$H$60) = 0, "", SUM($H$58:$H$60))))</f>
        <v>29.977924940000001</v>
      </c>
      <c r="I57">
        <f ca="1">IF(ISERROR(IF(SUM($I$58:$I$60) = 0, "", SUM($I$58:$I$60))), "", (IF(SUM($I$58:$I$60) = 0, "", SUM($I$58:$I$60))))</f>
        <v>30.017683470000001</v>
      </c>
      <c r="J57">
        <f ca="1">IF(ISERROR(IF(SUM($J$58:$J$60) = 0, "", SUM($J$58:$J$60))), "", (IF(SUM($J$58:$J$60) = 0, "", SUM($J$58:$J$60))))</f>
        <v>29.503367000000001</v>
      </c>
      <c r="K57">
        <f ca="1">IF(ISERROR(IF(SUM($K$58:$K$60) = 0, "", SUM($K$58:$K$60))), "", (IF(SUM($K$58:$K$60) = 0, "", SUM($K$58:$K$60))))</f>
        <v>29.508909169999999</v>
      </c>
      <c r="L57">
        <f ca="1">IF(ISERROR(IF(SUM($L$58:$L$60) = 0, "", SUM($L$58:$L$60))), "", (IF(SUM($L$58:$L$60) = 0, "", SUM($L$58:$L$60))))</f>
        <v>28.91621129</v>
      </c>
      <c r="M57">
        <f ca="1">IF(ISERROR(IF(SUM($M$58:$M$60) = 0, "", SUM($M$58:$M$60))), "", (IF(SUM($M$58:$M$60) = 0, "", SUM($M$58:$M$60))))</f>
        <v>29.227147899999999</v>
      </c>
      <c r="N57">
        <f ca="1">IF(ISERROR(IF(SUM($N$58:$N$60) = 0, "", SUM($N$58:$N$60))), "", (IF(SUM($N$58:$N$60) = 0, "", SUM($N$58:$N$60))))</f>
        <v>32.348446260000003</v>
      </c>
      <c r="O57">
        <f ca="1">IF(ISERROR(IF(SUM($O$58:$O$60) = 0, "", SUM($O$58:$O$60))), "", (IF(SUM($O$58:$O$60) = 0, "", SUM($O$58:$O$60))))</f>
        <v>34.820512819999998</v>
      </c>
      <c r="P57">
        <f ca="1">IF(ISERROR(IF(SUM($P$58:$P$60) = 0, "", SUM($P$58:$P$60))), "", (IF(SUM($P$58:$P$60) = 0, "", SUM($P$58:$P$60))))</f>
        <v>34.235322538999995</v>
      </c>
      <c r="Q57">
        <f ca="1">IF(ISERROR(IF(SUM($Q$58:$Q$60) = 0, "", SUM($Q$58:$Q$60))), "", (IF(SUM($Q$58:$Q$60) = 0, "", SUM($Q$58:$Q$60))))</f>
        <v>32.020599814000001</v>
      </c>
      <c r="R57">
        <f ca="1">IF(ISERROR(IF(SUM($R$58:$R$60) = 0, "", SUM($R$58:$R$60))), "", (IF(SUM($R$58:$R$60) = 0, "", SUM($R$58:$R$60))))</f>
        <v>34.291725104000001</v>
      </c>
      <c r="S57">
        <f ca="1">IF(ISERROR(IF(SUM($S$58:$S$60) = 0, "", SUM($S$58:$S$60))), "", (IF(SUM($S$58:$S$60) = 0, "", SUM($S$58:$S$60))))</f>
        <v>34.482758621000002</v>
      </c>
      <c r="T57">
        <f ca="1">IF(ISERROR(IF(SUM($T$58:$T$60) = 0, "", SUM($T$58:$T$60))), "", (IF(SUM($T$58:$T$60) = 0, "", SUM($T$58:$T$60))))</f>
        <v>31.981411074</v>
      </c>
      <c r="U57">
        <f ca="1">IF(ISERROR(IF(SUM($U$58:$U$60) = 0, "", SUM($U$58:$U$60))), "", (IF(SUM($U$58:$U$60) = 0, "", SUM($U$58:$U$60))))</f>
        <v>34.438502673999999</v>
      </c>
      <c r="V57">
        <f ca="1">IF(ISERROR(IF(SUM($V$58:$V$60) = 0, "", SUM($V$58:$V$60))), "", (IF(SUM($V$58:$V$60) = 0, "", SUM($V$58:$V$60))))</f>
        <v>32.725655848999999</v>
      </c>
      <c r="W57">
        <f ca="1">IF(ISERROR(IF(SUM($W$58:$W$60) = 0, "", SUM($W$58:$W$60))), "", (IF(SUM($W$58:$W$60) = 0, "", SUM($W$58:$W$60))))</f>
        <v>39.061075662</v>
      </c>
      <c r="X57">
        <f ca="1">IF(ISERROR(IF(SUM($X$58:$X$60) = 0, "", SUM($X$58:$X$60))), "", (IF(SUM($X$58:$X$60) = 0, "", SUM($X$58:$X$60))))</f>
        <v>35.930735929999997</v>
      </c>
      <c r="Y57">
        <f ca="1">IF(ISERROR(IF(SUM($Y$58:$Y$60) = 0, "", SUM($Y$58:$Y$60))), "", (IF(SUM($Y$58:$Y$60) = 0, "", SUM($Y$58:$Y$60))))</f>
        <v>34.089856419</v>
      </c>
      <c r="Z57">
        <f ca="1">IF(ISERROR(IF(SUM($Z$58:$Z$60) = 0, "", SUM($Z$58:$Z$60))), "", (IF(SUM($Z$58:$Z$60) = 0, "", SUM($Z$58:$Z$60))))</f>
        <v>28.908252176000001</v>
      </c>
      <c r="AA57">
        <f ca="1">IF(ISERROR(IF(SUM($AA$58:$AA$60) = 0, "", SUM($AA$58:$AA$60))), "", (IF(SUM($AA$58:$AA$60) = 0, "", SUM($AA$58:$AA$60))))</f>
        <v>42.925026403999993</v>
      </c>
      <c r="AB57">
        <f ca="1">IF(ISERROR(IF(SUM($AB$58:$AB$60) = 0, "", SUM($AB$58:$AB$60))), "", (IF(SUM($AB$58:$AB$60) = 0, "", SUM($AB$58:$AB$60))))</f>
        <v>26.996625418000001</v>
      </c>
      <c r="AC57">
        <f ca="1">IF(ISERROR(IF(SUM($AC$58:$AC$60) = 0, "", SUM($AC$58:$AC$60))), "", (IF(SUM($AC$58:$AC$60) = 0, "", SUM($AC$58:$AC$60))))</f>
        <v>29.514066493999998</v>
      </c>
      <c r="AD57">
        <f ca="1">IF(ISERROR(IF(SUM($AD$58:$AD$60) = 0, "", SUM($AD$58:$AD$60))), "", (IF(SUM($AD$58:$AD$60) = 0, "", SUM($AD$58:$AD$60))))</f>
        <v>25.245441792000001</v>
      </c>
      <c r="AE57">
        <f ca="1">IF(ISERROR(IF(SUM($AE$58:$AE$60) = 0, "", SUM($AE$58:$AE$60))), "", (IF(SUM($AE$58:$AE$60) = 0, "", SUM($AE$58:$AE$60))))</f>
        <v>26.195426195</v>
      </c>
      <c r="AF57">
        <f ca="1">IF(ISERROR(IF(SUM($AF$58:$AF$60) = 0, "", SUM($AF$58:$AF$60))), "", (IF(SUM($AF$58:$AF$60) = 0, "", SUM($AF$58:$AF$60))))</f>
        <v>22.540250448000002</v>
      </c>
      <c r="AG57">
        <f ca="1">IF(ISERROR(IF(SUM($AG$58:$AG$60) = 0, "", SUM($AG$58:$AG$60))), "", (IF(SUM($AG$58:$AG$60) = 0, "", SUM($AG$58:$AG$60))))</f>
        <v>32.824427475999997</v>
      </c>
      <c r="AH57">
        <f ca="1">IF(ISERROR(IF(SUM($AH$58:$AH$60) = 0, "", SUM($AH$58:$AH$60))), "", (IF(SUM($AH$58:$AH$60) = 0, "", SUM($AH$58:$AH$60))))</f>
        <v>25.430809404000001</v>
      </c>
      <c r="AI57">
        <f ca="1">IF(ISERROR(IF(SUM($AI$58:$AI$60) = 0, "", SUM($AI$58:$AI$60))), "", (IF(SUM($AI$58:$AI$60) = 0, "", SUM($AI$58:$AI$60))))</f>
        <v>22.196397446999999</v>
      </c>
      <c r="AJ57">
        <f ca="1">IF(ISERROR(IF(SUM($AJ$58:$AJ$60) = 0, "", SUM($AJ$58:$AJ$60))), "", (IF(SUM($AJ$58:$AJ$60) = 0, "", SUM($AJ$58:$AJ$60))))</f>
        <v>30.088037286000002</v>
      </c>
      <c r="AK57">
        <f ca="1">IF(ISERROR(IF(SUM($AK$58:$AK$60) = 0, "", SUM($AK$58:$AK$60))), "", (IF(SUM($AK$58:$AK$60) = 0, "", SUM($AK$58:$AK$60))))</f>
        <v>22.850412250000002</v>
      </c>
      <c r="AL57">
        <f ca="1">IF(ISERROR(IF(SUM($AL$58:$AL$60) = 0, "", SUM($AL$58:$AL$60))), "", (IF(SUM($AL$58:$AL$60) = 0, "", SUM($AL$58:$AL$60))))</f>
        <v>20.607734803</v>
      </c>
      <c r="AM57">
        <f ca="1">IF(ISERROR(IF(SUM($AM$58:$AM$60) = 0, "", SUM($AM$58:$AM$60))), "", (IF(SUM($AM$58:$AM$60) = 0, "", SUM($AM$58:$AM$60))))</f>
        <v>24.166666667999998</v>
      </c>
      <c r="AN57">
        <f ca="1">IF(ISERROR(IF(SUM($AN$58:$AN$60) = 0, "", SUM($AN$58:$AN$60))), "", (IF(SUM($AN$58:$AN$60) = 0, "", SUM($AN$58:$AN$60))))</f>
        <v>28.937728942</v>
      </c>
      <c r="AO57">
        <f ca="1">IF(ISERROR(IF(SUM($AO$58:$AO$60) = 0, "", SUM($AO$58:$AO$60))), "", (IF(SUM($AO$58:$AO$60) = 0, "", SUM($AO$58:$AO$60))))</f>
        <v>29.107773846999997</v>
      </c>
      <c r="AP57">
        <f ca="1">IF(ISERROR(IF(SUM($AP$58:$AP$60) = 0, "", SUM($AP$58:$AP$60))), "", (IF(SUM($AP$58:$AP$60) = 0, "", SUM($AP$58:$AP$60))))</f>
        <v>29.139362167999998</v>
      </c>
      <c r="AQ57">
        <f ca="1">IF(ISERROR(IF(SUM($AQ$58:$AQ$60) = 0, "", SUM($AQ$58:$AQ$60))), "", (IF(SUM($AQ$58:$AQ$60) = 0, "", SUM($AQ$58:$AQ$60))))</f>
        <v>18.941504175999999</v>
      </c>
      <c r="AR57">
        <f ca="1">IF(ISERROR(IF(SUM($AR$58:$AR$60) = 0, "", SUM($AR$58:$AR$60))), "", (IF(SUM($AR$58:$AR$60) = 0, "", SUM($AR$58:$AR$60))))</f>
        <v>28.079282679000002</v>
      </c>
      <c r="AS57">
        <f ca="1">IF(ISERROR(IF(SUM($AS$58:$AS$60) = 0, "", SUM($AS$58:$AS$60))), "", (IF(SUM($AS$58:$AS$60) = 0, "", SUM($AS$58:$AS$60))))</f>
        <v>24.530956842999998</v>
      </c>
      <c r="AT57">
        <f>27.06257473</f>
        <v>27.062574730000001</v>
      </c>
      <c r="AU57">
        <f>26.52464495</f>
        <v>26.524644949999999</v>
      </c>
      <c r="AV57">
        <f>29.97792494</f>
        <v>29.977924940000001</v>
      </c>
      <c r="AW57">
        <f>30.01768347</f>
        <v>30.017683470000001</v>
      </c>
      <c r="AX57">
        <f>29.503367</f>
        <v>29.503367000000001</v>
      </c>
      <c r="AY57">
        <f>29.50890917</f>
        <v>29.508909169999999</v>
      </c>
      <c r="AZ57">
        <f>28.91621129</f>
        <v>28.91621129</v>
      </c>
      <c r="BA57">
        <f>29.2271479</f>
        <v>29.227147899999999</v>
      </c>
      <c r="BB57">
        <f>32.34844626</f>
        <v>32.348446260000003</v>
      </c>
      <c r="BC57">
        <f>34.82051282</f>
        <v>34.820512819999998</v>
      </c>
      <c r="BD57">
        <f>34.23532254</f>
        <v>34.235322539999999</v>
      </c>
      <c r="BE57">
        <f>32.02059982</f>
        <v>32.020599820000001</v>
      </c>
      <c r="BF57">
        <f>34.29172511</f>
        <v>34.291725110000002</v>
      </c>
      <c r="BG57">
        <f>34.48275862</f>
        <v>34.482758619999998</v>
      </c>
      <c r="BH57">
        <f>31.98141107</f>
        <v>31.98141107</v>
      </c>
      <c r="BI57">
        <f>34.43850267</f>
        <v>34.438502669999998</v>
      </c>
      <c r="BJ57">
        <f>32.72565585</f>
        <v>32.725655850000003</v>
      </c>
      <c r="BK57">
        <f>39.06107566</f>
        <v>39.06107566</v>
      </c>
      <c r="BL57">
        <f>35.93073593</f>
        <v>35.930735929999997</v>
      </c>
      <c r="BM57">
        <f>34.08985642</f>
        <v>34.089856419999997</v>
      </c>
      <c r="BN57">
        <f>28.90825218</f>
        <v>28.908252180000002</v>
      </c>
      <c r="BO57">
        <f>42.9250264</f>
        <v>42.9250264</v>
      </c>
      <c r="BP57">
        <f>26.99662542</f>
        <v>26.996625420000001</v>
      </c>
      <c r="BQ57">
        <f>29.5140665</f>
        <v>29.514066499999998</v>
      </c>
      <c r="BR57">
        <f>25.2454418</f>
        <v>25.245441799999998</v>
      </c>
      <c r="BS57">
        <f>26.1954262</f>
        <v>26.1954262</v>
      </c>
      <c r="BT57">
        <f>22.54025045</f>
        <v>22.540250449999998</v>
      </c>
      <c r="BU57">
        <f>32.82442748</f>
        <v>32.824427479999997</v>
      </c>
      <c r="BV57">
        <f>25.4308094</f>
        <v>25.430809400000001</v>
      </c>
      <c r="BW57">
        <f>22.19639744</f>
        <v>22.196397439999998</v>
      </c>
      <c r="BX57">
        <f>30.08803729</f>
        <v>30.088037289999999</v>
      </c>
      <c r="BY57">
        <f>22.85041225</f>
        <v>22.850412250000002</v>
      </c>
      <c r="BZ57">
        <f>20.60773481</f>
        <v>20.60773481</v>
      </c>
      <c r="CA57">
        <f>24.16666667</f>
        <v>24.166666670000001</v>
      </c>
      <c r="CB57">
        <f>28.93772894</f>
        <v>28.93772894</v>
      </c>
      <c r="CC57">
        <f>29.10777385</f>
        <v>29.107773850000001</v>
      </c>
      <c r="CD57">
        <f>29.13936217</f>
        <v>29.139362169999998</v>
      </c>
      <c r="CE57">
        <f>18.94150418</f>
        <v>18.941504179999999</v>
      </c>
      <c r="CF57">
        <f>28.07928268</f>
        <v>28.079282679999999</v>
      </c>
      <c r="CG57">
        <f>24.53095685</f>
        <v>24.530956849999999</v>
      </c>
    </row>
    <row r="58" spans="1:85" x14ac:dyDescent="0.25">
      <c r="A58" t="str">
        <f>"        Freightliner"</f>
        <v xml:space="preserve">        Freightliner</v>
      </c>
      <c r="B58" t="str">
        <f>"DAI GR Equity"</f>
        <v>DAI GR Equity</v>
      </c>
      <c r="E58" t="str">
        <f>"Expression"</f>
        <v>Expression</v>
      </c>
      <c r="F58">
        <f ca="1">IF(AND($B$294=1,LEN($F$199) * LEN($F$196)&gt;0),$F$199/$F$196*100,HLOOKUP(INDIRECT(ADDRESS(2,COLUMN())),OFFSET($AT$2,0,0,ROW()-1,40),ROW()-1,FALSE))</f>
        <v>27.062574730000001</v>
      </c>
      <c r="G58">
        <f ca="1">IF(AND($B$294=1,LEN($G$199) * LEN($G$196)&gt;0),$G$199/$G$196*100,HLOOKUP(INDIRECT(ADDRESS(2,COLUMN())),OFFSET($AT$2,0,0,ROW()-1,40),ROW()-1,FALSE))</f>
        <v>26.524644949999999</v>
      </c>
      <c r="H58">
        <f ca="1">IF(AND($B$294=1,LEN($H$199) * LEN($H$196)&gt;0),$H$199/$H$196*100,HLOOKUP(INDIRECT(ADDRESS(2,COLUMN())),OFFSET($AT$2,0,0,ROW()-1,40),ROW()-1,FALSE))</f>
        <v>29.977924940000001</v>
      </c>
      <c r="I58">
        <f ca="1">IF(AND($B$294=1,LEN($I$199) * LEN($I$196)&gt;0),$I$199/$I$196*100,HLOOKUP(INDIRECT(ADDRESS(2,COLUMN())),OFFSET($AT$2,0,0,ROW()-1,40),ROW()-1,FALSE))</f>
        <v>30.017683470000001</v>
      </c>
      <c r="J58">
        <f ca="1">IF(AND($B$294=1,LEN($J$199) * LEN($J$196)&gt;0),$J$199/$J$196*100,HLOOKUP(INDIRECT(ADDRESS(2,COLUMN())),OFFSET($AT$2,0,0,ROW()-1,40),ROW()-1,FALSE))</f>
        <v>29.503367000000001</v>
      </c>
      <c r="K58">
        <f ca="1">IF(AND($B$294=1,LEN($K$199) * LEN($K$196)&gt;0),$K$199/$K$196*100,HLOOKUP(INDIRECT(ADDRESS(2,COLUMN())),OFFSET($AT$2,0,0,ROW()-1,40),ROW()-1,FALSE))</f>
        <v>29.508909169999999</v>
      </c>
      <c r="L58">
        <f ca="1">IF(AND($B$294=1,LEN($L$199) * LEN($L$196)&gt;0),$L$199/$L$196*100,HLOOKUP(INDIRECT(ADDRESS(2,COLUMN())),OFFSET($AT$2,0,0,ROW()-1,40),ROW()-1,FALSE))</f>
        <v>28.91621129</v>
      </c>
      <c r="M58">
        <f ca="1">IF(AND($B$294=1,LEN($M$199) * LEN($M$196)&gt;0),$M$199/$M$196*100,HLOOKUP(INDIRECT(ADDRESS(2,COLUMN())),OFFSET($AT$2,0,0,ROW()-1,40),ROW()-1,FALSE))</f>
        <v>29.227147899999999</v>
      </c>
      <c r="N58">
        <f ca="1">IF(AND($B$294=1,LEN($N$199) * LEN($N$196)&gt;0),$N$199/$N$196*100,HLOOKUP(INDIRECT(ADDRESS(2,COLUMN())),OFFSET($AT$2,0,0,ROW()-1,40),ROW()-1,FALSE))</f>
        <v>32.348446260000003</v>
      </c>
      <c r="O58">
        <f ca="1">IF(AND($B$294=1,LEN($O$199) * LEN($O$196)&gt;0),$O$199/$O$196*100,HLOOKUP(INDIRECT(ADDRESS(2,COLUMN())),OFFSET($AT$2,0,0,ROW()-1,40),ROW()-1,FALSE))</f>
        <v>34.820512819999998</v>
      </c>
      <c r="P58">
        <f ca="1">IF(AND($B$294=1,LEN($P$199) * LEN($P$196)&gt;0),$P$199/$P$196*100,HLOOKUP(INDIRECT(ADDRESS(2,COLUMN())),OFFSET($AT$2,0,0,ROW()-1,40),ROW()-1,FALSE))</f>
        <v>31.094467259999998</v>
      </c>
      <c r="Q58">
        <f ca="1">IF(AND($B$294=1,LEN($Q$199) * LEN($Q$196)&gt;0),$Q$199/$Q$196*100,HLOOKUP(INDIRECT(ADDRESS(2,COLUMN())),OFFSET($AT$2,0,0,ROW()-1,40),ROW()-1,FALSE))</f>
        <v>29.082096329999999</v>
      </c>
      <c r="R58">
        <f ca="1">IF(AND($B$294=1,LEN($R$199) * LEN($R$196)&gt;0),$R$199/$R$196*100,HLOOKUP(INDIRECT(ADDRESS(2,COLUMN())),OFFSET($AT$2,0,0,ROW()-1,40),ROW()-1,FALSE))</f>
        <v>31.13604488</v>
      </c>
      <c r="S58">
        <f ca="1">IF(AND($B$294=1,LEN($S$199) * LEN($S$196)&gt;0),$S$199/$S$196*100,HLOOKUP(INDIRECT(ADDRESS(2,COLUMN())),OFFSET($AT$2,0,0,ROW()-1,40),ROW()-1,FALSE))</f>
        <v>31.33110864</v>
      </c>
      <c r="T58">
        <f ca="1">IF(AND($B$294=1,LEN($T$199) * LEN($T$196)&gt;0),$T$199/$T$196*100,HLOOKUP(INDIRECT(ADDRESS(2,COLUMN())),OFFSET($AT$2,0,0,ROW()-1,40),ROW()-1,FALSE))</f>
        <v>29.024081120000002</v>
      </c>
      <c r="U58">
        <f ca="1">IF(AND($B$294=1,LEN($U$199) * LEN($U$196)&gt;0),$U$199/$U$196*100,HLOOKUP(INDIRECT(ADDRESS(2,COLUMN())),OFFSET($AT$2,0,0,ROW()-1,40),ROW()-1,FALSE))</f>
        <v>31.283422460000001</v>
      </c>
      <c r="V58">
        <f ca="1">IF(AND($B$294=1,LEN($V$199) * LEN($V$196)&gt;0),$V$199/$V$196*100,HLOOKUP(INDIRECT(ADDRESS(2,COLUMN())),OFFSET($AT$2,0,0,ROW()-1,40),ROW()-1,FALSE))</f>
        <v>29.702089820000001</v>
      </c>
      <c r="W58">
        <f ca="1">IF(AND($B$294=1,LEN($W$199) * LEN($W$196)&gt;0),$W$199/$W$196*100,HLOOKUP(INDIRECT(ADDRESS(2,COLUMN())),OFFSET($AT$2,0,0,ROW()-1,40),ROW()-1,FALSE))</f>
        <v>35.460346399999999</v>
      </c>
      <c r="X58">
        <f ca="1">IF(AND($B$294=1,LEN($X$199) * LEN($X$196)&gt;0),$X$199/$X$196*100,HLOOKUP(INDIRECT(ADDRESS(2,COLUMN())),OFFSET($AT$2,0,0,ROW()-1,40),ROW()-1,FALSE))</f>
        <v>32.640692639999997</v>
      </c>
      <c r="Y58">
        <f ca="1">IF(AND($B$294=1,LEN($Y$199) * LEN($Y$196)&gt;0),$Y$199/$Y$196*100,HLOOKUP(INDIRECT(ADDRESS(2,COLUMN())),OFFSET($AT$2,0,0,ROW()-1,40),ROW()-1,FALSE))</f>
        <v>30.940250120000002</v>
      </c>
      <c r="Z58">
        <f ca="1">IF(AND($B$294=1,LEN($Z$199) * LEN($Z$196)&gt;0),$Z$199/$Z$196*100,HLOOKUP(INDIRECT(ADDRESS(2,COLUMN())),OFFSET($AT$2,0,0,ROW()-1,40),ROW()-1,FALSE))</f>
        <v>26.242952330000001</v>
      </c>
      <c r="AA58">
        <f ca="1">IF(AND($B$294=1,LEN($AA$199) * LEN($AA$196)&gt;0),$AA$199/$AA$196*100,HLOOKUP(INDIRECT(ADDRESS(2,COLUMN())),OFFSET($AT$2,0,0,ROW()-1,40),ROW()-1,FALSE))</f>
        <v>38.965153119999997</v>
      </c>
      <c r="AB58">
        <f ca="1">IF(AND($B$294=1,LEN($AB$199) * LEN($AB$196)&gt;0),$AB$199/$AB$196*100,HLOOKUP(INDIRECT(ADDRESS(2,COLUMN())),OFFSET($AT$2,0,0,ROW()-1,40),ROW()-1,FALSE))</f>
        <v>20.584926880000001</v>
      </c>
      <c r="AC58">
        <f ca="1">IF(AND($B$294=1,LEN($AC$199) * LEN($AC$196)&gt;0),$AC$199/$AC$196*100,HLOOKUP(INDIRECT(ADDRESS(2,COLUMN())),OFFSET($AT$2,0,0,ROW()-1,40),ROW()-1,FALSE))</f>
        <v>22.506393859999999</v>
      </c>
      <c r="AD58">
        <f ca="1">IF(AND($B$294=1,LEN($AD$199) * LEN($AD$196)&gt;0),$AD$199/$AD$196*100,HLOOKUP(INDIRECT(ADDRESS(2,COLUMN())),OFFSET($AT$2,0,0,ROW()-1,40),ROW()-1,FALSE))</f>
        <v>19.26133707</v>
      </c>
      <c r="AE58">
        <f ca="1">IF(AND($B$294=1,LEN($AE$199) * LEN($AE$196)&gt;0),$AE$199/$AE$196*100,HLOOKUP(INDIRECT(ADDRESS(2,COLUMN())),OFFSET($AT$2,0,0,ROW()-1,40),ROW()-1,FALSE))</f>
        <v>20.01039501</v>
      </c>
      <c r="AF58">
        <f ca="1">IF(AND($B$294=1,LEN($AF$199) * LEN($AF$196)&gt;0),$AF$199/$AF$196*100,HLOOKUP(INDIRECT(ADDRESS(2,COLUMN())),OFFSET($AT$2,0,0,ROW()-1,40),ROW()-1,FALSE))</f>
        <v>17.218246870000002</v>
      </c>
      <c r="AG58">
        <f ca="1">IF(AND($B$294=1,LEN($AG$199) * LEN($AG$196)&gt;0),$AG$199/$AG$196*100,HLOOKUP(INDIRECT(ADDRESS(2,COLUMN())),OFFSET($AT$2,0,0,ROW()-1,40),ROW()-1,FALSE))</f>
        <v>26.852267619999999</v>
      </c>
      <c r="AH58">
        <f ca="1">IF(AND($B$294=1,LEN($AH$199) * LEN($AH$196)&gt;0),$AH$199/$AH$196*100,HLOOKUP(INDIRECT(ADDRESS(2,COLUMN())),OFFSET($AT$2,0,0,ROW()-1,40),ROW()-1,FALSE))</f>
        <v>22.97650131</v>
      </c>
      <c r="AI58">
        <f ca="1">IF(AND($B$294=1,LEN($AI$199) * LEN($AI$196)&gt;0),$AI$199/$AI$196*100,HLOOKUP(INDIRECT(ADDRESS(2,COLUMN())),OFFSET($AT$2,0,0,ROW()-1,40),ROW()-1,FALSE))</f>
        <v>20.627542129999998</v>
      </c>
      <c r="AJ58">
        <f ca="1">IF(AND($B$294=1,LEN($AJ$199) * LEN($AJ$196)&gt;0),$AJ$199/$AJ$196*100,HLOOKUP(INDIRECT(ADDRESS(2,COLUMN())),OFFSET($AT$2,0,0,ROW()-1,40),ROW()-1,FALSE))</f>
        <v>28.793371310000001</v>
      </c>
      <c r="AK58">
        <f ca="1">IF(AND($B$294=1,LEN($AK$199) * LEN($AK$196)&gt;0),$AK$199/$AK$196*100,HLOOKUP(INDIRECT(ADDRESS(2,COLUMN())),OFFSET($AT$2,0,0,ROW()-1,40),ROW()-1,FALSE))</f>
        <v>22.732626620000001</v>
      </c>
      <c r="AL58">
        <f ca="1">IF(AND($B$294=1,LEN($AL$199) * LEN($AL$196)&gt;0),$AL$199/$AL$196*100,HLOOKUP(INDIRECT(ADDRESS(2,COLUMN())),OFFSET($AT$2,0,0,ROW()-1,40),ROW()-1,FALSE))</f>
        <v>20.276243090000001</v>
      </c>
      <c r="AM58">
        <f ca="1">IF(AND($B$294=1,LEN($AM$199) * LEN($AM$196)&gt;0),$AM$199/$AM$196*100,HLOOKUP(INDIRECT(ADDRESS(2,COLUMN())),OFFSET($AT$2,0,0,ROW()-1,40),ROW()-1,FALSE))</f>
        <v>20.11904762</v>
      </c>
      <c r="AN58">
        <f ca="1">IF(AND($B$294=1,LEN($AN$199) * LEN($AN$196)&gt;0),$AN$199/$AN$196*100,HLOOKUP(INDIRECT(ADDRESS(2,COLUMN())),OFFSET($AT$2,0,0,ROW()-1,40),ROW()-1,FALSE))</f>
        <v>20.10582011</v>
      </c>
      <c r="AO58">
        <f ca="1">IF(AND($B$294=1,LEN($AO$199) * LEN($AO$196)&gt;0),$AO$199/$AO$196*100,HLOOKUP(INDIRECT(ADDRESS(2,COLUMN())),OFFSET($AT$2,0,0,ROW()-1,40),ROW()-1,FALSE))</f>
        <v>20.097173139999999</v>
      </c>
      <c r="AP58">
        <f ca="1">IF(AND($B$294=1,LEN($AP$199) * LEN($AP$196)&gt;0),$AP$199/$AP$196*100,HLOOKUP(INDIRECT(ADDRESS(2,COLUMN())),OFFSET($AT$2,0,0,ROW()-1,40),ROW()-1,FALSE))</f>
        <v>20.13979904</v>
      </c>
      <c r="AQ58">
        <f ca="1">IF(AND($B$294=1,LEN($AQ$199) * LEN($AQ$196)&gt;0),$AQ$199/$AQ$196*100,HLOOKUP(INDIRECT(ADDRESS(2,COLUMN())),OFFSET($AT$2,0,0,ROW()-1,40),ROW()-1,FALSE))</f>
        <v>15.153203339999999</v>
      </c>
      <c r="AR58">
        <f ca="1">IF(AND($B$294=1,LEN($AR$199) * LEN($AR$196)&gt;0),$AR$199/$AR$196*100,HLOOKUP(INDIRECT(ADDRESS(2,COLUMN())),OFFSET($AT$2,0,0,ROW()-1,40),ROW()-1,FALSE))</f>
        <v>23.737612080000002</v>
      </c>
      <c r="AS58">
        <f ca="1">IF(AND($B$294=1,LEN($AS$199) * LEN($AS$196)&gt;0),$AS$199/$AS$196*100,HLOOKUP(INDIRECT(ADDRESS(2,COLUMN())),OFFSET($AT$2,0,0,ROW()-1,40),ROW()-1,FALSE))</f>
        <v>23.7804878</v>
      </c>
      <c r="AT58">
        <f>27.06257473</f>
        <v>27.062574730000001</v>
      </c>
      <c r="AU58">
        <f>26.52464495</f>
        <v>26.524644949999999</v>
      </c>
      <c r="AV58">
        <f>29.97792494</f>
        <v>29.977924940000001</v>
      </c>
      <c r="AW58">
        <f>30.01768347</f>
        <v>30.017683470000001</v>
      </c>
      <c r="AX58">
        <f>29.503367</f>
        <v>29.503367000000001</v>
      </c>
      <c r="AY58">
        <f>29.50890917</f>
        <v>29.508909169999999</v>
      </c>
      <c r="AZ58">
        <f>28.91621129</f>
        <v>28.91621129</v>
      </c>
      <c r="BA58">
        <f>29.2271479</f>
        <v>29.227147899999999</v>
      </c>
      <c r="BB58">
        <f>32.34844626</f>
        <v>32.348446260000003</v>
      </c>
      <c r="BC58">
        <f>34.82051282</f>
        <v>34.820512819999998</v>
      </c>
      <c r="BD58">
        <f>31.09446726</f>
        <v>31.094467259999998</v>
      </c>
      <c r="BE58">
        <f>29.08209633</f>
        <v>29.082096329999999</v>
      </c>
      <c r="BF58">
        <f>31.13604488</f>
        <v>31.13604488</v>
      </c>
      <c r="BG58">
        <f>31.33110864</f>
        <v>31.33110864</v>
      </c>
      <c r="BH58">
        <f>29.02408112</f>
        <v>29.024081120000002</v>
      </c>
      <c r="BI58">
        <f>31.28342246</f>
        <v>31.283422460000001</v>
      </c>
      <c r="BJ58">
        <f>29.70208982</f>
        <v>29.702089820000001</v>
      </c>
      <c r="BK58">
        <f>35.4603464</f>
        <v>35.460346399999999</v>
      </c>
      <c r="BL58">
        <f>32.64069264</f>
        <v>32.640692639999997</v>
      </c>
      <c r="BM58">
        <f>30.94025012</f>
        <v>30.940250120000002</v>
      </c>
      <c r="BN58">
        <f>26.24295233</f>
        <v>26.242952330000001</v>
      </c>
      <c r="BO58">
        <f>38.96515312</f>
        <v>38.965153119999997</v>
      </c>
      <c r="BP58">
        <f>20.58492688</f>
        <v>20.584926880000001</v>
      </c>
      <c r="BQ58">
        <f>22.50639386</f>
        <v>22.506393859999999</v>
      </c>
      <c r="BR58">
        <f>19.26133707</f>
        <v>19.26133707</v>
      </c>
      <c r="BS58">
        <f>20.01039501</f>
        <v>20.01039501</v>
      </c>
      <c r="BT58">
        <f>17.21824687</f>
        <v>17.218246870000002</v>
      </c>
      <c r="BU58">
        <f>26.85226762</f>
        <v>26.852267619999999</v>
      </c>
      <c r="BV58">
        <f>22.97650131</f>
        <v>22.97650131</v>
      </c>
      <c r="BW58">
        <f>20.62754213</f>
        <v>20.627542129999998</v>
      </c>
      <c r="BX58">
        <f>28.79337131</f>
        <v>28.793371310000001</v>
      </c>
      <c r="BY58">
        <f>22.73262662</f>
        <v>22.732626620000001</v>
      </c>
      <c r="BZ58">
        <f>20.27624309</f>
        <v>20.276243090000001</v>
      </c>
      <c r="CA58">
        <f>20.11904762</f>
        <v>20.11904762</v>
      </c>
      <c r="CB58">
        <f>20.10582011</f>
        <v>20.10582011</v>
      </c>
      <c r="CC58">
        <f>20.09717314</f>
        <v>20.097173139999999</v>
      </c>
      <c r="CD58">
        <f>20.13979904</f>
        <v>20.13979904</v>
      </c>
      <c r="CE58">
        <f>15.15320334</f>
        <v>15.153203339999999</v>
      </c>
      <c r="CF58">
        <f>23.73761208</f>
        <v>23.737612080000002</v>
      </c>
      <c r="CG58">
        <f>23.7804878</f>
        <v>23.7804878</v>
      </c>
    </row>
    <row r="59" spans="1:85" x14ac:dyDescent="0.25">
      <c r="A59" t="str">
        <f>"        Mercedes-Benz"</f>
        <v xml:space="preserve">        Mercedes-Benz</v>
      </c>
      <c r="B59" t="str">
        <f>"DAI GR Equity"</f>
        <v>DAI GR Equity</v>
      </c>
      <c r="E59" t="str">
        <f>"Expression"</f>
        <v>Expression</v>
      </c>
      <c r="F59" t="str">
        <f ca="1">IF(AND($B$294=1,LEN($F$200) * LEN($F$196)&gt;0),$F$200/$F$196*100,HLOOKUP(INDIRECT(ADDRESS(2,COLUMN())),OFFSET($AT$2,0,0,ROW()-1,40),ROW()-1,FALSE))</f>
        <v/>
      </c>
      <c r="G59" t="str">
        <f ca="1">IF(AND($B$294=1,LEN($G$200) * LEN($G$196)&gt;0),$G$200/$G$196*100,HLOOKUP(INDIRECT(ADDRESS(2,COLUMN())),OFFSET($AT$2,0,0,ROW()-1,40),ROW()-1,FALSE))</f>
        <v/>
      </c>
      <c r="H59" t="str">
        <f ca="1">IF(AND($B$294=1,LEN($H$200) * LEN($H$196)&gt;0),$H$200/$H$196*100,HLOOKUP(INDIRECT(ADDRESS(2,COLUMN())),OFFSET($AT$2,0,0,ROW()-1,40),ROW()-1,FALSE))</f>
        <v/>
      </c>
      <c r="I59" t="str">
        <f ca="1">IF(AND($B$294=1,LEN($I$200) * LEN($I$196)&gt;0),$I$200/$I$196*100,HLOOKUP(INDIRECT(ADDRESS(2,COLUMN())),OFFSET($AT$2,0,0,ROW()-1,40),ROW()-1,FALSE))</f>
        <v/>
      </c>
      <c r="J59" t="str">
        <f ca="1">IF(AND($B$294=1,LEN($J$200) * LEN($J$196)&gt;0),$J$200/$J$196*100,HLOOKUP(INDIRECT(ADDRESS(2,COLUMN())),OFFSET($AT$2,0,0,ROW()-1,40),ROW()-1,FALSE))</f>
        <v/>
      </c>
      <c r="K59" t="str">
        <f ca="1">IF(AND($B$294=1,LEN($K$200) * LEN($K$196)&gt;0),$K$200/$K$196*100,HLOOKUP(INDIRECT(ADDRESS(2,COLUMN())),OFFSET($AT$2,0,0,ROW()-1,40),ROW()-1,FALSE))</f>
        <v/>
      </c>
      <c r="L59" t="str">
        <f ca="1">IF(AND($B$294=1,LEN($L$200) * LEN($L$196)&gt;0),$L$200/$L$196*100,HLOOKUP(INDIRECT(ADDRESS(2,COLUMN())),OFFSET($AT$2,0,0,ROW()-1,40),ROW()-1,FALSE))</f>
        <v/>
      </c>
      <c r="M59" t="str">
        <f ca="1">IF(AND($B$294=1,LEN($M$200) * LEN($M$196)&gt;0),$M$200/$M$196*100,HLOOKUP(INDIRECT(ADDRESS(2,COLUMN())),OFFSET($AT$2,0,0,ROW()-1,40),ROW()-1,FALSE))</f>
        <v/>
      </c>
      <c r="N59" t="str">
        <f ca="1">IF(AND($B$294=1,LEN($N$200) * LEN($N$196)&gt;0),$N$200/$N$196*100,HLOOKUP(INDIRECT(ADDRESS(2,COLUMN())),OFFSET($AT$2,0,0,ROW()-1,40),ROW()-1,FALSE))</f>
        <v/>
      </c>
      <c r="O59" t="str">
        <f ca="1">IF(AND($B$294=1,LEN($O$200) * LEN($O$196)&gt;0),$O$200/$O$196*100,HLOOKUP(INDIRECT(ADDRESS(2,COLUMN())),OFFSET($AT$2,0,0,ROW()-1,40),ROW()-1,FALSE))</f>
        <v/>
      </c>
      <c r="P59">
        <f ca="1">IF(AND($B$294=1,LEN($P$200) * LEN($P$196)&gt;0),$P$200/$P$196*100,HLOOKUP(INDIRECT(ADDRESS(2,COLUMN())),OFFSET($AT$2,0,0,ROW()-1,40),ROW()-1,FALSE))</f>
        <v>3.1408552790000002</v>
      </c>
      <c r="Q59">
        <f ca="1">IF(AND($B$294=1,LEN($Q$200) * LEN($Q$196)&gt;0),$Q$200/$Q$196*100,HLOOKUP(INDIRECT(ADDRESS(2,COLUMN())),OFFSET($AT$2,0,0,ROW()-1,40),ROW()-1,FALSE))</f>
        <v>2.9385034839999999</v>
      </c>
      <c r="R59">
        <f ca="1">IF(AND($B$294=1,LEN($R$200) * LEN($R$196)&gt;0),$R$200/$R$196*100,HLOOKUP(INDIRECT(ADDRESS(2,COLUMN())),OFFSET($AT$2,0,0,ROW()-1,40),ROW()-1,FALSE))</f>
        <v>3.1556802240000001</v>
      </c>
      <c r="S59">
        <f ca="1">IF(AND($B$294=1,LEN($S$200) * LEN($S$196)&gt;0),$S$200/$S$196*100,HLOOKUP(INDIRECT(ADDRESS(2,COLUMN())),OFFSET($AT$2,0,0,ROW()-1,40),ROW()-1,FALSE))</f>
        <v>3.1516499809999998</v>
      </c>
      <c r="T59">
        <f ca="1">IF(AND($B$294=1,LEN($T$200) * LEN($T$196)&gt;0),$T$200/$T$196*100,HLOOKUP(INDIRECT(ADDRESS(2,COLUMN())),OFFSET($AT$2,0,0,ROW()-1,40),ROW()-1,FALSE))</f>
        <v>2.957329954</v>
      </c>
      <c r="U59">
        <f ca="1">IF(AND($B$294=1,LEN($U$200) * LEN($U$196)&gt;0),$U$200/$U$196*100,HLOOKUP(INDIRECT(ADDRESS(2,COLUMN())),OFFSET($AT$2,0,0,ROW()-1,40),ROW()-1,FALSE))</f>
        <v>3.1550802139999998</v>
      </c>
      <c r="V59">
        <f ca="1">IF(AND($B$294=1,LEN($V$200) * LEN($V$196)&gt;0),$V$200/$V$196*100,HLOOKUP(INDIRECT(ADDRESS(2,COLUMN())),OFFSET($AT$2,0,0,ROW()-1,40),ROW()-1,FALSE))</f>
        <v>3.0235660289999999</v>
      </c>
      <c r="W59">
        <f ca="1">IF(AND($B$294=1,LEN($W$200) * LEN($W$196)&gt;0),$W$200/$W$196*100,HLOOKUP(INDIRECT(ADDRESS(2,COLUMN())),OFFSET($AT$2,0,0,ROW()-1,40),ROW()-1,FALSE))</f>
        <v>3.6007292620000002</v>
      </c>
      <c r="X59">
        <f ca="1">IF(AND($B$294=1,LEN($X$200) * LEN($X$196)&gt;0),$X$200/$X$196*100,HLOOKUP(INDIRECT(ADDRESS(2,COLUMN())),OFFSET($AT$2,0,0,ROW()-1,40),ROW()-1,FALSE))</f>
        <v>3.2900432899999998</v>
      </c>
      <c r="Y59">
        <f ca="1">IF(AND($B$294=1,LEN($Y$200) * LEN($Y$196)&gt;0),$Y$200/$Y$196*100,HLOOKUP(INDIRECT(ADDRESS(2,COLUMN())),OFFSET($AT$2,0,0,ROW()-1,40),ROW()-1,FALSE))</f>
        <v>3.1496062990000002</v>
      </c>
      <c r="Z59">
        <f ca="1">IF(AND($B$294=1,LEN($Z$200) * LEN($Z$196)&gt;0),$Z$200/$Z$196*100,HLOOKUP(INDIRECT(ADDRESS(2,COLUMN())),OFFSET($AT$2,0,0,ROW()-1,40),ROW()-1,FALSE))</f>
        <v>2.6652998459999999</v>
      </c>
      <c r="AA59">
        <f ca="1">IF(AND($B$294=1,LEN($AA$200) * LEN($AA$196)&gt;0),$AA$200/$AA$196*100,HLOOKUP(INDIRECT(ADDRESS(2,COLUMN())),OFFSET($AT$2,0,0,ROW()-1,40),ROW()-1,FALSE))</f>
        <v>3.9598732839999999</v>
      </c>
      <c r="AB59">
        <f ca="1">IF(AND($B$294=1,LEN($AB$200) * LEN($AB$196)&gt;0),$AB$200/$AB$196*100,HLOOKUP(INDIRECT(ADDRESS(2,COLUMN())),OFFSET($AT$2,0,0,ROW()-1,40),ROW()-1,FALSE))</f>
        <v>6.4116985379999996</v>
      </c>
      <c r="AC59">
        <f ca="1">IF(AND($B$294=1,LEN($AC$200) * LEN($AC$196)&gt;0),$AC$200/$AC$196*100,HLOOKUP(INDIRECT(ADDRESS(2,COLUMN())),OFFSET($AT$2,0,0,ROW()-1,40),ROW()-1,FALSE))</f>
        <v>7.0076726340000004</v>
      </c>
      <c r="AD59">
        <f ca="1">IF(AND($B$294=1,LEN($AD$200) * LEN($AD$196)&gt;0),$AD$200/$AD$196*100,HLOOKUP(INDIRECT(ADDRESS(2,COLUMN())),OFFSET($AT$2,0,0,ROW()-1,40),ROW()-1,FALSE))</f>
        <v>5.9841047219999997</v>
      </c>
      <c r="AE59">
        <f ca="1">IF(AND($B$294=1,LEN($AE$200) * LEN($AE$196)&gt;0),$AE$200/$AE$196*100,HLOOKUP(INDIRECT(ADDRESS(2,COLUMN())),OFFSET($AT$2,0,0,ROW()-1,40),ROW()-1,FALSE))</f>
        <v>6.1850311849999997</v>
      </c>
      <c r="AF59">
        <f ca="1">IF(AND($B$294=1,LEN($AF$200) * LEN($AF$196)&gt;0),$AF$200/$AF$196*100,HLOOKUP(INDIRECT(ADDRESS(2,COLUMN())),OFFSET($AT$2,0,0,ROW()-1,40),ROW()-1,FALSE))</f>
        <v>5.3220035780000003</v>
      </c>
      <c r="AG59">
        <f ca="1">IF(AND($B$294=1,LEN($AG$200) * LEN($AG$196)&gt;0),$AG$200/$AG$196*100,HLOOKUP(INDIRECT(ADDRESS(2,COLUMN())),OFFSET($AT$2,0,0,ROW()-1,40),ROW()-1,FALSE))</f>
        <v>5.9721598560000002</v>
      </c>
      <c r="AH59">
        <f ca="1">IF(AND($B$294=1,LEN($AH$200) * LEN($AH$196)&gt;0),$AH$200/$AH$196*100,HLOOKUP(INDIRECT(ADDRESS(2,COLUMN())),OFFSET($AT$2,0,0,ROW()-1,40),ROW()-1,FALSE))</f>
        <v>2.4543080939999999</v>
      </c>
      <c r="AI59">
        <f ca="1">IF(AND($B$294=1,LEN($AI$200) * LEN($AI$196)&gt;0),$AI$200/$AI$196*100,HLOOKUP(INDIRECT(ADDRESS(2,COLUMN())),OFFSET($AT$2,0,0,ROW()-1,40),ROW()-1,FALSE))</f>
        <v>1.5688553169999999</v>
      </c>
      <c r="AJ59">
        <f ca="1">IF(AND($B$294=1,LEN($AJ$200) * LEN($AJ$196)&gt;0),$AJ$200/$AJ$196*100,HLOOKUP(INDIRECT(ADDRESS(2,COLUMN())),OFFSET($AT$2,0,0,ROW()-1,40),ROW()-1,FALSE))</f>
        <v>1.2946659760000001</v>
      </c>
      <c r="AK59">
        <f ca="1">IF(AND($B$294=1,LEN($AK$200) * LEN($AK$196)&gt;0),$AK$200/$AK$196*100,HLOOKUP(INDIRECT(ADDRESS(2,COLUMN())),OFFSET($AT$2,0,0,ROW()-1,40),ROW()-1,FALSE))</f>
        <v>0.11778563</v>
      </c>
      <c r="AL59">
        <f ca="1">IF(AND($B$294=1,LEN($AL$200) * LEN($AL$196)&gt;0),$AL$200/$AL$196*100,HLOOKUP(INDIRECT(ADDRESS(2,COLUMN())),OFFSET($AT$2,0,0,ROW()-1,40),ROW()-1,FALSE))</f>
        <v>0.33149171300000002</v>
      </c>
      <c r="AM59">
        <f ca="1">IF(AND($B$294=1,LEN($AM$200) * LEN($AM$196)&gt;0),$AM$200/$AM$196*100,HLOOKUP(INDIRECT(ADDRESS(2,COLUMN())),OFFSET($AT$2,0,0,ROW()-1,40),ROW()-1,FALSE))</f>
        <v>4.0476190479999996</v>
      </c>
      <c r="AN59">
        <f ca="1">IF(AND($B$294=1,LEN($AN$200) * LEN($AN$196)&gt;0),$AN$200/$AN$196*100,HLOOKUP(INDIRECT(ADDRESS(2,COLUMN())),OFFSET($AT$2,0,0,ROW()-1,40),ROW()-1,FALSE))</f>
        <v>8.8319088319999999</v>
      </c>
      <c r="AO59">
        <f ca="1">IF(AND($B$294=1,LEN($AO$200) * LEN($AO$196)&gt;0),$AO$200/$AO$196*100,HLOOKUP(INDIRECT(ADDRESS(2,COLUMN())),OFFSET($AT$2,0,0,ROW()-1,40),ROW()-1,FALSE))</f>
        <v>9.010600707</v>
      </c>
      <c r="AP59">
        <f ca="1">IF(AND($B$294=1,LEN($AP$200) * LEN($AP$196)&gt;0),$AP$200/$AP$196*100,HLOOKUP(INDIRECT(ADDRESS(2,COLUMN())),OFFSET($AT$2,0,0,ROW()-1,40),ROW()-1,FALSE))</f>
        <v>8.9995631280000001</v>
      </c>
      <c r="AQ59">
        <f ca="1">IF(AND($B$294=1,LEN($AQ$200) * LEN($AQ$196)&gt;0),$AQ$200/$AQ$196*100,HLOOKUP(INDIRECT(ADDRESS(2,COLUMN())),OFFSET($AT$2,0,0,ROW()-1,40),ROW()-1,FALSE))</f>
        <v>3.7883008359999999</v>
      </c>
      <c r="AR59">
        <f ca="1">IF(AND($B$294=1,LEN($AR$200) * LEN($AR$196)&gt;0),$AR$200/$AR$196*100,HLOOKUP(INDIRECT(ADDRESS(2,COLUMN())),OFFSET($AT$2,0,0,ROW()-1,40),ROW()-1,FALSE))</f>
        <v>4.3416705990000004</v>
      </c>
      <c r="AS59">
        <f ca="1">IF(AND($B$294=1,LEN($AS$200) * LEN($AS$196)&gt;0),$AS$200/$AS$196*100,HLOOKUP(INDIRECT(ADDRESS(2,COLUMN())),OFFSET($AT$2,0,0,ROW()-1,40),ROW()-1,FALSE))</f>
        <v>0.75046904299999995</v>
      </c>
      <c r="AT59" t="str">
        <f>""</f>
        <v/>
      </c>
      <c r="AU59" t="str">
        <f>""</f>
        <v/>
      </c>
      <c r="AV59" t="str">
        <f>""</f>
        <v/>
      </c>
      <c r="AW59" t="str">
        <f>""</f>
        <v/>
      </c>
      <c r="AX59" t="str">
        <f>""</f>
        <v/>
      </c>
      <c r="AY59" t="str">
        <f>""</f>
        <v/>
      </c>
      <c r="AZ59" t="str">
        <f>""</f>
        <v/>
      </c>
      <c r="BA59" t="str">
        <f>""</f>
        <v/>
      </c>
      <c r="BB59" t="str">
        <f>""</f>
        <v/>
      </c>
      <c r="BC59" t="str">
        <f>""</f>
        <v/>
      </c>
      <c r="BD59">
        <f>3.140855279</f>
        <v>3.1408552790000002</v>
      </c>
      <c r="BE59">
        <f>2.938503484</f>
        <v>2.9385034839999999</v>
      </c>
      <c r="BF59">
        <f>3.155680224</f>
        <v>3.1556802240000001</v>
      </c>
      <c r="BG59">
        <f>3.151649981</f>
        <v>3.1516499809999998</v>
      </c>
      <c r="BH59">
        <f>2.957329954</f>
        <v>2.957329954</v>
      </c>
      <c r="BI59">
        <f>3.155080214</f>
        <v>3.1550802139999998</v>
      </c>
      <c r="BJ59">
        <f>3.023566029</f>
        <v>3.0235660289999999</v>
      </c>
      <c r="BK59">
        <f>3.600729262</f>
        <v>3.6007292620000002</v>
      </c>
      <c r="BL59">
        <f>3.29004329</f>
        <v>3.2900432899999998</v>
      </c>
      <c r="BM59">
        <f>3.149606299</f>
        <v>3.1496062990000002</v>
      </c>
      <c r="BN59">
        <f>2.665299846</f>
        <v>2.6652998459999999</v>
      </c>
      <c r="BO59">
        <f>3.959873284</f>
        <v>3.9598732839999999</v>
      </c>
      <c r="BP59">
        <f>6.411698538</f>
        <v>6.4116985379999996</v>
      </c>
      <c r="BQ59">
        <f>7.007672634</f>
        <v>7.0076726340000004</v>
      </c>
      <c r="BR59">
        <f>5.984104722</f>
        <v>5.9841047219999997</v>
      </c>
      <c r="BS59">
        <f>6.185031185</f>
        <v>6.1850311849999997</v>
      </c>
      <c r="BT59">
        <f>5.322003578</f>
        <v>5.3220035780000003</v>
      </c>
      <c r="BU59">
        <f>5.972159856</f>
        <v>5.9721598560000002</v>
      </c>
      <c r="BV59">
        <f>2.454308094</f>
        <v>2.4543080939999999</v>
      </c>
      <c r="BW59">
        <f>1.568855317</f>
        <v>1.5688553169999999</v>
      </c>
      <c r="BX59">
        <f>1.294665976</f>
        <v>1.2946659760000001</v>
      </c>
      <c r="BY59">
        <f>0.11778563</f>
        <v>0.11778563</v>
      </c>
      <c r="BZ59">
        <f>0.331491713</f>
        <v>0.33149171300000002</v>
      </c>
      <c r="CA59">
        <f>4.047619048</f>
        <v>4.0476190479999996</v>
      </c>
      <c r="CB59">
        <f>8.831908832</f>
        <v>8.8319088319999999</v>
      </c>
      <c r="CC59">
        <f>9.010600707</f>
        <v>9.010600707</v>
      </c>
      <c r="CD59">
        <f>8.999563128</f>
        <v>8.9995631280000001</v>
      </c>
      <c r="CE59">
        <f>3.788300836</f>
        <v>3.7883008359999999</v>
      </c>
      <c r="CF59">
        <f>4.341670599</f>
        <v>4.3416705990000004</v>
      </c>
      <c r="CG59">
        <f>0.750469043</f>
        <v>0.75046904299999995</v>
      </c>
    </row>
    <row r="60" spans="1:85" x14ac:dyDescent="0.25">
      <c r="A60" t="str">
        <f>"        Sterling"</f>
        <v xml:space="preserve">        Sterling</v>
      </c>
      <c r="B60" t="str">
        <f>"DAI GR Equity"</f>
        <v>DAI GR Equity</v>
      </c>
      <c r="E60" t="str">
        <f>"Expression"</f>
        <v>Expression</v>
      </c>
      <c r="F60" t="str">
        <f ca="1">IF(AND($B$294=1,LEN($F$201) * LEN($F$196)&gt;0),$F$201/$F$196*100,HLOOKUP(INDIRECT(ADDRESS(2,COLUMN())),OFFSET($AT$2,0,0,ROW()-1,40),ROW()-1,FALSE))</f>
        <v/>
      </c>
      <c r="G60" t="str">
        <f ca="1">IF(AND($B$294=1,LEN($G$201) * LEN($G$196)&gt;0),$G$201/$G$196*100,HLOOKUP(INDIRECT(ADDRESS(2,COLUMN())),OFFSET($AT$2,0,0,ROW()-1,40),ROW()-1,FALSE))</f>
        <v/>
      </c>
      <c r="H60" t="str">
        <f ca="1">IF(AND($B$294=1,LEN($H$201) * LEN($H$196)&gt;0),$H$201/$H$196*100,HLOOKUP(INDIRECT(ADDRESS(2,COLUMN())),OFFSET($AT$2,0,0,ROW()-1,40),ROW()-1,FALSE))</f>
        <v/>
      </c>
      <c r="I60" t="str">
        <f ca="1">IF(AND($B$294=1,LEN($I$201) * LEN($I$196)&gt;0),$I$201/$I$196*100,HLOOKUP(INDIRECT(ADDRESS(2,COLUMN())),OFFSET($AT$2,0,0,ROW()-1,40),ROW()-1,FALSE))</f>
        <v/>
      </c>
      <c r="J60" t="str">
        <f ca="1">IF(AND($B$294=1,LEN($J$201) * LEN($J$196)&gt;0),$J$201/$J$196*100,HLOOKUP(INDIRECT(ADDRESS(2,COLUMN())),OFFSET($AT$2,0,0,ROW()-1,40),ROW()-1,FALSE))</f>
        <v/>
      </c>
      <c r="K60" t="str">
        <f ca="1">IF(AND($B$294=1,LEN($K$201) * LEN($K$196)&gt;0),$K$201/$K$196*100,HLOOKUP(INDIRECT(ADDRESS(2,COLUMN())),OFFSET($AT$2,0,0,ROW()-1,40),ROW()-1,FALSE))</f>
        <v/>
      </c>
      <c r="L60" t="str">
        <f ca="1">IF(AND($B$294=1,LEN($L$201) * LEN($L$196)&gt;0),$L$201/$L$196*100,HLOOKUP(INDIRECT(ADDRESS(2,COLUMN())),OFFSET($AT$2,0,0,ROW()-1,40),ROW()-1,FALSE))</f>
        <v/>
      </c>
      <c r="M60" t="str">
        <f ca="1">IF(AND($B$294=1,LEN($M$201) * LEN($M$196)&gt;0),$M$201/$M$196*100,HLOOKUP(INDIRECT(ADDRESS(2,COLUMN())),OFFSET($AT$2,0,0,ROW()-1,40),ROW()-1,FALSE))</f>
        <v/>
      </c>
      <c r="N60" t="str">
        <f ca="1">IF(AND($B$294=1,LEN($N$201) * LEN($N$196)&gt;0),$N$201/$N$196*100,HLOOKUP(INDIRECT(ADDRESS(2,COLUMN())),OFFSET($AT$2,0,0,ROW()-1,40),ROW()-1,FALSE))</f>
        <v/>
      </c>
      <c r="O60" t="str">
        <f ca="1">IF(AND($B$294=1,LEN($O$201) * LEN($O$196)&gt;0),$O$201/$O$196*100,HLOOKUP(INDIRECT(ADDRESS(2,COLUMN())),OFFSET($AT$2,0,0,ROW()-1,40),ROW()-1,FALSE))</f>
        <v/>
      </c>
      <c r="P60" t="str">
        <f ca="1">IF(AND($B$294=1,LEN($P$201) * LEN($P$196)&gt;0),$P$201/$P$196*100,HLOOKUP(INDIRECT(ADDRESS(2,COLUMN())),OFFSET($AT$2,0,0,ROW()-1,40),ROW()-1,FALSE))</f>
        <v/>
      </c>
      <c r="Q60" t="str">
        <f ca="1">IF(AND($B$294=1,LEN($Q$201) * LEN($Q$196)&gt;0),$Q$201/$Q$196*100,HLOOKUP(INDIRECT(ADDRESS(2,COLUMN())),OFFSET($AT$2,0,0,ROW()-1,40),ROW()-1,FALSE))</f>
        <v/>
      </c>
      <c r="R60" t="str">
        <f ca="1">IF(AND($B$294=1,LEN($R$201) * LEN($R$196)&gt;0),$R$201/$R$196*100,HLOOKUP(INDIRECT(ADDRESS(2,COLUMN())),OFFSET($AT$2,0,0,ROW()-1,40),ROW()-1,FALSE))</f>
        <v/>
      </c>
      <c r="S60" t="str">
        <f ca="1">IF(AND($B$294=1,LEN($S$201) * LEN($S$196)&gt;0),$S$201/$S$196*100,HLOOKUP(INDIRECT(ADDRESS(2,COLUMN())),OFFSET($AT$2,0,0,ROW()-1,40),ROW()-1,FALSE))</f>
        <v/>
      </c>
      <c r="T60" t="str">
        <f ca="1">IF(AND($B$294=1,LEN($T$201) * LEN($T$196)&gt;0),$T$201/$T$196*100,HLOOKUP(INDIRECT(ADDRESS(2,COLUMN())),OFFSET($AT$2,0,0,ROW()-1,40),ROW()-1,FALSE))</f>
        <v/>
      </c>
      <c r="U60" t="str">
        <f ca="1">IF(AND($B$294=1,LEN($U$201) * LEN($U$196)&gt;0),$U$201/$U$196*100,HLOOKUP(INDIRECT(ADDRESS(2,COLUMN())),OFFSET($AT$2,0,0,ROW()-1,40),ROW()-1,FALSE))</f>
        <v/>
      </c>
      <c r="V60" t="str">
        <f ca="1">IF(AND($B$294=1,LEN($V$201) * LEN($V$196)&gt;0),$V$201/$V$196*100,HLOOKUP(INDIRECT(ADDRESS(2,COLUMN())),OFFSET($AT$2,0,0,ROW()-1,40),ROW()-1,FALSE))</f>
        <v/>
      </c>
      <c r="W60" t="str">
        <f ca="1">IF(AND($B$294=1,LEN($W$201) * LEN($W$196)&gt;0),$W$201/$W$196*100,HLOOKUP(INDIRECT(ADDRESS(2,COLUMN())),OFFSET($AT$2,0,0,ROW()-1,40),ROW()-1,FALSE))</f>
        <v/>
      </c>
      <c r="X60" t="str">
        <f ca="1">IF(AND($B$294=1,LEN($X$201) * LEN($X$196)&gt;0),$X$201/$X$196*100,HLOOKUP(INDIRECT(ADDRESS(2,COLUMN())),OFFSET($AT$2,0,0,ROW()-1,40),ROW()-1,FALSE))</f>
        <v/>
      </c>
      <c r="Y60" t="str">
        <f ca="1">IF(AND($B$294=1,LEN($Y$201) * LEN($Y$196)&gt;0),$Y$201/$Y$196*100,HLOOKUP(INDIRECT(ADDRESS(2,COLUMN())),OFFSET($AT$2,0,0,ROW()-1,40),ROW()-1,FALSE))</f>
        <v/>
      </c>
      <c r="Z60" t="str">
        <f ca="1">IF(AND($B$294=1,LEN($Z$201) * LEN($Z$196)&gt;0),$Z$201/$Z$196*100,HLOOKUP(INDIRECT(ADDRESS(2,COLUMN())),OFFSET($AT$2,0,0,ROW()-1,40),ROW()-1,FALSE))</f>
        <v/>
      </c>
      <c r="AA60" t="str">
        <f ca="1">IF(AND($B$294=1,LEN($AA$201) * LEN($AA$196)&gt;0),$AA$201/$AA$196*100,HLOOKUP(INDIRECT(ADDRESS(2,COLUMN())),OFFSET($AT$2,0,0,ROW()-1,40),ROW()-1,FALSE))</f>
        <v/>
      </c>
      <c r="AB60" t="str">
        <f ca="1">IF(AND($B$294=1,LEN($AB$201) * LEN($AB$196)&gt;0),$AB$201/$AB$196*100,HLOOKUP(INDIRECT(ADDRESS(2,COLUMN())),OFFSET($AT$2,0,0,ROW()-1,40),ROW()-1,FALSE))</f>
        <v/>
      </c>
      <c r="AC60" t="str">
        <f ca="1">IF(AND($B$294=1,LEN($AC$201) * LEN($AC$196)&gt;0),$AC$201/$AC$196*100,HLOOKUP(INDIRECT(ADDRESS(2,COLUMN())),OFFSET($AT$2,0,0,ROW()-1,40),ROW()-1,FALSE))</f>
        <v/>
      </c>
      <c r="AD60" t="str">
        <f ca="1">IF(AND($B$294=1,LEN($AD$201) * LEN($AD$196)&gt;0),$AD$201/$AD$196*100,HLOOKUP(INDIRECT(ADDRESS(2,COLUMN())),OFFSET($AT$2,0,0,ROW()-1,40),ROW()-1,FALSE))</f>
        <v/>
      </c>
      <c r="AE60" t="str">
        <f ca="1">IF(AND($B$294=1,LEN($AE$201) * LEN($AE$196)&gt;0),$AE$201/$AE$196*100,HLOOKUP(INDIRECT(ADDRESS(2,COLUMN())),OFFSET($AT$2,0,0,ROW()-1,40),ROW()-1,FALSE))</f>
        <v/>
      </c>
      <c r="AF60" t="str">
        <f ca="1">IF(AND($B$294=1,LEN($AF$201) * LEN($AF$196)&gt;0),$AF$201/$AF$196*100,HLOOKUP(INDIRECT(ADDRESS(2,COLUMN())),OFFSET($AT$2,0,0,ROW()-1,40),ROW()-1,FALSE))</f>
        <v/>
      </c>
      <c r="AG60" t="str">
        <f ca="1">IF(AND($B$294=1,LEN($AG$201) * LEN($AG$196)&gt;0),$AG$201/$AG$196*100,HLOOKUP(INDIRECT(ADDRESS(2,COLUMN())),OFFSET($AT$2,0,0,ROW()-1,40),ROW()-1,FALSE))</f>
        <v/>
      </c>
      <c r="AH60" t="str">
        <f ca="1">IF(AND($B$294=1,LEN($AH$201) * LEN($AH$196)&gt;0),$AH$201/$AH$196*100,HLOOKUP(INDIRECT(ADDRESS(2,COLUMN())),OFFSET($AT$2,0,0,ROW()-1,40),ROW()-1,FALSE))</f>
        <v/>
      </c>
      <c r="AI60" t="str">
        <f ca="1">IF(AND($B$294=1,LEN($AI$201) * LEN($AI$196)&gt;0),$AI$201/$AI$196*100,HLOOKUP(INDIRECT(ADDRESS(2,COLUMN())),OFFSET($AT$2,0,0,ROW()-1,40),ROW()-1,FALSE))</f>
        <v/>
      </c>
      <c r="AJ60" t="str">
        <f ca="1">IF(AND($B$294=1,LEN($AJ$201) * LEN($AJ$196)&gt;0),$AJ$201/$AJ$196*100,HLOOKUP(INDIRECT(ADDRESS(2,COLUMN())),OFFSET($AT$2,0,0,ROW()-1,40),ROW()-1,FALSE))</f>
        <v/>
      </c>
      <c r="AK60" t="str">
        <f ca="1">IF(AND($B$294=1,LEN($AK$201) * LEN($AK$196)&gt;0),$AK$201/$AK$196*100,HLOOKUP(INDIRECT(ADDRESS(2,COLUMN())),OFFSET($AT$2,0,0,ROW()-1,40),ROW()-1,FALSE))</f>
        <v/>
      </c>
      <c r="AL60" t="str">
        <f ca="1">IF(AND($B$294=1,LEN($AL$201) * LEN($AL$196)&gt;0),$AL$201/$AL$196*100,HLOOKUP(INDIRECT(ADDRESS(2,COLUMN())),OFFSET($AT$2,0,0,ROW()-1,40),ROW()-1,FALSE))</f>
        <v/>
      </c>
      <c r="AM60" t="str">
        <f ca="1">IF(AND($B$294=1,LEN($AM$201) * LEN($AM$196)&gt;0),$AM$201/$AM$196*100,HLOOKUP(INDIRECT(ADDRESS(2,COLUMN())),OFFSET($AT$2,0,0,ROW()-1,40),ROW()-1,FALSE))</f>
        <v/>
      </c>
      <c r="AN60" t="str">
        <f ca="1">IF(AND($B$294=1,LEN($AN$201) * LEN($AN$196)&gt;0),$AN$201/$AN$196*100,HLOOKUP(INDIRECT(ADDRESS(2,COLUMN())),OFFSET($AT$2,0,0,ROW()-1,40),ROW()-1,FALSE))</f>
        <v/>
      </c>
      <c r="AO60" t="str">
        <f ca="1">IF(AND($B$294=1,LEN($AO$201) * LEN($AO$196)&gt;0),$AO$201/$AO$196*100,HLOOKUP(INDIRECT(ADDRESS(2,COLUMN())),OFFSET($AT$2,0,0,ROW()-1,40),ROW()-1,FALSE))</f>
        <v/>
      </c>
      <c r="AP60" t="str">
        <f ca="1">IF(AND($B$294=1,LEN($AP$201) * LEN($AP$196)&gt;0),$AP$201/$AP$196*100,HLOOKUP(INDIRECT(ADDRESS(2,COLUMN())),OFFSET($AT$2,0,0,ROW()-1,40),ROW()-1,FALSE))</f>
        <v/>
      </c>
      <c r="AQ60" t="str">
        <f ca="1">IF(AND($B$294=1,LEN($AQ$201) * LEN($AQ$196)&gt;0),$AQ$201/$AQ$196*100,HLOOKUP(INDIRECT(ADDRESS(2,COLUMN())),OFFSET($AT$2,0,0,ROW()-1,40),ROW()-1,FALSE))</f>
        <v/>
      </c>
      <c r="AR60" t="str">
        <f ca="1">IF(AND($B$294=1,LEN($AR$201) * LEN($AR$196)&gt;0),$AR$201/$AR$196*100,HLOOKUP(INDIRECT(ADDRESS(2,COLUMN())),OFFSET($AT$2,0,0,ROW()-1,40),ROW()-1,FALSE))</f>
        <v/>
      </c>
      <c r="AS60" t="str">
        <f ca="1">IF(AND($B$294=1,LEN($AS$201) * LEN($AS$196)&gt;0),$AS$201/$AS$196*100,HLOOKUP(INDIRECT(ADDRESS(2,COLUMN())),OFFSET($AT$2,0,0,ROW()-1,40),ROW()-1,FALSE))</f>
        <v/>
      </c>
      <c r="AT60" t="str">
        <f>""</f>
        <v/>
      </c>
      <c r="AU60" t="str">
        <f>""</f>
        <v/>
      </c>
      <c r="AV60" t="str">
        <f>""</f>
        <v/>
      </c>
      <c r="AW60" t="str">
        <f>""</f>
        <v/>
      </c>
      <c r="AX60" t="str">
        <f>""</f>
        <v/>
      </c>
      <c r="AY60" t="str">
        <f>""</f>
        <v/>
      </c>
      <c r="AZ60" t="str">
        <f>""</f>
        <v/>
      </c>
      <c r="BA60" t="str">
        <f>""</f>
        <v/>
      </c>
      <c r="BB60" t="str">
        <f>""</f>
        <v/>
      </c>
      <c r="BC60" t="str">
        <f>""</f>
        <v/>
      </c>
      <c r="BD60" t="str">
        <f>""</f>
        <v/>
      </c>
      <c r="BE60" t="str">
        <f>""</f>
        <v/>
      </c>
      <c r="BF60" t="str">
        <f>""</f>
        <v/>
      </c>
      <c r="BG60" t="str">
        <f>""</f>
        <v/>
      </c>
      <c r="BH60" t="str">
        <f>""</f>
        <v/>
      </c>
      <c r="BI60" t="str">
        <f>""</f>
        <v/>
      </c>
      <c r="BJ60" t="str">
        <f>""</f>
        <v/>
      </c>
      <c r="BK60" t="str">
        <f>""</f>
        <v/>
      </c>
      <c r="BL60" t="str">
        <f>""</f>
        <v/>
      </c>
      <c r="BM60" t="str">
        <f>""</f>
        <v/>
      </c>
      <c r="BN60" t="str">
        <f>""</f>
        <v/>
      </c>
      <c r="BO60" t="str">
        <f>""</f>
        <v/>
      </c>
      <c r="BP60" t="str">
        <f>""</f>
        <v/>
      </c>
      <c r="BQ60" t="str">
        <f>""</f>
        <v/>
      </c>
      <c r="BR60" t="str">
        <f>""</f>
        <v/>
      </c>
      <c r="BS60" t="str">
        <f>""</f>
        <v/>
      </c>
      <c r="BT60" t="str">
        <f>""</f>
        <v/>
      </c>
      <c r="BU60" t="str">
        <f>""</f>
        <v/>
      </c>
      <c r="BV60" t="str">
        <f>""</f>
        <v/>
      </c>
      <c r="BW60" t="str">
        <f>""</f>
        <v/>
      </c>
      <c r="BX60" t="str">
        <f>""</f>
        <v/>
      </c>
      <c r="BY60" t="str">
        <f>""</f>
        <v/>
      </c>
      <c r="BZ60" t="str">
        <f>""</f>
        <v/>
      </c>
      <c r="CA60" t="str">
        <f>""</f>
        <v/>
      </c>
      <c r="CB60" t="str">
        <f>""</f>
        <v/>
      </c>
      <c r="CC60" t="str">
        <f>""</f>
        <v/>
      </c>
      <c r="CD60" t="str">
        <f>""</f>
        <v/>
      </c>
      <c r="CE60" t="str">
        <f>""</f>
        <v/>
      </c>
      <c r="CF60" t="str">
        <f>""</f>
        <v/>
      </c>
      <c r="CG60" t="str">
        <f>""</f>
        <v/>
      </c>
    </row>
    <row r="61" spans="1:85" x14ac:dyDescent="0.25">
      <c r="A61" t="str">
        <f>"    Volvo"</f>
        <v xml:space="preserve">    Volvo</v>
      </c>
      <c r="B61" t="str">
        <f>"VOLVB SS Equity"</f>
        <v>VOLVB SS Equity</v>
      </c>
      <c r="E61" t="str">
        <f>"Sum"</f>
        <v>Sum</v>
      </c>
      <c r="F61">
        <f ca="1">IF(ISERROR(IF(SUM($F$62:$F$63) = 0, "", SUM($F$62:$F$63))), "", (IF(SUM($F$62:$F$63) = 0, "", SUM($F$62:$F$63))))</f>
        <v>1.7536867269999998</v>
      </c>
      <c r="G61">
        <f ca="1">IF(ISERROR(IF(SUM($G$62:$G$63) = 0, "", SUM($G$62:$G$63))), "", (IF(SUM($G$62:$G$63) = 0, "", SUM($G$62:$G$63))))</f>
        <v>1.5873015879999999</v>
      </c>
      <c r="H61">
        <f ca="1">IF(ISERROR(IF(SUM($H$62:$H$63) = 0, "", SUM($H$62:$H$63))), "", (IF(SUM($H$62:$H$63) = 0, "", SUM($H$62:$H$63))))</f>
        <v>0.97130242900000008</v>
      </c>
      <c r="I61">
        <f ca="1">IF(ISERROR(IF(SUM($I$62:$I$63) = 0, "", SUM($I$62:$I$63))), "", (IF(SUM($I$62:$I$63) = 0, "", SUM($I$62:$I$63))))</f>
        <v>1.3262599470000001</v>
      </c>
      <c r="J61">
        <f ca="1">IF(ISERROR(IF(SUM($J$62:$J$63) = 0, "", SUM($J$62:$J$63))), "", (IF(SUM($J$62:$J$63) = 0, "", SUM($J$62:$J$63))))</f>
        <v>2.1464646460000001</v>
      </c>
      <c r="K61">
        <f ca="1">IF(ISERROR(IF(SUM($K$62:$K$63) = 0, "", SUM($K$62:$K$63))), "", (IF(SUM($K$62:$K$63) = 0, "", SUM($K$62:$K$63))))</f>
        <v>4.5197740120000001</v>
      </c>
      <c r="L61">
        <f ca="1">IF(ISERROR(IF(SUM($L$62:$L$63) = 0, "", SUM($L$62:$L$63))), "", (IF(SUM($L$62:$L$63) = 0, "", SUM($L$62:$L$63))))</f>
        <v>2.5500910750000001</v>
      </c>
      <c r="M61">
        <f ca="1">IF(ISERROR(IF(SUM($M$62:$M$63) = 0, "", SUM($M$62:$M$63))), "", (IF(SUM($M$62:$M$63) = 0, "", SUM($M$62:$M$63))))</f>
        <v>4.6684974500000003</v>
      </c>
      <c r="N61">
        <f ca="1">IF(ISERROR(IF(SUM($N$62:$N$63) = 0, "", SUM($N$62:$N$63))), "", (IF(SUM($N$62:$N$63) = 0, "", SUM($N$62:$N$63))))</f>
        <v>5.1961283749999998</v>
      </c>
      <c r="O61">
        <f ca="1">IF(ISERROR(IF(SUM($O$62:$O$63) = 0, "", SUM($O$62:$O$63))), "", (IF(SUM($O$62:$O$63) = 0, "", SUM($O$62:$O$63))))</f>
        <v>2.8205128209999999</v>
      </c>
      <c r="P61">
        <f ca="1">IF(ISERROR(IF(SUM($P$62:$P$63) = 0, "", SUM($P$62:$P$63))), "", (IF(SUM($P$62:$P$63) = 0, "", SUM($P$62:$P$63))))</f>
        <v>2.778448901</v>
      </c>
      <c r="Q61">
        <f ca="1">IF(ISERROR(IF(SUM($Q$62:$Q$63) = 0, "", SUM($Q$62:$Q$63))), "", (IF(SUM($Q$62:$Q$63) = 0, "", SUM($Q$62:$Q$63))))</f>
        <v>1.75704332</v>
      </c>
      <c r="R61">
        <f ca="1">IF(ISERROR(IF(SUM($R$62:$R$63) = 0, "", SUM($R$62:$R$63))), "", (IF(SUM($R$62:$R$63) = 0, "", SUM($R$62:$R$63))))</f>
        <v>1.998597475</v>
      </c>
      <c r="S61">
        <f ca="1">IF(ISERROR(IF(SUM($S$62:$S$63) = 0, "", SUM($S$62:$S$63))), "", (IF(SUM($S$62:$S$63) = 0, "", SUM($S$62:$S$63))))</f>
        <v>2.150537634</v>
      </c>
      <c r="T61">
        <f ca="1">IF(ISERROR(IF(SUM($T$62:$T$63) = 0, "", SUM($T$62:$T$63))), "", (IF(SUM($T$62:$T$63) = 0, "", SUM($T$62:$T$63))))</f>
        <v>3.3798056609999998</v>
      </c>
      <c r="U61">
        <f ca="1">IF(ISERROR(IF(SUM($U$62:$U$63) = 0, "", SUM($U$62:$U$63))), "", (IF(SUM($U$62:$U$63) = 0, "", SUM($U$62:$U$63))))</f>
        <v>2.4064171119999997</v>
      </c>
      <c r="V61">
        <f ca="1">IF(ISERROR(IF(SUM($V$62:$V$63) = 0, "", SUM($V$62:$V$63))), "", (IF(SUM($V$62:$V$63) = 0, "", SUM($V$62:$V$63))))</f>
        <v>2.089817697</v>
      </c>
      <c r="W61">
        <f ca="1">IF(ISERROR(IF(SUM($W$62:$W$63) = 0, "", SUM($W$62:$W$63))), "", (IF(SUM($W$62:$W$63) = 0, "", SUM($W$62:$W$63))))</f>
        <v>3.5095715589999998</v>
      </c>
      <c r="X61">
        <f ca="1">IF(ISERROR(IF(SUM($X$62:$X$63) = 0, "", SUM($X$62:$X$63))), "", (IF(SUM($X$62:$X$63) = 0, "", SUM($X$62:$X$63))))</f>
        <v>3.2034632040000002</v>
      </c>
      <c r="Y61">
        <f ca="1">IF(ISERROR(IF(SUM($Y$62:$Y$63) = 0, "", SUM($Y$62:$Y$63))), "", (IF(SUM($Y$62:$Y$63) = 0, "", SUM($Y$62:$Y$63))))</f>
        <v>5.511811024</v>
      </c>
      <c r="Z61">
        <f ca="1">IF(ISERROR(IF(SUM($Z$62:$Z$63) = 0, "", SUM($Z$62:$Z$63))), "", (IF(SUM($Z$62:$Z$63) = 0, "", SUM($Z$62:$Z$63))))</f>
        <v>1.742696053</v>
      </c>
      <c r="AA61">
        <f ca="1">IF(ISERROR(IF(SUM($AA$62:$AA$63) = 0, "", SUM($AA$62:$AA$63))), "", (IF(SUM($AA$62:$AA$63) = 0, "", SUM($AA$62:$AA$63))))</f>
        <v>1.8479408660000001</v>
      </c>
      <c r="AB61">
        <f ca="1">IF(ISERROR(IF(SUM($AB$62:$AB$63) = 0, "", SUM($AB$62:$AB$63))), "", (IF(SUM($AB$62:$AB$63) = 0, "", SUM($AB$62:$AB$63))))</f>
        <v>9.186351706</v>
      </c>
      <c r="AC61">
        <f ca="1">IF(ISERROR(IF(SUM($AC$62:$AC$63) = 0, "", SUM($AC$62:$AC$63))), "", (IF(SUM($AC$62:$AC$63) = 0, "", SUM($AC$62:$AC$63))))</f>
        <v>7.0588235299999997</v>
      </c>
      <c r="AD61">
        <f ca="1">IF(ISERROR(IF(SUM($AD$62:$AD$63) = 0, "", SUM($AD$62:$AD$63))), "", (IF(SUM($AD$62:$AD$63) = 0, "", SUM($AD$62:$AD$63))))</f>
        <v>3.7400654510000004</v>
      </c>
      <c r="AE61">
        <f ca="1">IF(ISERROR(IF(SUM($AE$62:$AE$63) = 0, "", SUM($AE$62:$AE$63))), "", (IF(SUM($AE$62:$AE$63) = 0, "", SUM($AE$62:$AE$63))))</f>
        <v>5.665280665</v>
      </c>
      <c r="AF61">
        <f ca="1">IF(ISERROR(IF(SUM($AF$62:$AF$63) = 0, "", SUM($AF$62:$AF$63))), "", (IF(SUM($AF$62:$AF$63) = 0, "", SUM($AF$62:$AF$63))))</f>
        <v>7.3792486579999998</v>
      </c>
      <c r="AG61">
        <f ca="1">IF(ISERROR(IF(SUM($AG$62:$AG$63) = 0, "", SUM($AG$62:$AG$63))), "", (IF(SUM($AG$62:$AG$63) = 0, "", SUM($AG$62:$AG$63))))</f>
        <v>6.9151324660000002</v>
      </c>
      <c r="AH61">
        <f ca="1">IF(ISERROR(IF(SUM($AH$62:$AH$63) = 0, "", SUM($AH$62:$AH$63))), "", (IF(SUM($AH$62:$AH$63) = 0, "", SUM($AH$62:$AH$63))))</f>
        <v>5.1174934719999996</v>
      </c>
      <c r="AI61">
        <f ca="1">IF(ISERROR(IF(SUM($AI$62:$AI$63) = 0, "", SUM($AI$62:$AI$63))), "", (IF(SUM($AI$62:$AI$63) = 0, "", SUM($AI$62:$AI$63))))</f>
        <v>14.294015112</v>
      </c>
      <c r="AJ61">
        <f ca="1">IF(ISERROR(IF(SUM($AJ$62:$AJ$63) = 0, "", SUM($AJ$62:$AJ$63))), "", (IF(SUM($AJ$62:$AJ$63) = 0, "", SUM($AJ$62:$AJ$63))))</f>
        <v>2.17503884</v>
      </c>
      <c r="AK61">
        <f ca="1">IF(ISERROR(IF(SUM($AK$62:$AK$63) = 0, "", SUM($AK$62:$AK$63))), "", (IF(SUM($AK$62:$AK$63) = 0, "", SUM($AK$62:$AK$63))))</f>
        <v>2.1790341579999999</v>
      </c>
      <c r="AL61">
        <f ca="1">IF(ISERROR(IF(SUM($AL$62:$AL$63) = 0, "", SUM($AL$62:$AL$63))), "", (IF(SUM($AL$62:$AL$63) = 0, "", SUM($AL$62:$AL$63))))</f>
        <v>9.060773481</v>
      </c>
      <c r="AM61">
        <f ca="1">IF(ISERROR(IF(SUM($AM$62:$AM$63) = 0, "", SUM($AM$62:$AM$63))), "", (IF(SUM($AM$62:$AM$63) = 0, "", SUM($AM$62:$AM$63))))</f>
        <v>4.2261904760000002</v>
      </c>
      <c r="AN61">
        <f ca="1">IF(ISERROR(IF(SUM($AN$62:$AN$63) = 0, "", SUM($AN$62:$AN$63))), "", (IF(SUM($AN$62:$AN$63) = 0, "", SUM($AN$62:$AN$63))))</f>
        <v>4.8433048430000003</v>
      </c>
      <c r="AO61">
        <f ca="1">IF(ISERROR(IF(SUM($AO$62:$AO$63) = 0, "", SUM($AO$62:$AO$63))), "", (IF(SUM($AO$62:$AO$63) = 0, "", SUM($AO$62:$AO$63))))</f>
        <v>4.8144876320000005</v>
      </c>
      <c r="AP61">
        <f ca="1">IF(ISERROR(IF(SUM($AP$62:$AP$63) = 0, "", SUM($AP$62:$AP$63))), "", (IF(SUM($AP$62:$AP$63) = 0, "", SUM($AP$62:$AP$63))))</f>
        <v>4.8055919610000002</v>
      </c>
      <c r="AQ61">
        <f ca="1">IF(ISERROR(IF(SUM($AQ$62:$AQ$63) = 0, "", SUM($AQ$62:$AQ$63))), "", (IF(SUM($AQ$62:$AQ$63) = 0, "", SUM($AQ$62:$AQ$63))))</f>
        <v>7.7437325909999997</v>
      </c>
      <c r="AR61">
        <f ca="1">IF(ISERROR(IF(SUM($AR$62:$AR$63) = 0, "", SUM($AR$62:$AR$63))), "", (IF(SUM($AR$62:$AR$63) = 0, "", SUM($AR$62:$AR$63))))</f>
        <v>7.2675790469999999</v>
      </c>
      <c r="AS61">
        <f ca="1">IF(ISERROR(IF(SUM($AS$62:$AS$63) = 0, "", SUM($AS$62:$AS$63))), "", (IF(SUM($AS$62:$AS$63) = 0, "", SUM($AS$62:$AS$63))))</f>
        <v>6.6135084430000006</v>
      </c>
      <c r="AT61">
        <f>1.753686728</f>
        <v>1.7536867279999999</v>
      </c>
      <c r="AU61">
        <f>1.587301587</f>
        <v>1.587301587</v>
      </c>
      <c r="AV61">
        <f>0.971302428</f>
        <v>0.971302428</v>
      </c>
      <c r="AW61">
        <f>1.326259947</f>
        <v>1.3262599470000001</v>
      </c>
      <c r="AX61">
        <f>2.146464646</f>
        <v>2.1464646460000001</v>
      </c>
      <c r="AY61">
        <f>4.519774011</f>
        <v>4.519774011</v>
      </c>
      <c r="AZ61">
        <f>2.550091075</f>
        <v>2.5500910750000001</v>
      </c>
      <c r="BA61">
        <f>4.66849745</f>
        <v>4.6684974500000003</v>
      </c>
      <c r="BB61">
        <f>5.196128375</f>
        <v>5.1961283749999998</v>
      </c>
      <c r="BC61">
        <f>2.820512821</f>
        <v>2.8205128209999999</v>
      </c>
      <c r="BD61">
        <f>2.778448901</f>
        <v>2.778448901</v>
      </c>
      <c r="BE61">
        <f>1.75704332</f>
        <v>1.75704332</v>
      </c>
      <c r="BF61">
        <f>1.998597475</f>
        <v>1.998597475</v>
      </c>
      <c r="BG61">
        <f>2.150537634</f>
        <v>2.150537634</v>
      </c>
      <c r="BH61">
        <f>3.379805661</f>
        <v>3.3798056609999998</v>
      </c>
      <c r="BI61">
        <f>2.406417112</f>
        <v>2.4064171120000002</v>
      </c>
      <c r="BJ61">
        <f>2.089817697</f>
        <v>2.089817697</v>
      </c>
      <c r="BK61">
        <f>3.509571559</f>
        <v>3.5095715589999998</v>
      </c>
      <c r="BL61">
        <f>3.203463203</f>
        <v>3.2034632030000001</v>
      </c>
      <c r="BM61">
        <f>5.511811024</f>
        <v>5.511811024</v>
      </c>
      <c r="BN61">
        <f>1.742696053</f>
        <v>1.742696053</v>
      </c>
      <c r="BO61">
        <f>1.847940866</f>
        <v>1.8479408660000001</v>
      </c>
      <c r="BP61">
        <f>9.186351706</f>
        <v>9.186351706</v>
      </c>
      <c r="BQ61">
        <f>7.058823529</f>
        <v>7.0588235289999997</v>
      </c>
      <c r="BR61">
        <f>3.740065451</f>
        <v>3.740065451</v>
      </c>
      <c r="BS61">
        <f>5.665280665</f>
        <v>5.665280665</v>
      </c>
      <c r="BT61">
        <f>7.379248658</f>
        <v>7.3792486579999998</v>
      </c>
      <c r="BU61">
        <f>6.915132465</f>
        <v>6.9151324650000001</v>
      </c>
      <c r="BV61">
        <f>5.117493473</f>
        <v>5.1174934729999997</v>
      </c>
      <c r="BW61">
        <f>14.29401511</f>
        <v>14.29401511</v>
      </c>
      <c r="BX61">
        <f>2.17503884</f>
        <v>2.17503884</v>
      </c>
      <c r="BY61">
        <f>2.179034158</f>
        <v>2.1790341579999999</v>
      </c>
      <c r="BZ61">
        <f>9.060773481</f>
        <v>9.060773481</v>
      </c>
      <c r="CA61">
        <f>4.226190476</f>
        <v>4.2261904760000002</v>
      </c>
      <c r="CB61">
        <f>4.843304843</f>
        <v>4.8433048430000003</v>
      </c>
      <c r="CC61">
        <f>4.814487633</f>
        <v>4.8144876329999997</v>
      </c>
      <c r="CD61">
        <f>4.805591962</f>
        <v>4.8055919620000003</v>
      </c>
      <c r="CE61">
        <f>7.743732591</f>
        <v>7.7437325909999997</v>
      </c>
      <c r="CF61">
        <f>7.267579047</f>
        <v>7.2675790469999999</v>
      </c>
      <c r="CG61">
        <f>6.613508443</f>
        <v>6.6135084429999997</v>
      </c>
    </row>
    <row r="62" spans="1:85" x14ac:dyDescent="0.25">
      <c r="A62" t="str">
        <f>"        Volvo Truck"</f>
        <v xml:space="preserve">        Volvo Truck</v>
      </c>
      <c r="B62" t="str">
        <f>"VOLVB SS Equity"</f>
        <v>VOLVB SS Equity</v>
      </c>
      <c r="E62" t="str">
        <f>"Expression"</f>
        <v>Expression</v>
      </c>
      <c r="F62">
        <f ca="1">IF(AND($B$294=1,LEN($F$202) * LEN($F$196)&gt;0),$F$202/$F$196*100,HLOOKUP(INDIRECT(ADDRESS(2,COLUMN())),OFFSET($AT$2,0,0,ROW()-1,40),ROW()-1,FALSE))</f>
        <v>1.3551215619999999</v>
      </c>
      <c r="G62">
        <f ca="1">IF(AND($B$294=1,LEN($G$202) * LEN($G$196)&gt;0),$G$202/$G$196*100,HLOOKUP(INDIRECT(ADDRESS(2,COLUMN())),OFFSET($AT$2,0,0,ROW()-1,40),ROW()-1,FALSE))</f>
        <v>1.4202172099999999</v>
      </c>
      <c r="H62">
        <f ca="1">IF(AND($B$294=1,LEN($H$202) * LEN($H$196)&gt;0),$H$202/$H$196*100,HLOOKUP(INDIRECT(ADDRESS(2,COLUMN())),OFFSET($AT$2,0,0,ROW()-1,40),ROW()-1,FALSE))</f>
        <v>0.66225165600000002</v>
      </c>
      <c r="I62">
        <f ca="1">IF(AND($B$294=1,LEN($I$202) * LEN($I$196)&gt;0),$I$202/$I$196*100,HLOOKUP(INDIRECT(ADDRESS(2,COLUMN())),OFFSET($AT$2,0,0,ROW()-1,40),ROW()-1,FALSE))</f>
        <v>1.1936339520000001</v>
      </c>
      <c r="J62">
        <f ca="1">IF(AND($B$294=1,LEN($J$202) * LEN($J$196)&gt;0),$J$202/$J$196*100,HLOOKUP(INDIRECT(ADDRESS(2,COLUMN())),OFFSET($AT$2,0,0,ROW()-1,40),ROW()-1,FALSE))</f>
        <v>1.5151515149999999</v>
      </c>
      <c r="K62">
        <f ca="1">IF(AND($B$294=1,LEN($K$202) * LEN($K$196)&gt;0),$K$202/$K$196*100,HLOOKUP(INDIRECT(ADDRESS(2,COLUMN())),OFFSET($AT$2,0,0,ROW()-1,40),ROW()-1,FALSE))</f>
        <v>2.0860495440000002</v>
      </c>
      <c r="L62">
        <f ca="1">IF(AND($B$294=1,LEN($L$202) * LEN($L$196)&gt;0),$L$202/$L$196*100,HLOOKUP(INDIRECT(ADDRESS(2,COLUMN())),OFFSET($AT$2,0,0,ROW()-1,40),ROW()-1,FALSE))</f>
        <v>1.821493625</v>
      </c>
      <c r="M62">
        <f ca="1">IF(AND($B$294=1,LEN($M$202) * LEN($M$196)&gt;0),$M$202/$M$196*100,HLOOKUP(INDIRECT(ADDRESS(2,COLUMN())),OFFSET($AT$2,0,0,ROW()-1,40),ROW()-1,FALSE))</f>
        <v>3.6092585330000002</v>
      </c>
      <c r="N62">
        <f ca="1">IF(AND($B$294=1,LEN($N$202) * LEN($N$196)&gt;0),$N$202/$N$196*100,HLOOKUP(INDIRECT(ADDRESS(2,COLUMN())),OFFSET($AT$2,0,0,ROW()-1,40),ROW()-1,FALSE))</f>
        <v>3.973509934</v>
      </c>
      <c r="O62">
        <f ca="1">IF(AND($B$294=1,LEN($O$202) * LEN($O$196)&gt;0),$O$202/$O$196*100,HLOOKUP(INDIRECT(ADDRESS(2,COLUMN())),OFFSET($AT$2,0,0,ROW()-1,40),ROW()-1,FALSE))</f>
        <v>2</v>
      </c>
      <c r="P62">
        <f ca="1">IF(AND($B$294=1,LEN($P$202) * LEN($P$196)&gt;0),$P$202/$P$196*100,HLOOKUP(INDIRECT(ADDRESS(2,COLUMN())),OFFSET($AT$2,0,0,ROW()-1,40),ROW()-1,FALSE))</f>
        <v>1.8361923170000001</v>
      </c>
      <c r="Q62">
        <f ca="1">IF(AND($B$294=1,LEN($Q$202) * LEN($Q$196)&gt;0),$Q$202/$Q$196*100,HLOOKUP(INDIRECT(ADDRESS(2,COLUMN())),OFFSET($AT$2,0,0,ROW()-1,40),ROW()-1,FALSE))</f>
        <v>1.6055740679999999</v>
      </c>
      <c r="R62">
        <f ca="1">IF(AND($B$294=1,LEN($R$202) * LEN($R$196)&gt;0),$R$202/$R$196*100,HLOOKUP(INDIRECT(ADDRESS(2,COLUMN())),OFFSET($AT$2,0,0,ROW()-1,40),ROW()-1,FALSE))</f>
        <v>1.6479663389999999</v>
      </c>
      <c r="S62">
        <f ca="1">IF(AND($B$294=1,LEN($S$202) * LEN($S$196)&gt;0),$S$202/$S$196*100,HLOOKUP(INDIRECT(ADDRESS(2,COLUMN())),OFFSET($AT$2,0,0,ROW()-1,40),ROW()-1,FALSE))</f>
        <v>1.1494252869999999</v>
      </c>
      <c r="T62">
        <f ca="1">IF(AND($B$294=1,LEN($T$202) * LEN($T$196)&gt;0),$T$202/$T$196*100,HLOOKUP(INDIRECT(ADDRESS(2,COLUMN())),OFFSET($AT$2,0,0,ROW()-1,40),ROW()-1,FALSE))</f>
        <v>3.3375580899999999</v>
      </c>
      <c r="U62">
        <f ca="1">IF(AND($B$294=1,LEN($U$202) * LEN($U$196)&gt;0),$U$202/$U$196*100,HLOOKUP(INDIRECT(ADDRESS(2,COLUMN())),OFFSET($AT$2,0,0,ROW()-1,40),ROW()-1,FALSE))</f>
        <v>1.7647058819999999</v>
      </c>
      <c r="V62">
        <f ca="1">IF(AND($B$294=1,LEN($V$202) * LEN($V$196)&gt;0),$V$202/$V$196*100,HLOOKUP(INDIRECT(ADDRESS(2,COLUMN())),OFFSET($AT$2,0,0,ROW()-1,40),ROW()-1,FALSE))</f>
        <v>1.556247221</v>
      </c>
      <c r="W62">
        <f ca="1">IF(AND($B$294=1,LEN($W$202) * LEN($W$196)&gt;0),$W$202/$W$196*100,HLOOKUP(INDIRECT(ADDRESS(2,COLUMN())),OFFSET($AT$2,0,0,ROW()-1,40),ROW()-1,FALSE))</f>
        <v>2.5979945309999999</v>
      </c>
      <c r="X62">
        <f ca="1">IF(AND($B$294=1,LEN($X$202) * LEN($X$196)&gt;0),$X$202/$X$196*100,HLOOKUP(INDIRECT(ADDRESS(2,COLUMN())),OFFSET($AT$2,0,0,ROW()-1,40),ROW()-1,FALSE))</f>
        <v>2.6839826840000001</v>
      </c>
      <c r="Y62">
        <f ca="1">IF(AND($B$294=1,LEN($Y$202) * LEN($Y$196)&gt;0),$Y$202/$Y$196*100,HLOOKUP(INDIRECT(ADDRESS(2,COLUMN())),OFFSET($AT$2,0,0,ROW()-1,40),ROW()-1,FALSE))</f>
        <v>4.53913849</v>
      </c>
      <c r="Z62">
        <f ca="1">IF(AND($B$294=1,LEN($Z$202) * LEN($Z$196)&gt;0),$Z$202/$Z$196*100,HLOOKUP(INDIRECT(ADDRESS(2,COLUMN())),OFFSET($AT$2,0,0,ROW()-1,40),ROW()-1,FALSE))</f>
        <v>1.537672988</v>
      </c>
      <c r="AA62">
        <f ca="1">IF(AND($B$294=1,LEN($AA$202) * LEN($AA$196)&gt;0),$AA$202/$AA$196*100,HLOOKUP(INDIRECT(ADDRESS(2,COLUMN())),OFFSET($AT$2,0,0,ROW()-1,40),ROW()-1,FALSE))</f>
        <v>1.10876452</v>
      </c>
      <c r="AB62">
        <f ca="1">IF(AND($B$294=1,LEN($AB$202) * LEN($AB$196)&gt;0),$AB$202/$AB$196*100,HLOOKUP(INDIRECT(ADDRESS(2,COLUMN())),OFFSET($AT$2,0,0,ROW()-1,40),ROW()-1,FALSE))</f>
        <v>7.8740157479999997</v>
      </c>
      <c r="AC62">
        <f ca="1">IF(AND($B$294=1,LEN($AC$202) * LEN($AC$196)&gt;0),$AC$202/$AC$196*100,HLOOKUP(INDIRECT(ADDRESS(2,COLUMN())),OFFSET($AT$2,0,0,ROW()-1,40),ROW()-1,FALSE))</f>
        <v>5.37084399</v>
      </c>
      <c r="AD62">
        <f ca="1">IF(AND($B$294=1,LEN($AD$202) * LEN($AD$196)&gt;0),$AD$202/$AD$196*100,HLOOKUP(INDIRECT(ADDRESS(2,COLUMN())),OFFSET($AT$2,0,0,ROW()-1,40),ROW()-1,FALSE))</f>
        <v>2.2440392710000001</v>
      </c>
      <c r="AE62">
        <f ca="1">IF(AND($B$294=1,LEN($AE$202) * LEN($AE$196)&gt;0),$AE$202/$AE$196*100,HLOOKUP(INDIRECT(ADDRESS(2,COLUMN())),OFFSET($AT$2,0,0,ROW()-1,40),ROW()-1,FALSE))</f>
        <v>3.6382536380000001</v>
      </c>
      <c r="AF62">
        <f ca="1">IF(AND($B$294=1,LEN($AF$202) * LEN($AF$196)&gt;0),$AF$202/$AF$196*100,HLOOKUP(INDIRECT(ADDRESS(2,COLUMN())),OFFSET($AT$2,0,0,ROW()-1,40),ROW()-1,FALSE))</f>
        <v>3.4883720930000002</v>
      </c>
      <c r="AG62">
        <f ca="1">IF(AND($B$294=1,LEN($AG$202) * LEN($AG$196)&gt;0),$AG$202/$AG$196*100,HLOOKUP(INDIRECT(ADDRESS(2,COLUMN())),OFFSET($AT$2,0,0,ROW()-1,40),ROW()-1,FALSE))</f>
        <v>3.7718904360000001</v>
      </c>
      <c r="AH62">
        <f ca="1">IF(AND($B$294=1,LEN($AH$202) * LEN($AH$196)&gt;0),$AH$202/$AH$196*100,HLOOKUP(INDIRECT(ADDRESS(2,COLUMN())),OFFSET($AT$2,0,0,ROW()-1,40),ROW()-1,FALSE))</f>
        <v>3.9164490860000001</v>
      </c>
      <c r="AI62">
        <f ca="1">IF(AND($B$294=1,LEN($AI$202) * LEN($AI$196)&gt;0),$AI$202/$AI$196*100,HLOOKUP(INDIRECT(ADDRESS(2,COLUMN())),OFFSET($AT$2,0,0,ROW()-1,40),ROW()-1,FALSE))</f>
        <v>12.8413713</v>
      </c>
      <c r="AJ62">
        <f ca="1">IF(AND($B$294=1,LEN($AJ$202) * LEN($AJ$196)&gt;0),$AJ$202/$AJ$196*100,HLOOKUP(INDIRECT(ADDRESS(2,COLUMN())),OFFSET($AT$2,0,0,ROW()-1,40),ROW()-1,FALSE))</f>
        <v>0.98394614199999997</v>
      </c>
      <c r="AK62">
        <f ca="1">IF(AND($B$294=1,LEN($AK$202) * LEN($AK$196)&gt;0),$AK$202/$AK$196*100,HLOOKUP(INDIRECT(ADDRESS(2,COLUMN())),OFFSET($AT$2,0,0,ROW()-1,40),ROW()-1,FALSE))</f>
        <v>1.7078916369999999</v>
      </c>
      <c r="AL62">
        <f ca="1">IF(AND($B$294=1,LEN($AL$202) * LEN($AL$196)&gt;0),$AL$202/$AL$196*100,HLOOKUP(INDIRECT(ADDRESS(2,COLUMN())),OFFSET($AT$2,0,0,ROW()-1,40),ROW()-1,FALSE))</f>
        <v>7.4585635359999998</v>
      </c>
      <c r="AM62">
        <f ca="1">IF(AND($B$294=1,LEN($AM$202) * LEN($AM$196)&gt;0),$AM$202/$AM$196*100,HLOOKUP(INDIRECT(ADDRESS(2,COLUMN())),OFFSET($AT$2,0,0,ROW()-1,40),ROW()-1,FALSE))</f>
        <v>3.095238095</v>
      </c>
      <c r="AN62">
        <f ca="1">IF(AND($B$294=1,LEN($AN$202) * LEN($AN$196)&gt;0),$AN$202/$AN$196*100,HLOOKUP(INDIRECT(ADDRESS(2,COLUMN())),OFFSET($AT$2,0,0,ROW()-1,40),ROW()-1,FALSE))</f>
        <v>3.337403337</v>
      </c>
      <c r="AO62">
        <f ca="1">IF(AND($B$294=1,LEN($AO$202) * LEN($AO$196)&gt;0),$AO$202/$AO$196*100,HLOOKUP(INDIRECT(ADDRESS(2,COLUMN())),OFFSET($AT$2,0,0,ROW()-1,40),ROW()-1,FALSE))</f>
        <v>3.3127208480000001</v>
      </c>
      <c r="AP62">
        <f ca="1">IF(AND($B$294=1,LEN($AP$202) * LEN($AP$196)&gt;0),$AP$202/$AP$196*100,HLOOKUP(INDIRECT(ADDRESS(2,COLUMN())),OFFSET($AT$2,0,0,ROW()-1,40),ROW()-1,FALSE))</f>
        <v>3.3202271730000001</v>
      </c>
      <c r="AQ62">
        <f ca="1">IF(AND($B$294=1,LEN($AQ$202) * LEN($AQ$196)&gt;0),$AQ$202/$AQ$196*100,HLOOKUP(INDIRECT(ADDRESS(2,COLUMN())),OFFSET($AT$2,0,0,ROW()-1,40),ROW()-1,FALSE))</f>
        <v>4.6239554319999998</v>
      </c>
      <c r="AR62">
        <f ca="1">IF(AND($B$294=1,LEN($AR$202) * LEN($AR$196)&gt;0),$AR$202/$AR$196*100,HLOOKUP(INDIRECT(ADDRESS(2,COLUMN())),OFFSET($AT$2,0,0,ROW()-1,40),ROW()-1,FALSE))</f>
        <v>5.4270882489999996</v>
      </c>
      <c r="AS62">
        <f ca="1">IF(AND($B$294=1,LEN($AS$202) * LEN($AS$196)&gt;0),$AS$202/$AS$196*100,HLOOKUP(INDIRECT(ADDRESS(2,COLUMN())),OFFSET($AT$2,0,0,ROW()-1,40),ROW()-1,FALSE))</f>
        <v>5.6285178240000002</v>
      </c>
      <c r="AT62">
        <f>1.355121562</f>
        <v>1.3551215619999999</v>
      </c>
      <c r="AU62">
        <f>1.42021721</f>
        <v>1.4202172099999999</v>
      </c>
      <c r="AV62">
        <f>0.662251656</f>
        <v>0.66225165600000002</v>
      </c>
      <c r="AW62">
        <f>1.193633952</f>
        <v>1.1936339520000001</v>
      </c>
      <c r="AX62">
        <f>1.515151515</f>
        <v>1.5151515149999999</v>
      </c>
      <c r="AY62">
        <f>2.086049544</f>
        <v>2.0860495440000002</v>
      </c>
      <c r="AZ62">
        <f>1.821493625</f>
        <v>1.821493625</v>
      </c>
      <c r="BA62">
        <f>3.609258533</f>
        <v>3.6092585330000002</v>
      </c>
      <c r="BB62">
        <f>3.973509934</f>
        <v>3.973509934</v>
      </c>
      <c r="BC62">
        <f>2</f>
        <v>2</v>
      </c>
      <c r="BD62">
        <f>1.836192317</f>
        <v>1.8361923170000001</v>
      </c>
      <c r="BE62">
        <f>1.605574068</f>
        <v>1.6055740679999999</v>
      </c>
      <c r="BF62">
        <f>1.647966339</f>
        <v>1.6479663389999999</v>
      </c>
      <c r="BG62">
        <f>1.149425287</f>
        <v>1.1494252869999999</v>
      </c>
      <c r="BH62">
        <f>3.33755809</f>
        <v>3.3375580899999999</v>
      </c>
      <c r="BI62">
        <f>1.764705882</f>
        <v>1.7647058819999999</v>
      </c>
      <c r="BJ62">
        <f>1.556247221</f>
        <v>1.556247221</v>
      </c>
      <c r="BK62">
        <f>2.597994531</f>
        <v>2.5979945309999999</v>
      </c>
      <c r="BL62">
        <f>2.683982684</f>
        <v>2.6839826840000001</v>
      </c>
      <c r="BM62">
        <f>4.53913849</f>
        <v>4.53913849</v>
      </c>
      <c r="BN62">
        <f>1.537672988</f>
        <v>1.537672988</v>
      </c>
      <c r="BO62">
        <f>1.10876452</f>
        <v>1.10876452</v>
      </c>
      <c r="BP62">
        <f>7.874015748</f>
        <v>7.8740157479999997</v>
      </c>
      <c r="BQ62">
        <f>5.37084399</f>
        <v>5.37084399</v>
      </c>
      <c r="BR62">
        <f>2.244039271</f>
        <v>2.2440392710000001</v>
      </c>
      <c r="BS62">
        <f>3.638253638</f>
        <v>3.6382536380000001</v>
      </c>
      <c r="BT62">
        <f>3.488372093</f>
        <v>3.4883720930000002</v>
      </c>
      <c r="BU62">
        <f>3.771890436</f>
        <v>3.7718904360000001</v>
      </c>
      <c r="BV62">
        <f>3.916449086</f>
        <v>3.9164490860000001</v>
      </c>
      <c r="BW62">
        <f>12.8413713</f>
        <v>12.8413713</v>
      </c>
      <c r="BX62">
        <f>0.983946142</f>
        <v>0.98394614199999997</v>
      </c>
      <c r="BY62">
        <f>1.707891637</f>
        <v>1.7078916369999999</v>
      </c>
      <c r="BZ62">
        <f>7.458563536</f>
        <v>7.4585635359999998</v>
      </c>
      <c r="CA62">
        <f>3.095238095</f>
        <v>3.095238095</v>
      </c>
      <c r="CB62">
        <f>3.337403337</f>
        <v>3.337403337</v>
      </c>
      <c r="CC62">
        <f>3.312720848</f>
        <v>3.3127208480000001</v>
      </c>
      <c r="CD62">
        <f>3.320227173</f>
        <v>3.3202271730000001</v>
      </c>
      <c r="CE62">
        <f>4.623955432</f>
        <v>4.6239554319999998</v>
      </c>
      <c r="CF62">
        <f>5.427088249</f>
        <v>5.4270882489999996</v>
      </c>
      <c r="CG62">
        <f>5.628517824</f>
        <v>5.6285178240000002</v>
      </c>
    </row>
    <row r="63" spans="1:85" x14ac:dyDescent="0.25">
      <c r="A63" t="str">
        <f>"        Mack"</f>
        <v xml:space="preserve">        Mack</v>
      </c>
      <c r="B63" t="str">
        <f>"VOLVB SS Equity"</f>
        <v>VOLVB SS Equity</v>
      </c>
      <c r="E63" t="str">
        <f>"Expression"</f>
        <v>Expression</v>
      </c>
      <c r="F63">
        <f ca="1">IF(AND($B$294=1,LEN($F$203) * LEN($F$196)&gt;0),$F$203/$F$196*100,HLOOKUP(INDIRECT(ADDRESS(2,COLUMN())),OFFSET($AT$2,0,0,ROW()-1,40),ROW()-1,FALSE))</f>
        <v>0.398565165</v>
      </c>
      <c r="G63">
        <f ca="1">IF(AND($B$294=1,LEN($G$203) * LEN($G$196)&gt;0),$G$203/$G$196*100,HLOOKUP(INDIRECT(ADDRESS(2,COLUMN())),OFFSET($AT$2,0,0,ROW()-1,40),ROW()-1,FALSE))</f>
        <v>0.16708437800000001</v>
      </c>
      <c r="H63">
        <f ca="1">IF(AND($B$294=1,LEN($H$203) * LEN($H$196)&gt;0),$H$203/$H$196*100,HLOOKUP(INDIRECT(ADDRESS(2,COLUMN())),OFFSET($AT$2,0,0,ROW()-1,40),ROW()-1,FALSE))</f>
        <v>0.309050773</v>
      </c>
      <c r="I63">
        <f ca="1">IF(AND($B$294=1,LEN($I$203) * LEN($I$196)&gt;0),$I$203/$I$196*100,HLOOKUP(INDIRECT(ADDRESS(2,COLUMN())),OFFSET($AT$2,0,0,ROW()-1,40),ROW()-1,FALSE))</f>
        <v>0.132625995</v>
      </c>
      <c r="J63">
        <f ca="1">IF(AND($B$294=1,LEN($J$203) * LEN($J$196)&gt;0),$J$203/$J$196*100,HLOOKUP(INDIRECT(ADDRESS(2,COLUMN())),OFFSET($AT$2,0,0,ROW()-1,40),ROW()-1,FALSE))</f>
        <v>0.63131313099999997</v>
      </c>
      <c r="K63">
        <f ca="1">IF(AND($B$294=1,LEN($K$203) * LEN($K$196)&gt;0),$K$203/$K$196*100,HLOOKUP(INDIRECT(ADDRESS(2,COLUMN())),OFFSET($AT$2,0,0,ROW()-1,40),ROW()-1,FALSE))</f>
        <v>2.4337244679999999</v>
      </c>
      <c r="L63">
        <f ca="1">IF(AND($B$294=1,LEN($L$203) * LEN($L$196)&gt;0),$L$203/$L$196*100,HLOOKUP(INDIRECT(ADDRESS(2,COLUMN())),OFFSET($AT$2,0,0,ROW()-1,40),ROW()-1,FALSE))</f>
        <v>0.72859744999999998</v>
      </c>
      <c r="M63">
        <f ca="1">IF(AND($B$294=1,LEN($M$203) * LEN($M$196)&gt;0),$M$203/$M$196*100,HLOOKUP(INDIRECT(ADDRESS(2,COLUMN())),OFFSET($AT$2,0,0,ROW()-1,40),ROW()-1,FALSE))</f>
        <v>1.0592389170000001</v>
      </c>
      <c r="N63">
        <f ca="1">IF(AND($B$294=1,LEN($N$203) * LEN($N$196)&gt;0),$N$203/$N$196*100,HLOOKUP(INDIRECT(ADDRESS(2,COLUMN())),OFFSET($AT$2,0,0,ROW()-1,40),ROW()-1,FALSE))</f>
        <v>1.2226184410000001</v>
      </c>
      <c r="O63">
        <f ca="1">IF(AND($B$294=1,LEN($O$203) * LEN($O$196)&gt;0),$O$203/$O$196*100,HLOOKUP(INDIRECT(ADDRESS(2,COLUMN())),OFFSET($AT$2,0,0,ROW()-1,40),ROW()-1,FALSE))</f>
        <v>0.820512821</v>
      </c>
      <c r="P63">
        <f ca="1">IF(AND($B$294=1,LEN($P$203) * LEN($P$196)&gt;0),$P$203/$P$196*100,HLOOKUP(INDIRECT(ADDRESS(2,COLUMN())),OFFSET($AT$2,0,0,ROW()-1,40),ROW()-1,FALSE))</f>
        <v>0.94225658400000001</v>
      </c>
      <c r="Q63">
        <f ca="1">IF(AND($B$294=1,LEN($Q$203) * LEN($Q$196)&gt;0),$Q$203/$Q$196*100,HLOOKUP(INDIRECT(ADDRESS(2,COLUMN())),OFFSET($AT$2,0,0,ROW()-1,40),ROW()-1,FALSE))</f>
        <v>0.151469252</v>
      </c>
      <c r="R63">
        <f ca="1">IF(AND($B$294=1,LEN($R$203) * LEN($R$196)&gt;0),$R$203/$R$196*100,HLOOKUP(INDIRECT(ADDRESS(2,COLUMN())),OFFSET($AT$2,0,0,ROW()-1,40),ROW()-1,FALSE))</f>
        <v>0.35063113600000001</v>
      </c>
      <c r="S63">
        <f ca="1">IF(AND($B$294=1,LEN($S$203) * LEN($S$196)&gt;0),$S$203/$S$196*100,HLOOKUP(INDIRECT(ADDRESS(2,COLUMN())),OFFSET($AT$2,0,0,ROW()-1,40),ROW()-1,FALSE))</f>
        <v>1.0011123470000001</v>
      </c>
      <c r="T63">
        <f ca="1">IF(AND($B$294=1,LEN($T$203) * LEN($T$196)&gt;0),$T$203/$T$196*100,HLOOKUP(INDIRECT(ADDRESS(2,COLUMN())),OFFSET($AT$2,0,0,ROW()-1,40),ROW()-1,FALSE))</f>
        <v>4.2247570999999998E-2</v>
      </c>
      <c r="U63">
        <f ca="1">IF(AND($B$294=1,LEN($U$203) * LEN($U$196)&gt;0),$U$203/$U$196*100,HLOOKUP(INDIRECT(ADDRESS(2,COLUMN())),OFFSET($AT$2,0,0,ROW()-1,40),ROW()-1,FALSE))</f>
        <v>0.64171122999999997</v>
      </c>
      <c r="V63">
        <f ca="1">IF(AND($B$294=1,LEN($V$203) * LEN($V$196)&gt;0),$V$203/$V$196*100,HLOOKUP(INDIRECT(ADDRESS(2,COLUMN())),OFFSET($AT$2,0,0,ROW()-1,40),ROW()-1,FALSE))</f>
        <v>0.53357047599999996</v>
      </c>
      <c r="W63">
        <f ca="1">IF(AND($B$294=1,LEN($W$203) * LEN($W$196)&gt;0),$W$203/$W$196*100,HLOOKUP(INDIRECT(ADDRESS(2,COLUMN())),OFFSET($AT$2,0,0,ROW()-1,40),ROW()-1,FALSE))</f>
        <v>0.91157702799999996</v>
      </c>
      <c r="X63">
        <f ca="1">IF(AND($B$294=1,LEN($X$203) * LEN($X$196)&gt;0),$X$203/$X$196*100,HLOOKUP(INDIRECT(ADDRESS(2,COLUMN())),OFFSET($AT$2,0,0,ROW()-1,40),ROW()-1,FALSE))</f>
        <v>0.51948052</v>
      </c>
      <c r="Y63">
        <f ca="1">IF(AND($B$294=1,LEN($Y$203) * LEN($Y$196)&gt;0),$Y$203/$Y$196*100,HLOOKUP(INDIRECT(ADDRESS(2,COLUMN())),OFFSET($AT$2,0,0,ROW()-1,40),ROW()-1,FALSE))</f>
        <v>0.97267253399999998</v>
      </c>
      <c r="Z63">
        <f ca="1">IF(AND($B$294=1,LEN($Z$203) * LEN($Z$196)&gt;0),$Z$203/$Z$196*100,HLOOKUP(INDIRECT(ADDRESS(2,COLUMN())),OFFSET($AT$2,0,0,ROW()-1,40),ROW()-1,FALSE))</f>
        <v>0.205023065</v>
      </c>
      <c r="AA63">
        <f ca="1">IF(AND($B$294=1,LEN($AA$203) * LEN($AA$196)&gt;0),$AA$203/$AA$196*100,HLOOKUP(INDIRECT(ADDRESS(2,COLUMN())),OFFSET($AT$2,0,0,ROW()-1,40),ROW()-1,FALSE))</f>
        <v>0.73917634600000004</v>
      </c>
      <c r="AB63">
        <f ca="1">IF(AND($B$294=1,LEN($AB$203) * LEN($AB$196)&gt;0),$AB$203/$AB$196*100,HLOOKUP(INDIRECT(ADDRESS(2,COLUMN())),OFFSET($AT$2,0,0,ROW()-1,40),ROW()-1,FALSE))</f>
        <v>1.312335958</v>
      </c>
      <c r="AC63">
        <f ca="1">IF(AND($B$294=1,LEN($AC$203) * LEN($AC$196)&gt;0),$AC$203/$AC$196*100,HLOOKUP(INDIRECT(ADDRESS(2,COLUMN())),OFFSET($AT$2,0,0,ROW()-1,40),ROW()-1,FALSE))</f>
        <v>1.6879795399999999</v>
      </c>
      <c r="AD63">
        <f ca="1">IF(AND($B$294=1,LEN($AD$203) * LEN($AD$196)&gt;0),$AD$203/$AD$196*100,HLOOKUP(INDIRECT(ADDRESS(2,COLUMN())),OFFSET($AT$2,0,0,ROW()-1,40),ROW()-1,FALSE))</f>
        <v>1.4960261800000001</v>
      </c>
      <c r="AE63">
        <f ca="1">IF(AND($B$294=1,LEN($AE$203) * LEN($AE$196)&gt;0),$AE$203/$AE$196*100,HLOOKUP(INDIRECT(ADDRESS(2,COLUMN())),OFFSET($AT$2,0,0,ROW()-1,40),ROW()-1,FALSE))</f>
        <v>2.0270270269999999</v>
      </c>
      <c r="AF63">
        <f ca="1">IF(AND($B$294=1,LEN($AF$203) * LEN($AF$196)&gt;0),$AF$203/$AF$196*100,HLOOKUP(INDIRECT(ADDRESS(2,COLUMN())),OFFSET($AT$2,0,0,ROW()-1,40),ROW()-1,FALSE))</f>
        <v>3.8908765650000001</v>
      </c>
      <c r="AG63">
        <f ca="1">IF(AND($B$294=1,LEN($AG$203) * LEN($AG$196)&gt;0),$AG$203/$AG$196*100,HLOOKUP(INDIRECT(ADDRESS(2,COLUMN())),OFFSET($AT$2,0,0,ROW()-1,40),ROW()-1,FALSE))</f>
        <v>3.1432420300000001</v>
      </c>
      <c r="AH63">
        <f ca="1">IF(AND($B$294=1,LEN($AH$203) * LEN($AH$196)&gt;0),$AH$203/$AH$196*100,HLOOKUP(INDIRECT(ADDRESS(2,COLUMN())),OFFSET($AT$2,0,0,ROW()-1,40),ROW()-1,FALSE))</f>
        <v>1.201044386</v>
      </c>
      <c r="AI63">
        <f ca="1">IF(AND($B$294=1,LEN($AI$203) * LEN($AI$196)&gt;0),$AI$203/$AI$196*100,HLOOKUP(INDIRECT(ADDRESS(2,COLUMN())),OFFSET($AT$2,0,0,ROW()-1,40),ROW()-1,FALSE))</f>
        <v>1.452643812</v>
      </c>
      <c r="AJ63">
        <f ca="1">IF(AND($B$294=1,LEN($AJ$203) * LEN($AJ$196)&gt;0),$AJ$203/$AJ$196*100,HLOOKUP(INDIRECT(ADDRESS(2,COLUMN())),OFFSET($AT$2,0,0,ROW()-1,40),ROW()-1,FALSE))</f>
        <v>1.1910926980000001</v>
      </c>
      <c r="AK63">
        <f ca="1">IF(AND($B$294=1,LEN($AK$203) * LEN($AK$196)&gt;0),$AK$203/$AK$196*100,HLOOKUP(INDIRECT(ADDRESS(2,COLUMN())),OFFSET($AT$2,0,0,ROW()-1,40),ROW()-1,FALSE))</f>
        <v>0.47114252099999998</v>
      </c>
      <c r="AL63">
        <f ca="1">IF(AND($B$294=1,LEN($AL$203) * LEN($AL$196)&gt;0),$AL$203/$AL$196*100,HLOOKUP(INDIRECT(ADDRESS(2,COLUMN())),OFFSET($AT$2,0,0,ROW()-1,40),ROW()-1,FALSE))</f>
        <v>1.602209945</v>
      </c>
      <c r="AM63">
        <f ca="1">IF(AND($B$294=1,LEN($AM$203) * LEN($AM$196)&gt;0),$AM$203/$AM$196*100,HLOOKUP(INDIRECT(ADDRESS(2,COLUMN())),OFFSET($AT$2,0,0,ROW()-1,40),ROW()-1,FALSE))</f>
        <v>1.130952381</v>
      </c>
      <c r="AN63">
        <f ca="1">IF(AND($B$294=1,LEN($AN$203) * LEN($AN$196)&gt;0),$AN$203/$AN$196*100,HLOOKUP(INDIRECT(ADDRESS(2,COLUMN())),OFFSET($AT$2,0,0,ROW()-1,40),ROW()-1,FALSE))</f>
        <v>1.5059015060000001</v>
      </c>
      <c r="AO63">
        <f ca="1">IF(AND($B$294=1,LEN($AO$203) * LEN($AO$196)&gt;0),$AO$203/$AO$196*100,HLOOKUP(INDIRECT(ADDRESS(2,COLUMN())),OFFSET($AT$2,0,0,ROW()-1,40),ROW()-1,FALSE))</f>
        <v>1.501766784</v>
      </c>
      <c r="AP63">
        <f ca="1">IF(AND($B$294=1,LEN($AP$203) * LEN($AP$196)&gt;0),$AP$203/$AP$196*100,HLOOKUP(INDIRECT(ADDRESS(2,COLUMN())),OFFSET($AT$2,0,0,ROW()-1,40),ROW()-1,FALSE))</f>
        <v>1.485364788</v>
      </c>
      <c r="AQ63">
        <f ca="1">IF(AND($B$294=1,LEN($AQ$203) * LEN($AQ$196)&gt;0),$AQ$203/$AQ$196*100,HLOOKUP(INDIRECT(ADDRESS(2,COLUMN())),OFFSET($AT$2,0,0,ROW()-1,40),ROW()-1,FALSE))</f>
        <v>3.1197771589999999</v>
      </c>
      <c r="AR63">
        <f ca="1">IF(AND($B$294=1,LEN($AR$203) * LEN($AR$196)&gt;0),$AR$203/$AR$196*100,HLOOKUP(INDIRECT(ADDRESS(2,COLUMN())),OFFSET($AT$2,0,0,ROW()-1,40),ROW()-1,FALSE))</f>
        <v>1.840490798</v>
      </c>
      <c r="AS63">
        <f ca="1">IF(AND($B$294=1,LEN($AS$203) * LEN($AS$196)&gt;0),$AS$203/$AS$196*100,HLOOKUP(INDIRECT(ADDRESS(2,COLUMN())),OFFSET($AT$2,0,0,ROW()-1,40),ROW()-1,FALSE))</f>
        <v>0.98499061899999996</v>
      </c>
      <c r="AT63">
        <f>0.398565165</f>
        <v>0.398565165</v>
      </c>
      <c r="AU63">
        <f>0.167084378</f>
        <v>0.16708437800000001</v>
      </c>
      <c r="AV63">
        <f>0.309050773</f>
        <v>0.309050773</v>
      </c>
      <c r="AW63">
        <f>0.132625995</f>
        <v>0.132625995</v>
      </c>
      <c r="AX63">
        <f>0.631313131</f>
        <v>0.63131313099999997</v>
      </c>
      <c r="AY63">
        <f>2.433724468</f>
        <v>2.4337244679999999</v>
      </c>
      <c r="AZ63">
        <f>0.72859745</f>
        <v>0.72859744999999998</v>
      </c>
      <c r="BA63">
        <f>1.059238917</f>
        <v>1.0592389170000001</v>
      </c>
      <c r="BB63">
        <f>1.222618441</f>
        <v>1.2226184410000001</v>
      </c>
      <c r="BC63">
        <f>0.820512821</f>
        <v>0.820512821</v>
      </c>
      <c r="BD63">
        <f>0.942256584</f>
        <v>0.94225658400000001</v>
      </c>
      <c r="BE63">
        <f>0.151469252</f>
        <v>0.151469252</v>
      </c>
      <c r="BF63">
        <f>0.350631136</f>
        <v>0.35063113600000001</v>
      </c>
      <c r="BG63">
        <f>1.001112347</f>
        <v>1.0011123470000001</v>
      </c>
      <c r="BH63">
        <f>0.042247571</f>
        <v>4.2247570999999998E-2</v>
      </c>
      <c r="BI63">
        <f>0.64171123</f>
        <v>0.64171122999999997</v>
      </c>
      <c r="BJ63">
        <f>0.533570476</f>
        <v>0.53357047599999996</v>
      </c>
      <c r="BK63">
        <f>0.911577028</f>
        <v>0.91157702799999996</v>
      </c>
      <c r="BL63">
        <f>0.51948052</f>
        <v>0.51948052</v>
      </c>
      <c r="BM63">
        <f>0.972672534</f>
        <v>0.97267253399999998</v>
      </c>
      <c r="BN63">
        <f>0.205023065</f>
        <v>0.205023065</v>
      </c>
      <c r="BO63">
        <f>0.739176346</f>
        <v>0.73917634600000004</v>
      </c>
      <c r="BP63">
        <f>1.312335958</f>
        <v>1.312335958</v>
      </c>
      <c r="BQ63">
        <f>1.68797954</f>
        <v>1.6879795399999999</v>
      </c>
      <c r="BR63">
        <f>1.49602618</f>
        <v>1.4960261800000001</v>
      </c>
      <c r="BS63">
        <f>2.027027027</f>
        <v>2.0270270269999999</v>
      </c>
      <c r="BT63">
        <f>3.890876565</f>
        <v>3.8908765650000001</v>
      </c>
      <c r="BU63">
        <f>3.14324203</f>
        <v>3.1432420300000001</v>
      </c>
      <c r="BV63">
        <f>1.201044386</f>
        <v>1.201044386</v>
      </c>
      <c r="BW63">
        <f>1.452643812</f>
        <v>1.452643812</v>
      </c>
      <c r="BX63">
        <f>1.191092698</f>
        <v>1.1910926980000001</v>
      </c>
      <c r="BY63">
        <f>0.471142521</f>
        <v>0.47114252099999998</v>
      </c>
      <c r="BZ63">
        <f>1.602209945</f>
        <v>1.602209945</v>
      </c>
      <c r="CA63">
        <f>1.130952381</f>
        <v>1.130952381</v>
      </c>
      <c r="CB63">
        <f>1.505901506</f>
        <v>1.5059015060000001</v>
      </c>
      <c r="CC63">
        <f>1.501766784</f>
        <v>1.501766784</v>
      </c>
      <c r="CD63">
        <f>1.485364788</f>
        <v>1.485364788</v>
      </c>
      <c r="CE63">
        <f>3.119777159</f>
        <v>3.1197771589999999</v>
      </c>
      <c r="CF63">
        <f>1.840490798</f>
        <v>1.840490798</v>
      </c>
      <c r="CG63">
        <f>0.984990619</f>
        <v>0.98499061899999996</v>
      </c>
    </row>
    <row r="64" spans="1:85" x14ac:dyDescent="0.25">
      <c r="A64" t="str">
        <f>"    Dina Camiones"</f>
        <v xml:space="preserve">    Dina Camiones</v>
      </c>
      <c r="B64" t="str">
        <f>"8128757Z MM Equity"</f>
        <v>8128757Z MM Equity</v>
      </c>
      <c r="E64" t="str">
        <f>"Expression"</f>
        <v>Expression</v>
      </c>
      <c r="F64" t="str">
        <f ca="1">IF(AND($B$294=1,LEN($F$204) * LEN($F$196)&gt;0),$F$204/$F$196*100,HLOOKUP(INDIRECT(ADDRESS(2,COLUMN())),OFFSET($AT$2,0,0,ROW()-1,40),ROW()-1,FALSE))</f>
        <v/>
      </c>
      <c r="G64" t="str">
        <f ca="1">IF(AND($B$294=1,LEN($G$204) * LEN($G$196)&gt;0),$G$204/$G$196*100,HLOOKUP(INDIRECT(ADDRESS(2,COLUMN())),OFFSET($AT$2,0,0,ROW()-1,40),ROW()-1,FALSE))</f>
        <v/>
      </c>
      <c r="H64" t="str">
        <f ca="1">IF(AND($B$294=1,LEN($H$204) * LEN($H$196)&gt;0),$H$204/$H$196*100,HLOOKUP(INDIRECT(ADDRESS(2,COLUMN())),OFFSET($AT$2,0,0,ROW()-1,40),ROW()-1,FALSE))</f>
        <v/>
      </c>
      <c r="I64" t="str">
        <f ca="1">IF(AND($B$294=1,LEN($I$204) * LEN($I$196)&gt;0),$I$204/$I$196*100,HLOOKUP(INDIRECT(ADDRESS(2,COLUMN())),OFFSET($AT$2,0,0,ROW()-1,40),ROW()-1,FALSE))</f>
        <v/>
      </c>
      <c r="J64" t="str">
        <f ca="1">IF(AND($B$294=1,LEN($J$204) * LEN($J$196)&gt;0),$J$204/$J$196*100,HLOOKUP(INDIRECT(ADDRESS(2,COLUMN())),OFFSET($AT$2,0,0,ROW()-1,40),ROW()-1,FALSE))</f>
        <v/>
      </c>
      <c r="K64" t="str">
        <f ca="1">IF(AND($B$294=1,LEN($K$204) * LEN($K$196)&gt;0),$K$204/$K$196*100,HLOOKUP(INDIRECT(ADDRESS(2,COLUMN())),OFFSET($AT$2,0,0,ROW()-1,40),ROW()-1,FALSE))</f>
        <v/>
      </c>
      <c r="L64" t="str">
        <f ca="1">IF(AND($B$294=1,LEN($L$204) * LEN($L$196)&gt;0),$L$204/$L$196*100,HLOOKUP(INDIRECT(ADDRESS(2,COLUMN())),OFFSET($AT$2,0,0,ROW()-1,40),ROW()-1,FALSE))</f>
        <v/>
      </c>
      <c r="M64" t="str">
        <f ca="1">IF(AND($B$294=1,LEN($M$204) * LEN($M$196)&gt;0),$M$204/$M$196*100,HLOOKUP(INDIRECT(ADDRESS(2,COLUMN())),OFFSET($AT$2,0,0,ROW()-1,40),ROW()-1,FALSE))</f>
        <v/>
      </c>
      <c r="N64" t="str">
        <f ca="1">IF(AND($B$294=1,LEN($N$204) * LEN($N$196)&gt;0),$N$204/$N$196*100,HLOOKUP(INDIRECT(ADDRESS(2,COLUMN())),OFFSET($AT$2,0,0,ROW()-1,40),ROW()-1,FALSE))</f>
        <v/>
      </c>
      <c r="O64" t="str">
        <f ca="1">IF(AND($B$294=1,LEN($O$204) * LEN($O$196)&gt;0),$O$204/$O$196*100,HLOOKUP(INDIRECT(ADDRESS(2,COLUMN())),OFFSET($AT$2,0,0,ROW()-1,40),ROW()-1,FALSE))</f>
        <v/>
      </c>
      <c r="P64">
        <f ca="1">IF(AND($B$294=1,LEN($P$204) * LEN($P$196)&gt;0),$P$204/$P$196*100,HLOOKUP(INDIRECT(ADDRESS(2,COLUMN())),OFFSET($AT$2,0,0,ROW()-1,40),ROW()-1,FALSE))</f>
        <v>2.0777965690000002</v>
      </c>
      <c r="Q64">
        <f ca="1">IF(AND($B$294=1,LEN($Q$204) * LEN($Q$196)&gt;0),$Q$204/$Q$196*100,HLOOKUP(INDIRECT(ADDRESS(2,COLUMN())),OFFSET($AT$2,0,0,ROW()-1,40),ROW()-1,FALSE))</f>
        <v>1.9388064220000001</v>
      </c>
      <c r="R64">
        <f ca="1">IF(AND($B$294=1,LEN($R$204) * LEN($R$196)&gt;0),$R$204/$R$196*100,HLOOKUP(INDIRECT(ADDRESS(2,COLUMN())),OFFSET($AT$2,0,0,ROW()-1,40),ROW()-1,FALSE))</f>
        <v>2.0687237029999999</v>
      </c>
      <c r="S64">
        <f ca="1">IF(AND($B$294=1,LEN($S$204) * LEN($S$196)&gt;0),$S$204/$S$196*100,HLOOKUP(INDIRECT(ADDRESS(2,COLUMN())),OFFSET($AT$2,0,0,ROW()-1,40),ROW()-1,FALSE))</f>
        <v>2.0763811639999998</v>
      </c>
      <c r="T64">
        <f ca="1">IF(AND($B$294=1,LEN($T$204) * LEN($T$196)&gt;0),$T$204/$T$196*100,HLOOKUP(INDIRECT(ADDRESS(2,COLUMN())),OFFSET($AT$2,0,0,ROW()-1,40),ROW()-1,FALSE))</f>
        <v>1.9433882549999999</v>
      </c>
      <c r="U64">
        <f ca="1">IF(AND($B$294=1,LEN($U$204) * LEN($U$196)&gt;0),$U$204/$U$196*100,HLOOKUP(INDIRECT(ADDRESS(2,COLUMN())),OFFSET($AT$2,0,0,ROW()-1,40),ROW()-1,FALSE))</f>
        <v>2.085561497</v>
      </c>
      <c r="V64">
        <f ca="1">IF(AND($B$294=1,LEN($V$204) * LEN($V$196)&gt;0),$V$204/$V$196*100,HLOOKUP(INDIRECT(ADDRESS(2,COLUMN())),OFFSET($AT$2,0,0,ROW()-1,40),ROW()-1,FALSE))</f>
        <v>1.9564250780000001</v>
      </c>
      <c r="W64">
        <f ca="1">IF(AND($B$294=1,LEN($W$204) * LEN($W$196)&gt;0),$W$204/$W$196*100,HLOOKUP(INDIRECT(ADDRESS(2,COLUMN())),OFFSET($AT$2,0,0,ROW()-1,40),ROW()-1,FALSE))</f>
        <v>2.3701002729999998</v>
      </c>
      <c r="X64">
        <f ca="1">IF(AND($B$294=1,LEN($X$204) * LEN($X$196)&gt;0),$X$204/$X$196*100,HLOOKUP(INDIRECT(ADDRESS(2,COLUMN())),OFFSET($AT$2,0,0,ROW()-1,40),ROW()-1,FALSE))</f>
        <v>2.164502165</v>
      </c>
      <c r="Y64">
        <f ca="1">IF(AND($B$294=1,LEN($Y$204) * LEN($Y$196)&gt;0),$Y$204/$Y$196*100,HLOOKUP(INDIRECT(ADDRESS(2,COLUMN())),OFFSET($AT$2,0,0,ROW()-1,40),ROW()-1,FALSE))</f>
        <v>2.0842982860000001</v>
      </c>
      <c r="Z64">
        <f ca="1">IF(AND($B$294=1,LEN($Z$204) * LEN($Z$196)&gt;0),$Z$204/$Z$196*100,HLOOKUP(INDIRECT(ADDRESS(2,COLUMN())),OFFSET($AT$2,0,0,ROW()-1,40),ROW()-1,FALSE))</f>
        <v>1.742696053</v>
      </c>
      <c r="AA64">
        <f ca="1">IF(AND($B$294=1,LEN($AA$204) * LEN($AA$196)&gt;0),$AA$204/$AA$196*100,HLOOKUP(INDIRECT(ADDRESS(2,COLUMN())),OFFSET($AT$2,0,0,ROW()-1,40),ROW()-1,FALSE))</f>
        <v>2.5871172119999999</v>
      </c>
      <c r="AB64">
        <f ca="1">IF(AND($B$294=1,LEN($AB$204) * LEN($AB$196)&gt;0),$AB$204/$AB$196*100,HLOOKUP(INDIRECT(ADDRESS(2,COLUMN())),OFFSET($AT$2,0,0,ROW()-1,40),ROW()-1,FALSE))</f>
        <v>2.5121859770000001</v>
      </c>
      <c r="AC64">
        <f ca="1">IF(AND($B$294=1,LEN($AC$204) * LEN($AC$196)&gt;0),$AC$204/$AC$196*100,HLOOKUP(INDIRECT(ADDRESS(2,COLUMN())),OFFSET($AT$2,0,0,ROW()-1,40),ROW()-1,FALSE))</f>
        <v>2.7621483379999998</v>
      </c>
      <c r="AD64">
        <f ca="1">IF(AND($B$294=1,LEN($AD$204) * LEN($AD$196)&gt;0),$AD$204/$AD$196*100,HLOOKUP(INDIRECT(ADDRESS(2,COLUMN())),OFFSET($AT$2,0,0,ROW()-1,40),ROW()-1,FALSE))</f>
        <v>2.3375409070000002</v>
      </c>
      <c r="AE64">
        <f ca="1">IF(AND($B$294=1,LEN($AE$204) * LEN($AE$196)&gt;0),$AE$204/$AE$196*100,HLOOKUP(INDIRECT(ADDRESS(2,COLUMN())),OFFSET($AT$2,0,0,ROW()-1,40),ROW()-1,FALSE))</f>
        <v>2.4428274430000001</v>
      </c>
      <c r="AF64">
        <f ca="1">IF(AND($B$294=1,LEN($AF$204) * LEN($AF$196)&gt;0),$AF$204/$AF$196*100,HLOOKUP(INDIRECT(ADDRESS(2,COLUMN())),OFFSET($AT$2,0,0,ROW()-1,40),ROW()-1,FALSE))</f>
        <v>2.1019678000000002</v>
      </c>
      <c r="AG64">
        <f ca="1">IF(AND($B$294=1,LEN($AG$204) * LEN($AG$196)&gt;0),$AG$204/$AG$196*100,HLOOKUP(INDIRECT(ADDRESS(2,COLUMN())),OFFSET($AT$2,0,0,ROW()-1,40),ROW()-1,FALSE))</f>
        <v>2.1104625060000002</v>
      </c>
      <c r="AH64">
        <f ca="1">IF(AND($B$294=1,LEN($AH$204) * LEN($AH$196)&gt;0),$AH$204/$AH$196*100,HLOOKUP(INDIRECT(ADDRESS(2,COLUMN())),OFFSET($AT$2,0,0,ROW()-1,40),ROW()-1,FALSE))</f>
        <v>2.3498694520000001</v>
      </c>
      <c r="AI64">
        <f ca="1">IF(AND($B$294=1,LEN($AI$204) * LEN($AI$196)&gt;0),$AI$204/$AI$196*100,HLOOKUP(INDIRECT(ADDRESS(2,COLUMN())),OFFSET($AT$2,0,0,ROW()-1,40),ROW()-1,FALSE))</f>
        <v>2.4404416040000001</v>
      </c>
      <c r="AJ64">
        <f ca="1">IF(AND($B$294=1,LEN($AJ$204) * LEN($AJ$196)&gt;0),$AJ$204/$AJ$196*100,HLOOKUP(INDIRECT(ADDRESS(2,COLUMN())),OFFSET($AT$2,0,0,ROW()-1,40),ROW()-1,FALSE))</f>
        <v>2.0714655620000002</v>
      </c>
      <c r="AK64">
        <f ca="1">IF(AND($B$294=1,LEN($AK$204) * LEN($AK$196)&gt;0),$AK$204/$AK$196*100,HLOOKUP(INDIRECT(ADDRESS(2,COLUMN())),OFFSET($AT$2,0,0,ROW()-1,40),ROW()-1,FALSE))</f>
        <v>3.0624263840000001</v>
      </c>
      <c r="AL64">
        <f ca="1">IF(AND($B$294=1,LEN($AL$204) * LEN($AL$196)&gt;0),$AL$204/$AL$196*100,HLOOKUP(INDIRECT(ADDRESS(2,COLUMN())),OFFSET($AT$2,0,0,ROW()-1,40),ROW()-1,FALSE))</f>
        <v>2.7071823199999998</v>
      </c>
      <c r="AM64">
        <f ca="1">IF(AND($B$294=1,LEN($AM$204) * LEN($AM$196)&gt;0),$AM$204/$AM$196*100,HLOOKUP(INDIRECT(ADDRESS(2,COLUMN())),OFFSET($AT$2,0,0,ROW()-1,40),ROW()-1,FALSE))</f>
        <v>3.095238095</v>
      </c>
      <c r="AN64">
        <f ca="1">IF(AND($B$294=1,LEN($AN$204) * LEN($AN$196)&gt;0),$AN$204/$AN$196*100,HLOOKUP(INDIRECT(ADDRESS(2,COLUMN())),OFFSET($AT$2,0,0,ROW()-1,40),ROW()-1,FALSE))</f>
        <v>3.622303622</v>
      </c>
      <c r="AO64">
        <f ca="1">IF(AND($B$294=1,LEN($AO$204) * LEN($AO$196)&gt;0),$AO$204/$AO$196*100,HLOOKUP(INDIRECT(ADDRESS(2,COLUMN())),OFFSET($AT$2,0,0,ROW()-1,40),ROW()-1,FALSE))</f>
        <v>3.4010600709999999</v>
      </c>
      <c r="AP64">
        <f ca="1">IF(AND($B$294=1,LEN($AP$204) * LEN($AP$196)&gt;0),$AP$204/$AP$196*100,HLOOKUP(INDIRECT(ADDRESS(2,COLUMN())),OFFSET($AT$2,0,0,ROW()-1,40),ROW()-1,FALSE))</f>
        <v>3.2765399739999999</v>
      </c>
      <c r="AQ64">
        <f ca="1">IF(AND($B$294=1,LEN($AQ$204) * LEN($AQ$196)&gt;0),$AQ$204/$AQ$196*100,HLOOKUP(INDIRECT(ADDRESS(2,COLUMN())),OFFSET($AT$2,0,0,ROW()-1,40),ROW()-1,FALSE))</f>
        <v>6.1281337049999998</v>
      </c>
      <c r="AR64">
        <f ca="1">IF(AND($B$294=1,LEN($AR$204) * LEN($AR$196)&gt;0),$AR$204/$AR$196*100,HLOOKUP(INDIRECT(ADDRESS(2,COLUMN())),OFFSET($AT$2,0,0,ROW()-1,40),ROW()-1,FALSE))</f>
        <v>1.132609722</v>
      </c>
      <c r="AS64">
        <f ca="1">IF(AND($B$294=1,LEN($AS$204) * LEN($AS$196)&gt;0),$AS$204/$AS$196*100,HLOOKUP(INDIRECT(ADDRESS(2,COLUMN())),OFFSET($AT$2,0,0,ROW()-1,40),ROW()-1,FALSE))</f>
        <v>0.14071294600000001</v>
      </c>
      <c r="AT64" t="str">
        <f>""</f>
        <v/>
      </c>
      <c r="AU64" t="str">
        <f>""</f>
        <v/>
      </c>
      <c r="AV64" t="str">
        <f>""</f>
        <v/>
      </c>
      <c r="AW64" t="str">
        <f>""</f>
        <v/>
      </c>
      <c r="AX64" t="str">
        <f>""</f>
        <v/>
      </c>
      <c r="AY64" t="str">
        <f>""</f>
        <v/>
      </c>
      <c r="AZ64" t="str">
        <f>""</f>
        <v/>
      </c>
      <c r="BA64" t="str">
        <f>""</f>
        <v/>
      </c>
      <c r="BB64" t="str">
        <f>""</f>
        <v/>
      </c>
      <c r="BC64" t="str">
        <f>""</f>
        <v/>
      </c>
      <c r="BD64">
        <f>2.077796569</f>
        <v>2.0777965690000002</v>
      </c>
      <c r="BE64">
        <f>1.938806422</f>
        <v>1.9388064220000001</v>
      </c>
      <c r="BF64">
        <f>2.068723703</f>
        <v>2.0687237029999999</v>
      </c>
      <c r="BG64">
        <f>2.076381164</f>
        <v>2.0763811639999998</v>
      </c>
      <c r="BH64">
        <f>1.943388255</f>
        <v>1.9433882549999999</v>
      </c>
      <c r="BI64">
        <f>2.085561497</f>
        <v>2.085561497</v>
      </c>
      <c r="BJ64">
        <f>1.956425078</f>
        <v>1.9564250780000001</v>
      </c>
      <c r="BK64">
        <f>2.370100273</f>
        <v>2.3701002729999998</v>
      </c>
      <c r="BL64">
        <f>2.164502165</f>
        <v>2.164502165</v>
      </c>
      <c r="BM64">
        <f>2.084298286</f>
        <v>2.0842982860000001</v>
      </c>
      <c r="BN64">
        <f>1.742696053</f>
        <v>1.742696053</v>
      </c>
      <c r="BO64">
        <f>2.587117212</f>
        <v>2.5871172119999999</v>
      </c>
      <c r="BP64">
        <f>2.512185977</f>
        <v>2.5121859770000001</v>
      </c>
      <c r="BQ64">
        <f>2.762148338</f>
        <v>2.7621483379999998</v>
      </c>
      <c r="BR64">
        <f>2.337540907</f>
        <v>2.3375409070000002</v>
      </c>
      <c r="BS64">
        <f>2.442827443</f>
        <v>2.4428274430000001</v>
      </c>
      <c r="BT64">
        <f>2.1019678</f>
        <v>2.1019678000000002</v>
      </c>
      <c r="BU64">
        <f>2.110462506</f>
        <v>2.1104625060000002</v>
      </c>
      <c r="BV64">
        <f>2.349869452</f>
        <v>2.3498694520000001</v>
      </c>
      <c r="BW64">
        <f>2.440441604</f>
        <v>2.4404416040000001</v>
      </c>
      <c r="BX64">
        <f>2.071465562</f>
        <v>2.0714655620000002</v>
      </c>
      <c r="BY64">
        <f>3.062426384</f>
        <v>3.0624263840000001</v>
      </c>
      <c r="BZ64">
        <f>2.70718232</f>
        <v>2.7071823199999998</v>
      </c>
      <c r="CA64">
        <f>3.095238095</f>
        <v>3.095238095</v>
      </c>
      <c r="CB64">
        <f>3.622303622</f>
        <v>3.622303622</v>
      </c>
      <c r="CC64">
        <f>3.401060071</f>
        <v>3.4010600709999999</v>
      </c>
      <c r="CD64">
        <f>3.276539974</f>
        <v>3.2765399739999999</v>
      </c>
      <c r="CE64">
        <f>6.128133705</f>
        <v>6.1281337049999998</v>
      </c>
      <c r="CF64">
        <f>1.132609722</f>
        <v>1.132609722</v>
      </c>
      <c r="CG64">
        <f>0.140712946</f>
        <v>0.14071294600000001</v>
      </c>
    </row>
    <row r="65" spans="1:85" x14ac:dyDescent="0.25">
      <c r="A65" t="str">
        <f>"    MAN"</f>
        <v xml:space="preserve">    MAN</v>
      </c>
      <c r="B65" t="str">
        <f>"VOW GR Equity"</f>
        <v>VOW GR Equity</v>
      </c>
      <c r="E65" t="str">
        <f>"Sum"</f>
        <v>Sum</v>
      </c>
      <c r="F65" t="str">
        <f ca="1">IF(ISERROR(IF(SUM($F$66:$F$67) = 0, "", SUM($F$66:$F$67))), "", (IF(SUM($F$66:$F$67) = 0, "", SUM($F$66:$F$67))))</f>
        <v/>
      </c>
      <c r="G65" t="str">
        <f ca="1">IF(ISERROR(IF(SUM($G$66:$G$67) = 0, "", SUM($G$66:$G$67))), "", (IF(SUM($G$66:$G$67) = 0, "", SUM($G$66:$G$67))))</f>
        <v/>
      </c>
      <c r="H65" t="str">
        <f ca="1">IF(ISERROR(IF(SUM($H$66:$H$67) = 0, "", SUM($H$66:$H$67))), "", (IF(SUM($H$66:$H$67) = 0, "", SUM($H$66:$H$67))))</f>
        <v/>
      </c>
      <c r="I65" t="str">
        <f ca="1">IF(ISERROR(IF(SUM($I$66:$I$67) = 0, "", SUM($I$66:$I$67))), "", (IF(SUM($I$66:$I$67) = 0, "", SUM($I$66:$I$67))))</f>
        <v/>
      </c>
      <c r="J65" t="str">
        <f ca="1">IF(ISERROR(IF(SUM($J$66:$J$67) = 0, "", SUM($J$66:$J$67))), "", (IF(SUM($J$66:$J$67) = 0, "", SUM($J$66:$J$67))))</f>
        <v/>
      </c>
      <c r="K65" t="str">
        <f ca="1">IF(ISERROR(IF(SUM($K$66:$K$67) = 0, "", SUM($K$66:$K$67))), "", (IF(SUM($K$66:$K$67) = 0, "", SUM($K$66:$K$67))))</f>
        <v/>
      </c>
      <c r="L65" t="str">
        <f ca="1">IF(ISERROR(IF(SUM($L$66:$L$67) = 0, "", SUM($L$66:$L$67))), "", (IF(SUM($L$66:$L$67) = 0, "", SUM($L$66:$L$67))))</f>
        <v/>
      </c>
      <c r="M65" t="str">
        <f ca="1">IF(ISERROR(IF(SUM($M$66:$M$67) = 0, "", SUM($M$66:$M$67))), "", (IF(SUM($M$66:$M$67) = 0, "", SUM($M$66:$M$67))))</f>
        <v/>
      </c>
      <c r="N65" t="str">
        <f ca="1">IF(ISERROR(IF(SUM($N$66:$N$67) = 0, "", SUM($N$66:$N$67))), "", (IF(SUM($N$66:$N$67) = 0, "", SUM($N$66:$N$67))))</f>
        <v/>
      </c>
      <c r="O65" t="str">
        <f ca="1">IF(ISERROR(IF(SUM($O$66:$O$67) = 0, "", SUM($O$66:$O$67))), "", (IF(SUM($O$66:$O$67) = 0, "", SUM($O$66:$O$67))))</f>
        <v/>
      </c>
      <c r="P65">
        <f ca="1">IF(ISERROR(IF(SUM($P$66:$P$67) = 0, "", SUM($P$66:$P$67))), "", (IF(SUM($P$66:$P$67) = 0, "", SUM($P$66:$P$67))))</f>
        <v>1.642908915</v>
      </c>
      <c r="Q65">
        <f ca="1">IF(ISERROR(IF(SUM($Q$66:$Q$67) = 0, "", SUM($Q$66:$Q$67))), "", (IF(SUM($Q$66:$Q$67) = 0, "", SUM($Q$66:$Q$67))))</f>
        <v>1.544986368</v>
      </c>
      <c r="R65">
        <f ca="1">IF(ISERROR(IF(SUM($R$66:$R$67) = 0, "", SUM($R$66:$R$67))), "", (IF(SUM($R$66:$R$67) = 0, "", SUM($R$66:$R$67))))</f>
        <v>1.6479663389999999</v>
      </c>
      <c r="S65">
        <f ca="1">IF(ISERROR(IF(SUM($S$66:$S$67) = 0, "", SUM($S$66:$S$67))), "", (IF(SUM($S$66:$S$67) = 0, "", SUM($S$66:$S$67))))</f>
        <v>1.6685205780000001</v>
      </c>
      <c r="T65">
        <f ca="1">IF(ISERROR(IF(SUM($T$66:$T$67) = 0, "", SUM($T$66:$T$67))), "", (IF(SUM($T$66:$T$67) = 0, "", SUM($T$66:$T$67))))</f>
        <v>1.5209125480000001</v>
      </c>
      <c r="U65">
        <f ca="1">IF(ISERROR(IF(SUM($U$66:$U$67) = 0, "", SUM($U$66:$U$67))), "", (IF(SUM($U$66:$U$67) = 0, "", SUM($U$66:$U$67))))</f>
        <v>1.657754011</v>
      </c>
      <c r="V65">
        <f ca="1">IF(ISERROR(IF(SUM($V$66:$V$67) = 0, "", SUM($V$66:$V$67))), "", (IF(SUM($V$66:$V$67) = 0, "", SUM($V$66:$V$67))))</f>
        <v>1.556247221</v>
      </c>
      <c r="W65">
        <f ca="1">IF(ISERROR(IF(SUM($W$66:$W$67) = 0, "", SUM($W$66:$W$67))), "", (IF(SUM($W$66:$W$67) = 0, "", SUM($W$66:$W$67))))</f>
        <v>1.8687329079999999</v>
      </c>
      <c r="X65">
        <f ca="1">IF(ISERROR(IF(SUM($X$66:$X$67) = 0, "", SUM($X$66:$X$67))), "", (IF(SUM($X$66:$X$67) = 0, "", SUM($X$66:$X$67))))</f>
        <v>1.7316017319999999</v>
      </c>
      <c r="Y65">
        <f ca="1">IF(ISERROR(IF(SUM($Y$66:$Y$67) = 0, "", SUM($Y$66:$Y$67))), "", (IF(SUM($Y$66:$Y$67) = 0, "", SUM($Y$66:$Y$67))))</f>
        <v>1.621120889</v>
      </c>
      <c r="Z65">
        <f ca="1">IF(ISERROR(IF(SUM($Z$66:$Z$67) = 0, "", SUM($Z$66:$Z$67))), "", (IF(SUM($Z$66:$Z$67) = 0, "", SUM($Z$66:$Z$67))))</f>
        <v>1.3839056890000001</v>
      </c>
      <c r="AA65">
        <f ca="1">IF(ISERROR(IF(SUM($AA$66:$AA$67) = 0, "", SUM($AA$66:$AA$67))), "", (IF(SUM($AA$66:$AA$67) = 0, "", SUM($AA$66:$AA$67))))</f>
        <v>2.0591341079999999</v>
      </c>
      <c r="AB65">
        <f ca="1">IF(ISERROR(IF(SUM($AB$66:$AB$67) = 0, "", SUM($AB$66:$AB$67))), "", (IF(SUM($AB$66:$AB$67) = 0, "", SUM($AB$66:$AB$67))))</f>
        <v>1.387326584</v>
      </c>
      <c r="AC65">
        <f ca="1">IF(ISERROR(IF(SUM($AC$66:$AC$67) = 0, "", SUM($AC$66:$AC$67))), "", (IF(SUM($AC$66:$AC$67) = 0, "", SUM($AC$66:$AC$67))))</f>
        <v>1.5345268540000001</v>
      </c>
      <c r="AD65">
        <f ca="1">IF(ISERROR(IF(SUM($AD$66:$AD$67) = 0, "", SUM($AD$66:$AD$67))), "", (IF(SUM($AD$66:$AD$67) = 0, "", SUM($AD$66:$AD$67))))</f>
        <v>1.309022908</v>
      </c>
      <c r="AE65">
        <f ca="1">IF(ISERROR(IF(SUM($AE$66:$AE$67) = 0, "", SUM($AE$66:$AE$67))), "", (IF(SUM($AE$66:$AE$67) = 0, "", SUM($AE$66:$AE$67))))</f>
        <v>1.3513513509999999</v>
      </c>
      <c r="AF65">
        <f ca="1">IF(ISERROR(IF(SUM($AF$66:$AF$67) = 0, "", SUM($AF$66:$AF$67))), "", (IF(SUM($AF$66:$AF$67) = 0, "", SUM($AF$66:$AF$67))))</f>
        <v>1.162790698</v>
      </c>
      <c r="AG65">
        <f ca="1">IF(ISERROR(IF(SUM($AG$66:$AG$67) = 0, "", SUM($AG$66:$AG$67))), "", (IF(SUM($AG$66:$AG$67) = 0, "", SUM($AG$66:$AG$67))))</f>
        <v>1.1674898970000001</v>
      </c>
      <c r="AH65">
        <f ca="1">IF(ISERROR(IF(SUM($AH$66:$AH$67) = 0, "", SUM($AH$66:$AH$67))), "", (IF(SUM($AH$66:$AH$67) = 0, "", SUM($AH$66:$AH$67))))</f>
        <v>1.3054830289999999</v>
      </c>
      <c r="AI65">
        <f ca="1">IF(ISERROR(IF(SUM($AI$66:$AI$67) = 0, "", SUM($AI$66:$AI$67))), "", (IF(SUM($AI$66:$AI$67) = 0, "", SUM($AI$66:$AI$67))))</f>
        <v>1.3364323069999999</v>
      </c>
      <c r="AJ65">
        <f ca="1">IF(ISERROR(IF(SUM($AJ$66:$AJ$67) = 0, "", SUM($AJ$66:$AJ$67))), "", (IF(SUM($AJ$66:$AJ$67) = 0, "", SUM($AJ$66:$AJ$67))))</f>
        <v>1.1393060589999999</v>
      </c>
      <c r="AK65">
        <f ca="1">IF(ISERROR(IF(SUM($AK$66:$AK$67) = 0, "", SUM($AK$66:$AK$67))), "", (IF(SUM($AK$66:$AK$67) = 0, "", SUM($AK$66:$AK$67))))</f>
        <v>1.7078916369999999</v>
      </c>
      <c r="AL65">
        <f ca="1">IF(ISERROR(IF(SUM($AL$66:$AL$67) = 0, "", SUM($AL$66:$AL$67))), "", (IF(SUM($AL$66:$AL$67) = 0, "", SUM($AL$66:$AL$67))))</f>
        <v>1.491712707</v>
      </c>
      <c r="AM65">
        <f ca="1">IF(ISERROR(IF(SUM($AM$66:$AM$67) = 0, "", SUM($AM$66:$AM$67))), "", (IF(SUM($AM$66:$AM$67) = 0, "", SUM($AM$66:$AM$67))))</f>
        <v>1.726190476</v>
      </c>
      <c r="AN65">
        <f ca="1">IF(ISERROR(IF(SUM($AN$66:$AN$67) = 0, "", SUM($AN$66:$AN$67))), "", (IF(SUM($AN$66:$AN$67) = 0, "", SUM($AN$66:$AN$67))))</f>
        <v>1.302401302</v>
      </c>
      <c r="AO65">
        <f ca="1">IF(ISERROR(IF(SUM($AO$66:$AO$67) = 0, "", SUM($AO$66:$AO$67))), "", (IF(SUM($AO$66:$AO$67) = 0, "", SUM($AO$66:$AO$67))))</f>
        <v>1.2809187280000001</v>
      </c>
      <c r="AP65">
        <f ca="1">IF(ISERROR(IF(SUM($AP$66:$AP$67) = 0, "", SUM($AP$66:$AP$67))), "", (IF(SUM($AP$66:$AP$67) = 0, "", SUM($AP$66:$AP$67))))</f>
        <v>1.2669287899999999</v>
      </c>
      <c r="AQ65">
        <f ca="1">IF(ISERROR(IF(SUM($AQ$66:$AQ$67) = 0, "", SUM($AQ$66:$AQ$67))), "", (IF(SUM($AQ$66:$AQ$67) = 0, "", SUM($AQ$66:$AQ$67))))</f>
        <v>1.448467967</v>
      </c>
      <c r="AR65">
        <f ca="1">IF(ISERROR(IF(SUM($AR$66:$AR$67) = 0, "", SUM($AR$66:$AR$67))), "", (IF(SUM($AR$66:$AR$67) = 0, "", SUM($AR$66:$AR$67))))</f>
        <v>0.47192071699999999</v>
      </c>
      <c r="AS65">
        <f ca="1">IF(ISERROR(IF(SUM($AS$66:$AS$67) = 0, "", SUM($AS$66:$AS$67))), "", (IF(SUM($AS$66:$AS$67) = 0, "", SUM($AS$66:$AS$67))))</f>
        <v>1.594746717</v>
      </c>
      <c r="AT65" t="str">
        <f>""</f>
        <v/>
      </c>
      <c r="AU65" t="str">
        <f>""</f>
        <v/>
      </c>
      <c r="AV65" t="str">
        <f>""</f>
        <v/>
      </c>
      <c r="AW65" t="str">
        <f>""</f>
        <v/>
      </c>
      <c r="AX65" t="str">
        <f>""</f>
        <v/>
      </c>
      <c r="AY65" t="str">
        <f>""</f>
        <v/>
      </c>
      <c r="AZ65" t="str">
        <f>""</f>
        <v/>
      </c>
      <c r="BA65" t="str">
        <f>""</f>
        <v/>
      </c>
      <c r="BB65" t="str">
        <f>""</f>
        <v/>
      </c>
      <c r="BC65" t="str">
        <f>""</f>
        <v/>
      </c>
      <c r="BD65">
        <f>1.642908915</f>
        <v>1.642908915</v>
      </c>
      <c r="BE65">
        <f>1.544986368</f>
        <v>1.544986368</v>
      </c>
      <c r="BF65">
        <f>1.647966339</f>
        <v>1.6479663389999999</v>
      </c>
      <c r="BG65">
        <f>1.668520578</f>
        <v>1.6685205780000001</v>
      </c>
      <c r="BH65">
        <f>1.520912548</f>
        <v>1.5209125480000001</v>
      </c>
      <c r="BI65">
        <f>1.657754011</f>
        <v>1.657754011</v>
      </c>
      <c r="BJ65">
        <f>1.556247221</f>
        <v>1.556247221</v>
      </c>
      <c r="BK65">
        <f>1.868732908</f>
        <v>1.8687329079999999</v>
      </c>
      <c r="BL65">
        <f>1.731601732</f>
        <v>1.7316017319999999</v>
      </c>
      <c r="BM65">
        <f>1.621120889</f>
        <v>1.621120889</v>
      </c>
      <c r="BN65">
        <f>1.383905689</f>
        <v>1.3839056890000001</v>
      </c>
      <c r="BO65">
        <f>2.059134108</f>
        <v>2.0591341079999999</v>
      </c>
      <c r="BP65">
        <f>1.387326584</f>
        <v>1.387326584</v>
      </c>
      <c r="BQ65">
        <f>1.534526854</f>
        <v>1.5345268540000001</v>
      </c>
      <c r="BR65">
        <f>1.309022908</f>
        <v>1.309022908</v>
      </c>
      <c r="BS65">
        <f>1.351351351</f>
        <v>1.3513513509999999</v>
      </c>
      <c r="BT65">
        <f>1.162790698</f>
        <v>1.162790698</v>
      </c>
      <c r="BU65">
        <f>1.167489897</f>
        <v>1.1674898970000001</v>
      </c>
      <c r="BV65">
        <f>1.305483029</f>
        <v>1.3054830289999999</v>
      </c>
      <c r="BW65">
        <f>1.336432307</f>
        <v>1.3364323069999999</v>
      </c>
      <c r="BX65">
        <f>1.139306059</f>
        <v>1.1393060589999999</v>
      </c>
      <c r="BY65">
        <f>1.707891637</f>
        <v>1.7078916369999999</v>
      </c>
      <c r="BZ65">
        <f>1.491712707</f>
        <v>1.491712707</v>
      </c>
      <c r="CA65">
        <f>1.726190476</f>
        <v>1.726190476</v>
      </c>
      <c r="CB65">
        <f>1.302401302</f>
        <v>1.302401302</v>
      </c>
      <c r="CC65">
        <f>1.280918728</f>
        <v>1.2809187280000001</v>
      </c>
      <c r="CD65">
        <f>1.26692879</f>
        <v>1.2669287899999999</v>
      </c>
      <c r="CE65">
        <f>1.448467967</f>
        <v>1.448467967</v>
      </c>
      <c r="CF65">
        <f>0.471920717</f>
        <v>0.47192071699999999</v>
      </c>
      <c r="CG65">
        <f>1.594746717</f>
        <v>1.594746717</v>
      </c>
    </row>
    <row r="66" spans="1:85" x14ac:dyDescent="0.25">
      <c r="A66" t="str">
        <f>"        MAN"</f>
        <v xml:space="preserve">        MAN</v>
      </c>
      <c r="B66" t="str">
        <f>"VOW GR Equity"</f>
        <v>VOW GR Equity</v>
      </c>
      <c r="E66" t="str">
        <f>"Expression"</f>
        <v>Expression</v>
      </c>
      <c r="F66" t="str">
        <f ca="1">IF(AND($B$294=1,LEN($F$205) * LEN($F$196)&gt;0),$F$205/$F$196*100,HLOOKUP(INDIRECT(ADDRESS(2,COLUMN())),OFFSET($AT$2,0,0,ROW()-1,40),ROW()-1,FALSE))</f>
        <v/>
      </c>
      <c r="G66" t="str">
        <f ca="1">IF(AND($B$294=1,LEN($G$205) * LEN($G$196)&gt;0),$G$205/$G$196*100,HLOOKUP(INDIRECT(ADDRESS(2,COLUMN())),OFFSET($AT$2,0,0,ROW()-1,40),ROW()-1,FALSE))</f>
        <v/>
      </c>
      <c r="H66" t="str">
        <f ca="1">IF(AND($B$294=1,LEN($H$205) * LEN($H$196)&gt;0),$H$205/$H$196*100,HLOOKUP(INDIRECT(ADDRESS(2,COLUMN())),OFFSET($AT$2,0,0,ROW()-1,40),ROW()-1,FALSE))</f>
        <v/>
      </c>
      <c r="I66" t="str">
        <f ca="1">IF(AND($B$294=1,LEN($I$205) * LEN($I$196)&gt;0),$I$205/$I$196*100,HLOOKUP(INDIRECT(ADDRESS(2,COLUMN())),OFFSET($AT$2,0,0,ROW()-1,40),ROW()-1,FALSE))</f>
        <v/>
      </c>
      <c r="J66" t="str">
        <f ca="1">IF(AND($B$294=1,LEN($J$205) * LEN($J$196)&gt;0),$J$205/$J$196*100,HLOOKUP(INDIRECT(ADDRESS(2,COLUMN())),OFFSET($AT$2,0,0,ROW()-1,40),ROW()-1,FALSE))</f>
        <v/>
      </c>
      <c r="K66" t="str">
        <f ca="1">IF(AND($B$294=1,LEN($K$205) * LEN($K$196)&gt;0),$K$205/$K$196*100,HLOOKUP(INDIRECT(ADDRESS(2,COLUMN())),OFFSET($AT$2,0,0,ROW()-1,40),ROW()-1,FALSE))</f>
        <v/>
      </c>
      <c r="L66" t="str">
        <f ca="1">IF(AND($B$294=1,LEN($L$205) * LEN($L$196)&gt;0),$L$205/$L$196*100,HLOOKUP(INDIRECT(ADDRESS(2,COLUMN())),OFFSET($AT$2,0,0,ROW()-1,40),ROW()-1,FALSE))</f>
        <v/>
      </c>
      <c r="M66" t="str">
        <f ca="1">IF(AND($B$294=1,LEN($M$205) * LEN($M$196)&gt;0),$M$205/$M$196*100,HLOOKUP(INDIRECT(ADDRESS(2,COLUMN())),OFFSET($AT$2,0,0,ROW()-1,40),ROW()-1,FALSE))</f>
        <v/>
      </c>
      <c r="N66" t="str">
        <f ca="1">IF(AND($B$294=1,LEN($N$205) * LEN($N$196)&gt;0),$N$205/$N$196*100,HLOOKUP(INDIRECT(ADDRESS(2,COLUMN())),OFFSET($AT$2,0,0,ROW()-1,40),ROW()-1,FALSE))</f>
        <v/>
      </c>
      <c r="O66" t="str">
        <f ca="1">IF(AND($B$294=1,LEN($O$205) * LEN($O$196)&gt;0),$O$205/$O$196*100,HLOOKUP(INDIRECT(ADDRESS(2,COLUMN())),OFFSET($AT$2,0,0,ROW()-1,40),ROW()-1,FALSE))</f>
        <v/>
      </c>
      <c r="P66">
        <f ca="1">IF(AND($B$294=1,LEN($P$205) * LEN($P$196)&gt;0),$P$205/$P$196*100,HLOOKUP(INDIRECT(ADDRESS(2,COLUMN())),OFFSET($AT$2,0,0,ROW()-1,40),ROW()-1,FALSE))</f>
        <v>1.642908915</v>
      </c>
      <c r="Q66">
        <f ca="1">IF(AND($B$294=1,LEN($Q$205) * LEN($Q$196)&gt;0),$Q$205/$Q$196*100,HLOOKUP(INDIRECT(ADDRESS(2,COLUMN())),OFFSET($AT$2,0,0,ROW()-1,40),ROW()-1,FALSE))</f>
        <v>1.544986368</v>
      </c>
      <c r="R66">
        <f ca="1">IF(AND($B$294=1,LEN($R$205) * LEN($R$196)&gt;0),$R$205/$R$196*100,HLOOKUP(INDIRECT(ADDRESS(2,COLUMN())),OFFSET($AT$2,0,0,ROW()-1,40),ROW()-1,FALSE))</f>
        <v>1.6479663389999999</v>
      </c>
      <c r="S66">
        <f ca="1">IF(AND($B$294=1,LEN($S$205) * LEN($S$196)&gt;0),$S$205/$S$196*100,HLOOKUP(INDIRECT(ADDRESS(2,COLUMN())),OFFSET($AT$2,0,0,ROW()-1,40),ROW()-1,FALSE))</f>
        <v>1.6685205780000001</v>
      </c>
      <c r="T66">
        <f ca="1">IF(AND($B$294=1,LEN($T$205) * LEN($T$196)&gt;0),$T$205/$T$196*100,HLOOKUP(INDIRECT(ADDRESS(2,COLUMN())),OFFSET($AT$2,0,0,ROW()-1,40),ROW()-1,FALSE))</f>
        <v>1.5209125480000001</v>
      </c>
      <c r="U66">
        <f ca="1">IF(AND($B$294=1,LEN($U$205) * LEN($U$196)&gt;0),$U$205/$U$196*100,HLOOKUP(INDIRECT(ADDRESS(2,COLUMN())),OFFSET($AT$2,0,0,ROW()-1,40),ROW()-1,FALSE))</f>
        <v>1.657754011</v>
      </c>
      <c r="V66">
        <f ca="1">IF(AND($B$294=1,LEN($V$205) * LEN($V$196)&gt;0),$V$205/$V$196*100,HLOOKUP(INDIRECT(ADDRESS(2,COLUMN())),OFFSET($AT$2,0,0,ROW()-1,40),ROW()-1,FALSE))</f>
        <v>1.556247221</v>
      </c>
      <c r="W66">
        <f ca="1">IF(AND($B$294=1,LEN($W$205) * LEN($W$196)&gt;0),$W$205/$W$196*100,HLOOKUP(INDIRECT(ADDRESS(2,COLUMN())),OFFSET($AT$2,0,0,ROW()-1,40),ROW()-1,FALSE))</f>
        <v>1.8687329079999999</v>
      </c>
      <c r="X66">
        <f ca="1">IF(AND($B$294=1,LEN($X$205) * LEN($X$196)&gt;0),$X$205/$X$196*100,HLOOKUP(INDIRECT(ADDRESS(2,COLUMN())),OFFSET($AT$2,0,0,ROW()-1,40),ROW()-1,FALSE))</f>
        <v>1.7316017319999999</v>
      </c>
      <c r="Y66">
        <f ca="1">IF(AND($B$294=1,LEN($Y$205) * LEN($Y$196)&gt;0),$Y$205/$Y$196*100,HLOOKUP(INDIRECT(ADDRESS(2,COLUMN())),OFFSET($AT$2,0,0,ROW()-1,40),ROW()-1,FALSE))</f>
        <v>1.621120889</v>
      </c>
      <c r="Z66">
        <f ca="1">IF(AND($B$294=1,LEN($Z$205) * LEN($Z$196)&gt;0),$Z$205/$Z$196*100,HLOOKUP(INDIRECT(ADDRESS(2,COLUMN())),OFFSET($AT$2,0,0,ROW()-1,40),ROW()-1,FALSE))</f>
        <v>1.3839056890000001</v>
      </c>
      <c r="AA66">
        <f ca="1">IF(AND($B$294=1,LEN($AA$205) * LEN($AA$196)&gt;0),$AA$205/$AA$196*100,HLOOKUP(INDIRECT(ADDRESS(2,COLUMN())),OFFSET($AT$2,0,0,ROW()-1,40),ROW()-1,FALSE))</f>
        <v>2.0591341079999999</v>
      </c>
      <c r="AB66">
        <f ca="1">IF(AND($B$294=1,LEN($AB$205) * LEN($AB$196)&gt;0),$AB$205/$AB$196*100,HLOOKUP(INDIRECT(ADDRESS(2,COLUMN())),OFFSET($AT$2,0,0,ROW()-1,40),ROW()-1,FALSE))</f>
        <v>1.387326584</v>
      </c>
      <c r="AC66">
        <f ca="1">IF(AND($B$294=1,LEN($AC$205) * LEN($AC$196)&gt;0),$AC$205/$AC$196*100,HLOOKUP(INDIRECT(ADDRESS(2,COLUMN())),OFFSET($AT$2,0,0,ROW()-1,40),ROW()-1,FALSE))</f>
        <v>1.5345268540000001</v>
      </c>
      <c r="AD66">
        <f ca="1">IF(AND($B$294=1,LEN($AD$205) * LEN($AD$196)&gt;0),$AD$205/$AD$196*100,HLOOKUP(INDIRECT(ADDRESS(2,COLUMN())),OFFSET($AT$2,0,0,ROW()-1,40),ROW()-1,FALSE))</f>
        <v>1.309022908</v>
      </c>
      <c r="AE66">
        <f ca="1">IF(AND($B$294=1,LEN($AE$205) * LEN($AE$196)&gt;0),$AE$205/$AE$196*100,HLOOKUP(INDIRECT(ADDRESS(2,COLUMN())),OFFSET($AT$2,0,0,ROW()-1,40),ROW()-1,FALSE))</f>
        <v>1.3513513509999999</v>
      </c>
      <c r="AF66">
        <f ca="1">IF(AND($B$294=1,LEN($AF$205) * LEN($AF$196)&gt;0),$AF$205/$AF$196*100,HLOOKUP(INDIRECT(ADDRESS(2,COLUMN())),OFFSET($AT$2,0,0,ROW()-1,40),ROW()-1,FALSE))</f>
        <v>1.162790698</v>
      </c>
      <c r="AG66">
        <f ca="1">IF(AND($B$294=1,LEN($AG$205) * LEN($AG$196)&gt;0),$AG$205/$AG$196*100,HLOOKUP(INDIRECT(ADDRESS(2,COLUMN())),OFFSET($AT$2,0,0,ROW()-1,40),ROW()-1,FALSE))</f>
        <v>1.1674898970000001</v>
      </c>
      <c r="AH66">
        <f ca="1">IF(AND($B$294=1,LEN($AH$205) * LEN($AH$196)&gt;0),$AH$205/$AH$196*100,HLOOKUP(INDIRECT(ADDRESS(2,COLUMN())),OFFSET($AT$2,0,0,ROW()-1,40),ROW()-1,FALSE))</f>
        <v>1.3054830289999999</v>
      </c>
      <c r="AI66">
        <f ca="1">IF(AND($B$294=1,LEN($AI$205) * LEN($AI$196)&gt;0),$AI$205/$AI$196*100,HLOOKUP(INDIRECT(ADDRESS(2,COLUMN())),OFFSET($AT$2,0,0,ROW()-1,40),ROW()-1,FALSE))</f>
        <v>1.3364323069999999</v>
      </c>
      <c r="AJ66">
        <f ca="1">IF(AND($B$294=1,LEN($AJ$205) * LEN($AJ$196)&gt;0),$AJ$205/$AJ$196*100,HLOOKUP(INDIRECT(ADDRESS(2,COLUMN())),OFFSET($AT$2,0,0,ROW()-1,40),ROW()-1,FALSE))</f>
        <v>1.1393060589999999</v>
      </c>
      <c r="AK66">
        <f ca="1">IF(AND($B$294=1,LEN($AK$205) * LEN($AK$196)&gt;0),$AK$205/$AK$196*100,HLOOKUP(INDIRECT(ADDRESS(2,COLUMN())),OFFSET($AT$2,0,0,ROW()-1,40),ROW()-1,FALSE))</f>
        <v>1.7078916369999999</v>
      </c>
      <c r="AL66">
        <f ca="1">IF(AND($B$294=1,LEN($AL$205) * LEN($AL$196)&gt;0),$AL$205/$AL$196*100,HLOOKUP(INDIRECT(ADDRESS(2,COLUMN())),OFFSET($AT$2,0,0,ROW()-1,40),ROW()-1,FALSE))</f>
        <v>1.491712707</v>
      </c>
      <c r="AM66">
        <f ca="1">IF(AND($B$294=1,LEN($AM$205) * LEN($AM$196)&gt;0),$AM$205/$AM$196*100,HLOOKUP(INDIRECT(ADDRESS(2,COLUMN())),OFFSET($AT$2,0,0,ROW()-1,40),ROW()-1,FALSE))</f>
        <v>1.726190476</v>
      </c>
      <c r="AN66">
        <f ca="1">IF(AND($B$294=1,LEN($AN$205) * LEN($AN$196)&gt;0),$AN$205/$AN$196*100,HLOOKUP(INDIRECT(ADDRESS(2,COLUMN())),OFFSET($AT$2,0,0,ROW()-1,40),ROW()-1,FALSE))</f>
        <v>1.302401302</v>
      </c>
      <c r="AO66">
        <f ca="1">IF(AND($B$294=1,LEN($AO$205) * LEN($AO$196)&gt;0),$AO$205/$AO$196*100,HLOOKUP(INDIRECT(ADDRESS(2,COLUMN())),OFFSET($AT$2,0,0,ROW()-1,40),ROW()-1,FALSE))</f>
        <v>1.2809187280000001</v>
      </c>
      <c r="AP66">
        <f ca="1">IF(AND($B$294=1,LEN($AP$205) * LEN($AP$196)&gt;0),$AP$205/$AP$196*100,HLOOKUP(INDIRECT(ADDRESS(2,COLUMN())),OFFSET($AT$2,0,0,ROW()-1,40),ROW()-1,FALSE))</f>
        <v>1.2669287899999999</v>
      </c>
      <c r="AQ66">
        <f ca="1">IF(AND($B$294=1,LEN($AQ$205) * LEN($AQ$196)&gt;0),$AQ$205/$AQ$196*100,HLOOKUP(INDIRECT(ADDRESS(2,COLUMN())),OFFSET($AT$2,0,0,ROW()-1,40),ROW()-1,FALSE))</f>
        <v>1.448467967</v>
      </c>
      <c r="AR66">
        <f ca="1">IF(AND($B$294=1,LEN($AR$205) * LEN($AR$196)&gt;0),$AR$205/$AR$196*100,HLOOKUP(INDIRECT(ADDRESS(2,COLUMN())),OFFSET($AT$2,0,0,ROW()-1,40),ROW()-1,FALSE))</f>
        <v>0.47192071699999999</v>
      </c>
      <c r="AS66">
        <f ca="1">IF(AND($B$294=1,LEN($AS$205) * LEN($AS$196)&gt;0),$AS$205/$AS$196*100,HLOOKUP(INDIRECT(ADDRESS(2,COLUMN())),OFFSET($AT$2,0,0,ROW()-1,40),ROW()-1,FALSE))</f>
        <v>1.594746717</v>
      </c>
      <c r="AT66" t="str">
        <f>""</f>
        <v/>
      </c>
      <c r="AU66" t="str">
        <f>""</f>
        <v/>
      </c>
      <c r="AV66" t="str">
        <f>""</f>
        <v/>
      </c>
      <c r="AW66" t="str">
        <f>""</f>
        <v/>
      </c>
      <c r="AX66" t="str">
        <f>""</f>
        <v/>
      </c>
      <c r="AY66" t="str">
        <f>""</f>
        <v/>
      </c>
      <c r="AZ66" t="str">
        <f>""</f>
        <v/>
      </c>
      <c r="BA66" t="str">
        <f>""</f>
        <v/>
      </c>
      <c r="BB66" t="str">
        <f>""</f>
        <v/>
      </c>
      <c r="BC66" t="str">
        <f>""</f>
        <v/>
      </c>
      <c r="BD66">
        <f>1.642908915</f>
        <v>1.642908915</v>
      </c>
      <c r="BE66">
        <f>1.544986368</f>
        <v>1.544986368</v>
      </c>
      <c r="BF66">
        <f>1.647966339</f>
        <v>1.6479663389999999</v>
      </c>
      <c r="BG66">
        <f>1.668520578</f>
        <v>1.6685205780000001</v>
      </c>
      <c r="BH66">
        <f>1.520912548</f>
        <v>1.5209125480000001</v>
      </c>
      <c r="BI66">
        <f>1.657754011</f>
        <v>1.657754011</v>
      </c>
      <c r="BJ66">
        <f>1.556247221</f>
        <v>1.556247221</v>
      </c>
      <c r="BK66">
        <f>1.868732908</f>
        <v>1.8687329079999999</v>
      </c>
      <c r="BL66">
        <f>1.731601732</f>
        <v>1.7316017319999999</v>
      </c>
      <c r="BM66">
        <f>1.621120889</f>
        <v>1.621120889</v>
      </c>
      <c r="BN66">
        <f>1.383905689</f>
        <v>1.3839056890000001</v>
      </c>
      <c r="BO66">
        <f>2.059134108</f>
        <v>2.0591341079999999</v>
      </c>
      <c r="BP66">
        <f>1.387326584</f>
        <v>1.387326584</v>
      </c>
      <c r="BQ66">
        <f>1.534526854</f>
        <v>1.5345268540000001</v>
      </c>
      <c r="BR66">
        <f>1.309022908</f>
        <v>1.309022908</v>
      </c>
      <c r="BS66">
        <f>1.351351351</f>
        <v>1.3513513509999999</v>
      </c>
      <c r="BT66">
        <f>1.162790698</f>
        <v>1.162790698</v>
      </c>
      <c r="BU66">
        <f>1.167489897</f>
        <v>1.1674898970000001</v>
      </c>
      <c r="BV66">
        <f>1.305483029</f>
        <v>1.3054830289999999</v>
      </c>
      <c r="BW66">
        <f>1.336432307</f>
        <v>1.3364323069999999</v>
      </c>
      <c r="BX66">
        <f>1.139306059</f>
        <v>1.1393060589999999</v>
      </c>
      <c r="BY66">
        <f>1.707891637</f>
        <v>1.7078916369999999</v>
      </c>
      <c r="BZ66">
        <f>1.491712707</f>
        <v>1.491712707</v>
      </c>
      <c r="CA66">
        <f>1.726190476</f>
        <v>1.726190476</v>
      </c>
      <c r="CB66">
        <f>1.302401302</f>
        <v>1.302401302</v>
      </c>
      <c r="CC66">
        <f>1.280918728</f>
        <v>1.2809187280000001</v>
      </c>
      <c r="CD66">
        <f>1.26692879</f>
        <v>1.2669287899999999</v>
      </c>
      <c r="CE66">
        <f>1.448467967</f>
        <v>1.448467967</v>
      </c>
      <c r="CF66">
        <f>0.471920717</f>
        <v>0.47192071699999999</v>
      </c>
      <c r="CG66">
        <f>1.594746717</f>
        <v>1.594746717</v>
      </c>
    </row>
    <row r="67" spans="1:85" x14ac:dyDescent="0.25">
      <c r="A67" t="str">
        <f>"        Volkswagen Truck &amp; Bus"</f>
        <v xml:space="preserve">        Volkswagen Truck &amp; Bus</v>
      </c>
      <c r="B67" t="str">
        <f>"VOW GR Equity"</f>
        <v>VOW GR Equity</v>
      </c>
      <c r="E67" t="str">
        <f>"Expression"</f>
        <v>Expression</v>
      </c>
      <c r="F67" t="str">
        <f ca="1">IF(AND($B$294=1,LEN($F$206) * LEN($F$196)&gt;0),$F$206/$F$196*100,HLOOKUP(INDIRECT(ADDRESS(2,COLUMN())),OFFSET($AT$2,0,0,ROW()-1,40),ROW()-1,FALSE))</f>
        <v/>
      </c>
      <c r="G67" t="str">
        <f ca="1">IF(AND($B$294=1,LEN($G$206) * LEN($G$196)&gt;0),$G$206/$G$196*100,HLOOKUP(INDIRECT(ADDRESS(2,COLUMN())),OFFSET($AT$2,0,0,ROW()-1,40),ROW()-1,FALSE))</f>
        <v/>
      </c>
      <c r="H67" t="str">
        <f ca="1">IF(AND($B$294=1,LEN($H$206) * LEN($H$196)&gt;0),$H$206/$H$196*100,HLOOKUP(INDIRECT(ADDRESS(2,COLUMN())),OFFSET($AT$2,0,0,ROW()-1,40),ROW()-1,FALSE))</f>
        <v/>
      </c>
      <c r="I67" t="str">
        <f ca="1">IF(AND($B$294=1,LEN($I$206) * LEN($I$196)&gt;0),$I$206/$I$196*100,HLOOKUP(INDIRECT(ADDRESS(2,COLUMN())),OFFSET($AT$2,0,0,ROW()-1,40),ROW()-1,FALSE))</f>
        <v/>
      </c>
      <c r="J67" t="str">
        <f ca="1">IF(AND($B$294=1,LEN($J$206) * LEN($J$196)&gt;0),$J$206/$J$196*100,HLOOKUP(INDIRECT(ADDRESS(2,COLUMN())),OFFSET($AT$2,0,0,ROW()-1,40),ROW()-1,FALSE))</f>
        <v/>
      </c>
      <c r="K67" t="str">
        <f ca="1">IF(AND($B$294=1,LEN($K$206) * LEN($K$196)&gt;0),$K$206/$K$196*100,HLOOKUP(INDIRECT(ADDRESS(2,COLUMN())),OFFSET($AT$2,0,0,ROW()-1,40),ROW()-1,FALSE))</f>
        <v/>
      </c>
      <c r="L67" t="str">
        <f ca="1">IF(AND($B$294=1,LEN($L$206) * LEN($L$196)&gt;0),$L$206/$L$196*100,HLOOKUP(INDIRECT(ADDRESS(2,COLUMN())),OFFSET($AT$2,0,0,ROW()-1,40),ROW()-1,FALSE))</f>
        <v/>
      </c>
      <c r="M67" t="str">
        <f ca="1">IF(AND($B$294=1,LEN($M$206) * LEN($M$196)&gt;0),$M$206/$M$196*100,HLOOKUP(INDIRECT(ADDRESS(2,COLUMN())),OFFSET($AT$2,0,0,ROW()-1,40),ROW()-1,FALSE))</f>
        <v/>
      </c>
      <c r="N67" t="str">
        <f ca="1">IF(AND($B$294=1,LEN($N$206) * LEN($N$196)&gt;0),$N$206/$N$196*100,HLOOKUP(INDIRECT(ADDRESS(2,COLUMN())),OFFSET($AT$2,0,0,ROW()-1,40),ROW()-1,FALSE))</f>
        <v/>
      </c>
      <c r="O67" t="str">
        <f ca="1">IF(AND($B$294=1,LEN($O$206) * LEN($O$196)&gt;0),$O$206/$O$196*100,HLOOKUP(INDIRECT(ADDRESS(2,COLUMN())),OFFSET($AT$2,0,0,ROW()-1,40),ROW()-1,FALSE))</f>
        <v/>
      </c>
      <c r="P67" t="str">
        <f ca="1">IF(AND($B$294=1,LEN($P$206) * LEN($P$196)&gt;0),$P$206/$P$196*100,HLOOKUP(INDIRECT(ADDRESS(2,COLUMN())),OFFSET($AT$2,0,0,ROW()-1,40),ROW()-1,FALSE))</f>
        <v/>
      </c>
      <c r="Q67" t="str">
        <f ca="1">IF(AND($B$294=1,LEN($Q$206) * LEN($Q$196)&gt;0),$Q$206/$Q$196*100,HLOOKUP(INDIRECT(ADDRESS(2,COLUMN())),OFFSET($AT$2,0,0,ROW()-1,40),ROW()-1,FALSE))</f>
        <v/>
      </c>
      <c r="R67" t="str">
        <f ca="1">IF(AND($B$294=1,LEN($R$206) * LEN($R$196)&gt;0),$R$206/$R$196*100,HLOOKUP(INDIRECT(ADDRESS(2,COLUMN())),OFFSET($AT$2,0,0,ROW()-1,40),ROW()-1,FALSE))</f>
        <v/>
      </c>
      <c r="S67" t="str">
        <f ca="1">IF(AND($B$294=1,LEN($S$206) * LEN($S$196)&gt;0),$S$206/$S$196*100,HLOOKUP(INDIRECT(ADDRESS(2,COLUMN())),OFFSET($AT$2,0,0,ROW()-1,40),ROW()-1,FALSE))</f>
        <v/>
      </c>
      <c r="T67" t="str">
        <f ca="1">IF(AND($B$294=1,LEN($T$206) * LEN($T$196)&gt;0),$T$206/$T$196*100,HLOOKUP(INDIRECT(ADDRESS(2,COLUMN())),OFFSET($AT$2,0,0,ROW()-1,40),ROW()-1,FALSE))</f>
        <v/>
      </c>
      <c r="U67" t="str">
        <f ca="1">IF(AND($B$294=1,LEN($U$206) * LEN($U$196)&gt;0),$U$206/$U$196*100,HLOOKUP(INDIRECT(ADDRESS(2,COLUMN())),OFFSET($AT$2,0,0,ROW()-1,40),ROW()-1,FALSE))</f>
        <v/>
      </c>
      <c r="V67" t="str">
        <f ca="1">IF(AND($B$294=1,LEN($V$206) * LEN($V$196)&gt;0),$V$206/$V$196*100,HLOOKUP(INDIRECT(ADDRESS(2,COLUMN())),OFFSET($AT$2,0,0,ROW()-1,40),ROW()-1,FALSE))</f>
        <v/>
      </c>
      <c r="W67" t="str">
        <f ca="1">IF(AND($B$294=1,LEN($W$206) * LEN($W$196)&gt;0),$W$206/$W$196*100,HLOOKUP(INDIRECT(ADDRESS(2,COLUMN())),OFFSET($AT$2,0,0,ROW()-1,40),ROW()-1,FALSE))</f>
        <v/>
      </c>
      <c r="X67" t="str">
        <f ca="1">IF(AND($B$294=1,LEN($X$206) * LEN($X$196)&gt;0),$X$206/$X$196*100,HLOOKUP(INDIRECT(ADDRESS(2,COLUMN())),OFFSET($AT$2,0,0,ROW()-1,40),ROW()-1,FALSE))</f>
        <v/>
      </c>
      <c r="Y67" t="str">
        <f ca="1">IF(AND($B$294=1,LEN($Y$206) * LEN($Y$196)&gt;0),$Y$206/$Y$196*100,HLOOKUP(INDIRECT(ADDRESS(2,COLUMN())),OFFSET($AT$2,0,0,ROW()-1,40),ROW()-1,FALSE))</f>
        <v/>
      </c>
      <c r="Z67" t="str">
        <f ca="1">IF(AND($B$294=1,LEN($Z$206) * LEN($Z$196)&gt;0),$Z$206/$Z$196*100,HLOOKUP(INDIRECT(ADDRESS(2,COLUMN())),OFFSET($AT$2,0,0,ROW()-1,40),ROW()-1,FALSE))</f>
        <v/>
      </c>
      <c r="AA67" t="str">
        <f ca="1">IF(AND($B$294=1,LEN($AA$206) * LEN($AA$196)&gt;0),$AA$206/$AA$196*100,HLOOKUP(INDIRECT(ADDRESS(2,COLUMN())),OFFSET($AT$2,0,0,ROW()-1,40),ROW()-1,FALSE))</f>
        <v/>
      </c>
      <c r="AB67" t="str">
        <f ca="1">IF(AND($B$294=1,LEN($AB$206) * LEN($AB$196)&gt;0),$AB$206/$AB$196*100,HLOOKUP(INDIRECT(ADDRESS(2,COLUMN())),OFFSET($AT$2,0,0,ROW()-1,40),ROW()-1,FALSE))</f>
        <v/>
      </c>
      <c r="AC67" t="str">
        <f ca="1">IF(AND($B$294=1,LEN($AC$206) * LEN($AC$196)&gt;0),$AC$206/$AC$196*100,HLOOKUP(INDIRECT(ADDRESS(2,COLUMN())),OFFSET($AT$2,0,0,ROW()-1,40),ROW()-1,FALSE))</f>
        <v/>
      </c>
      <c r="AD67" t="str">
        <f ca="1">IF(AND($B$294=1,LEN($AD$206) * LEN($AD$196)&gt;0),$AD$206/$AD$196*100,HLOOKUP(INDIRECT(ADDRESS(2,COLUMN())),OFFSET($AT$2,0,0,ROW()-1,40),ROW()-1,FALSE))</f>
        <v/>
      </c>
      <c r="AE67" t="str">
        <f ca="1">IF(AND($B$294=1,LEN($AE$206) * LEN($AE$196)&gt;0),$AE$206/$AE$196*100,HLOOKUP(INDIRECT(ADDRESS(2,COLUMN())),OFFSET($AT$2,0,0,ROW()-1,40),ROW()-1,FALSE))</f>
        <v/>
      </c>
      <c r="AF67" t="str">
        <f ca="1">IF(AND($B$294=1,LEN($AF$206) * LEN($AF$196)&gt;0),$AF$206/$AF$196*100,HLOOKUP(INDIRECT(ADDRESS(2,COLUMN())),OFFSET($AT$2,0,0,ROW()-1,40),ROW()-1,FALSE))</f>
        <v/>
      </c>
      <c r="AG67" t="str">
        <f ca="1">IF(AND($B$294=1,LEN($AG$206) * LEN($AG$196)&gt;0),$AG$206/$AG$196*100,HLOOKUP(INDIRECT(ADDRESS(2,COLUMN())),OFFSET($AT$2,0,0,ROW()-1,40),ROW()-1,FALSE))</f>
        <v/>
      </c>
      <c r="AH67" t="str">
        <f ca="1">IF(AND($B$294=1,LEN($AH$206) * LEN($AH$196)&gt;0),$AH$206/$AH$196*100,HLOOKUP(INDIRECT(ADDRESS(2,COLUMN())),OFFSET($AT$2,0,0,ROW()-1,40),ROW()-1,FALSE))</f>
        <v/>
      </c>
      <c r="AI67" t="str">
        <f ca="1">IF(AND($B$294=1,LEN($AI$206) * LEN($AI$196)&gt;0),$AI$206/$AI$196*100,HLOOKUP(INDIRECT(ADDRESS(2,COLUMN())),OFFSET($AT$2,0,0,ROW()-1,40),ROW()-1,FALSE))</f>
        <v/>
      </c>
      <c r="AJ67" t="str">
        <f ca="1">IF(AND($B$294=1,LEN($AJ$206) * LEN($AJ$196)&gt;0),$AJ$206/$AJ$196*100,HLOOKUP(INDIRECT(ADDRESS(2,COLUMN())),OFFSET($AT$2,0,0,ROW()-1,40),ROW()-1,FALSE))</f>
        <v/>
      </c>
      <c r="AK67" t="str">
        <f ca="1">IF(AND($B$294=1,LEN($AK$206) * LEN($AK$196)&gt;0),$AK$206/$AK$196*100,HLOOKUP(INDIRECT(ADDRESS(2,COLUMN())),OFFSET($AT$2,0,0,ROW()-1,40),ROW()-1,FALSE))</f>
        <v/>
      </c>
      <c r="AL67" t="str">
        <f ca="1">IF(AND($B$294=1,LEN($AL$206) * LEN($AL$196)&gt;0),$AL$206/$AL$196*100,HLOOKUP(INDIRECT(ADDRESS(2,COLUMN())),OFFSET($AT$2,0,0,ROW()-1,40),ROW()-1,FALSE))</f>
        <v/>
      </c>
      <c r="AM67" t="str">
        <f ca="1">IF(AND($B$294=1,LEN($AM$206) * LEN($AM$196)&gt;0),$AM$206/$AM$196*100,HLOOKUP(INDIRECT(ADDRESS(2,COLUMN())),OFFSET($AT$2,0,0,ROW()-1,40),ROW()-1,FALSE))</f>
        <v/>
      </c>
      <c r="AN67" t="str">
        <f ca="1">IF(AND($B$294=1,LEN($AN$206) * LEN($AN$196)&gt;0),$AN$206/$AN$196*100,HLOOKUP(INDIRECT(ADDRESS(2,COLUMN())),OFFSET($AT$2,0,0,ROW()-1,40),ROW()-1,FALSE))</f>
        <v/>
      </c>
      <c r="AO67" t="str">
        <f ca="1">IF(AND($B$294=1,LEN($AO$206) * LEN($AO$196)&gt;0),$AO$206/$AO$196*100,HLOOKUP(INDIRECT(ADDRESS(2,COLUMN())),OFFSET($AT$2,0,0,ROW()-1,40),ROW()-1,FALSE))</f>
        <v/>
      </c>
      <c r="AP67" t="str">
        <f ca="1">IF(AND($B$294=1,LEN($AP$206) * LEN($AP$196)&gt;0),$AP$206/$AP$196*100,HLOOKUP(INDIRECT(ADDRESS(2,COLUMN())),OFFSET($AT$2,0,0,ROW()-1,40),ROW()-1,FALSE))</f>
        <v/>
      </c>
      <c r="AQ67" t="str">
        <f ca="1">IF(AND($B$294=1,LEN($AQ$206) * LEN($AQ$196)&gt;0),$AQ$206/$AQ$196*100,HLOOKUP(INDIRECT(ADDRESS(2,COLUMN())),OFFSET($AT$2,0,0,ROW()-1,40),ROW()-1,FALSE))</f>
        <v/>
      </c>
      <c r="AR67" t="str">
        <f ca="1">IF(AND($B$294=1,LEN($AR$206) * LEN($AR$196)&gt;0),$AR$206/$AR$196*100,HLOOKUP(INDIRECT(ADDRESS(2,COLUMN())),OFFSET($AT$2,0,0,ROW()-1,40),ROW()-1,FALSE))</f>
        <v/>
      </c>
      <c r="AS67" t="str">
        <f ca="1">IF(AND($B$294=1,LEN($AS$206) * LEN($AS$196)&gt;0),$AS$206/$AS$196*100,HLOOKUP(INDIRECT(ADDRESS(2,COLUMN())),OFFSET($AT$2,0,0,ROW()-1,40),ROW()-1,FALSE))</f>
        <v/>
      </c>
      <c r="AT67" t="str">
        <f>""</f>
        <v/>
      </c>
      <c r="AU67" t="str">
        <f>""</f>
        <v/>
      </c>
      <c r="AV67" t="str">
        <f>""</f>
        <v/>
      </c>
      <c r="AW67" t="str">
        <f>""</f>
        <v/>
      </c>
      <c r="AX67" t="str">
        <f>""</f>
        <v/>
      </c>
      <c r="AY67" t="str">
        <f>""</f>
        <v/>
      </c>
      <c r="AZ67" t="str">
        <f>""</f>
        <v/>
      </c>
      <c r="BA67" t="str">
        <f>""</f>
        <v/>
      </c>
      <c r="BB67" t="str">
        <f>""</f>
        <v/>
      </c>
      <c r="BC67" t="str">
        <f>""</f>
        <v/>
      </c>
      <c r="BD67" t="str">
        <f>""</f>
        <v/>
      </c>
      <c r="BE67" t="str">
        <f>""</f>
        <v/>
      </c>
      <c r="BF67" t="str">
        <f>""</f>
        <v/>
      </c>
      <c r="BG67" t="str">
        <f>""</f>
        <v/>
      </c>
      <c r="BH67" t="str">
        <f>""</f>
        <v/>
      </c>
      <c r="BI67" t="str">
        <f>""</f>
        <v/>
      </c>
      <c r="BJ67" t="str">
        <f>""</f>
        <v/>
      </c>
      <c r="BK67" t="str">
        <f>""</f>
        <v/>
      </c>
      <c r="BL67" t="str">
        <f>""</f>
        <v/>
      </c>
      <c r="BM67" t="str">
        <f>""</f>
        <v/>
      </c>
      <c r="BN67" t="str">
        <f>""</f>
        <v/>
      </c>
      <c r="BO67" t="str">
        <f>""</f>
        <v/>
      </c>
      <c r="BP67" t="str">
        <f>""</f>
        <v/>
      </c>
      <c r="BQ67" t="str">
        <f>""</f>
        <v/>
      </c>
      <c r="BR67" t="str">
        <f>""</f>
        <v/>
      </c>
      <c r="BS67" t="str">
        <f>""</f>
        <v/>
      </c>
      <c r="BT67" t="str">
        <f>""</f>
        <v/>
      </c>
      <c r="BU67" t="str">
        <f>""</f>
        <v/>
      </c>
      <c r="BV67" t="str">
        <f>""</f>
        <v/>
      </c>
      <c r="BW67" t="str">
        <f>""</f>
        <v/>
      </c>
      <c r="BX67" t="str">
        <f>""</f>
        <v/>
      </c>
      <c r="BY67" t="str">
        <f>""</f>
        <v/>
      </c>
      <c r="BZ67" t="str">
        <f>""</f>
        <v/>
      </c>
      <c r="CA67" t="str">
        <f>""</f>
        <v/>
      </c>
      <c r="CB67" t="str">
        <f>""</f>
        <v/>
      </c>
      <c r="CC67" t="str">
        <f>""</f>
        <v/>
      </c>
      <c r="CD67" t="str">
        <f>""</f>
        <v/>
      </c>
      <c r="CE67" t="str">
        <f>""</f>
        <v/>
      </c>
      <c r="CF67" t="str">
        <f>""</f>
        <v/>
      </c>
      <c r="CG67" t="str">
        <f>""</f>
        <v/>
      </c>
    </row>
    <row r="68" spans="1:85" x14ac:dyDescent="0.25">
      <c r="A68" t="str">
        <f>"    Scania"</f>
        <v xml:space="preserve">    Scania</v>
      </c>
      <c r="B68" t="str">
        <f>"SCVB SS Equity"</f>
        <v>SCVB SS Equity</v>
      </c>
      <c r="E68" t="str">
        <f>"Expression"</f>
        <v>Expression</v>
      </c>
      <c r="F68" t="str">
        <f ca="1">IF(AND($B$294=1,LEN($F$207) * LEN($F$196)&gt;0),$F$207/$F$196*100,HLOOKUP(INDIRECT(ADDRESS(2,COLUMN())),OFFSET($AT$2,0,0,ROW()-1,40),ROW()-1,FALSE))</f>
        <v/>
      </c>
      <c r="G68" t="str">
        <f ca="1">IF(AND($B$294=1,LEN($G$207) * LEN($G$196)&gt;0),$G$207/$G$196*100,HLOOKUP(INDIRECT(ADDRESS(2,COLUMN())),OFFSET($AT$2,0,0,ROW()-1,40),ROW()-1,FALSE))</f>
        <v/>
      </c>
      <c r="H68" t="str">
        <f ca="1">IF(AND($B$294=1,LEN($H$207) * LEN($H$196)&gt;0),$H$207/$H$196*100,HLOOKUP(INDIRECT(ADDRESS(2,COLUMN())),OFFSET($AT$2,0,0,ROW()-1,40),ROW()-1,FALSE))</f>
        <v/>
      </c>
      <c r="I68" t="str">
        <f ca="1">IF(AND($B$294=1,LEN($I$207) * LEN($I$196)&gt;0),$I$207/$I$196*100,HLOOKUP(INDIRECT(ADDRESS(2,COLUMN())),OFFSET($AT$2,0,0,ROW()-1,40),ROW()-1,FALSE))</f>
        <v/>
      </c>
      <c r="J68" t="str">
        <f ca="1">IF(AND($B$294=1,LEN($J$207) * LEN($J$196)&gt;0),$J$207/$J$196*100,HLOOKUP(INDIRECT(ADDRESS(2,COLUMN())),OFFSET($AT$2,0,0,ROW()-1,40),ROW()-1,FALSE))</f>
        <v/>
      </c>
      <c r="K68" t="str">
        <f ca="1">IF(AND($B$294=1,LEN($K$207) * LEN($K$196)&gt;0),$K$207/$K$196*100,HLOOKUP(INDIRECT(ADDRESS(2,COLUMN())),OFFSET($AT$2,0,0,ROW()-1,40),ROW()-1,FALSE))</f>
        <v/>
      </c>
      <c r="L68" t="str">
        <f ca="1">IF(AND($B$294=1,LEN($L$207) * LEN($L$196)&gt;0),$L$207/$L$196*100,HLOOKUP(INDIRECT(ADDRESS(2,COLUMN())),OFFSET($AT$2,0,0,ROW()-1,40),ROW()-1,FALSE))</f>
        <v/>
      </c>
      <c r="M68" t="str">
        <f ca="1">IF(AND($B$294=1,LEN($M$207) * LEN($M$196)&gt;0),$M$207/$M$196*100,HLOOKUP(INDIRECT(ADDRESS(2,COLUMN())),OFFSET($AT$2,0,0,ROW()-1,40),ROW()-1,FALSE))</f>
        <v/>
      </c>
      <c r="N68" t="str">
        <f ca="1">IF(AND($B$294=1,LEN($N$207) * LEN($N$196)&gt;0),$N$207/$N$196*100,HLOOKUP(INDIRECT(ADDRESS(2,COLUMN())),OFFSET($AT$2,0,0,ROW()-1,40),ROW()-1,FALSE))</f>
        <v/>
      </c>
      <c r="O68" t="str">
        <f ca="1">IF(AND($B$294=1,LEN($O$207) * LEN($O$196)&gt;0),$O$207/$O$196*100,HLOOKUP(INDIRECT(ADDRESS(2,COLUMN())),OFFSET($AT$2,0,0,ROW()-1,40),ROW()-1,FALSE))</f>
        <v/>
      </c>
      <c r="P68">
        <f ca="1">IF(AND($B$294=1,LEN($P$207) * LEN($P$196)&gt;0),$P$207/$P$196*100,HLOOKUP(INDIRECT(ADDRESS(2,COLUMN())),OFFSET($AT$2,0,0,ROW()-1,40),ROW()-1,FALSE))</f>
        <v>5.3636144000000003</v>
      </c>
      <c r="Q68">
        <f ca="1">IF(AND($B$294=1,LEN($Q$207) * LEN($Q$196)&gt;0),$Q$207/$Q$196*100,HLOOKUP(INDIRECT(ADDRESS(2,COLUMN())),OFFSET($AT$2,0,0,ROW()-1,40),ROW()-1,FALSE))</f>
        <v>4.9984853070000002</v>
      </c>
      <c r="R68">
        <f ca="1">IF(AND($B$294=1,LEN($R$207) * LEN($R$196)&gt;0),$R$207/$R$196*100,HLOOKUP(INDIRECT(ADDRESS(2,COLUMN())),OFFSET($AT$2,0,0,ROW()-1,40),ROW()-1,FALSE))</f>
        <v>5.3997194950000003</v>
      </c>
      <c r="S68">
        <f ca="1">IF(AND($B$294=1,LEN($S$207) * LEN($S$196)&gt;0),$S$207/$S$196*100,HLOOKUP(INDIRECT(ADDRESS(2,COLUMN())),OFFSET($AT$2,0,0,ROW()-1,40),ROW()-1,FALSE))</f>
        <v>5.4134223209999996</v>
      </c>
      <c r="T68">
        <f ca="1">IF(AND($B$294=1,LEN($T$207) * LEN($T$196)&gt;0),$T$207/$T$196*100,HLOOKUP(INDIRECT(ADDRESS(2,COLUMN())),OFFSET($AT$2,0,0,ROW()-1,40),ROW()-1,FALSE))</f>
        <v>5.0274609210000003</v>
      </c>
      <c r="U68">
        <f ca="1">IF(AND($B$294=1,LEN($U$207) * LEN($U$196)&gt;0),$U$207/$U$196*100,HLOOKUP(INDIRECT(ADDRESS(2,COLUMN())),OFFSET($AT$2,0,0,ROW()-1,40),ROW()-1,FALSE))</f>
        <v>5.4545454549999999</v>
      </c>
      <c r="V68">
        <f ca="1">IF(AND($B$294=1,LEN($V$207) * LEN($V$196)&gt;0),$V$207/$V$196*100,HLOOKUP(INDIRECT(ADDRESS(2,COLUMN())),OFFSET($AT$2,0,0,ROW()-1,40),ROW()-1,FALSE))</f>
        <v>5.1578479320000001</v>
      </c>
      <c r="W68">
        <f ca="1">IF(AND($B$294=1,LEN($W$207) * LEN($W$196)&gt;0),$W$207/$W$196*100,HLOOKUP(INDIRECT(ADDRESS(2,COLUMN())),OFFSET($AT$2,0,0,ROW()-1,40),ROW()-1,FALSE))</f>
        <v>6.1075660889999996</v>
      </c>
      <c r="X68">
        <f ca="1">IF(AND($B$294=1,LEN($X$207) * LEN($X$196)&gt;0),$X$207/$X$196*100,HLOOKUP(INDIRECT(ADDRESS(2,COLUMN())),OFFSET($AT$2,0,0,ROW()-1,40),ROW()-1,FALSE))</f>
        <v>5.670995671</v>
      </c>
      <c r="Y68">
        <f ca="1">IF(AND($B$294=1,LEN($Y$207) * LEN($Y$196)&gt;0),$Y$207/$Y$196*100,HLOOKUP(INDIRECT(ADDRESS(2,COLUMN())),OFFSET($AT$2,0,0,ROW()-1,40),ROW()-1,FALSE))</f>
        <v>5.3728578049999998</v>
      </c>
      <c r="Z68">
        <f ca="1">IF(AND($B$294=1,LEN($Z$207) * LEN($Z$196)&gt;0),$Z$207/$Z$196*100,HLOOKUP(INDIRECT(ADDRESS(2,COLUMN())),OFFSET($AT$2,0,0,ROW()-1,40),ROW()-1,FALSE))</f>
        <v>4.5617631980000004</v>
      </c>
      <c r="AA68">
        <f ca="1">IF(AND($B$294=1,LEN($AA$207) * LEN($AA$196)&gt;0),$AA$207/$AA$196*100,HLOOKUP(INDIRECT(ADDRESS(2,COLUMN())),OFFSET($AT$2,0,0,ROW()-1,40),ROW()-1,FALSE))</f>
        <v>6.7053854279999996</v>
      </c>
      <c r="AB68">
        <f ca="1">IF(AND($B$294=1,LEN($AB$207) * LEN($AB$196)&gt;0),$AB$207/$AB$196*100,HLOOKUP(INDIRECT(ADDRESS(2,COLUMN())),OFFSET($AT$2,0,0,ROW()-1,40),ROW()-1,FALSE))</f>
        <v>4.4244469439999996</v>
      </c>
      <c r="AC68">
        <f ca="1">IF(AND($B$294=1,LEN($AC$207) * LEN($AC$196)&gt;0),$AC$207/$AC$196*100,HLOOKUP(INDIRECT(ADDRESS(2,COLUMN())),OFFSET($AT$2,0,0,ROW()-1,40),ROW()-1,FALSE))</f>
        <v>4.8593350380000002</v>
      </c>
      <c r="AD68">
        <f ca="1">IF(AND($B$294=1,LEN($AD$207) * LEN($AD$196)&gt;0),$AD$207/$AD$196*100,HLOOKUP(INDIRECT(ADDRESS(2,COLUMN())),OFFSET($AT$2,0,0,ROW()-1,40),ROW()-1,FALSE))</f>
        <v>4.1608228140000003</v>
      </c>
      <c r="AE68">
        <f ca="1">IF(AND($B$294=1,LEN($AE$207) * LEN($AE$196)&gt;0),$AE$207/$AE$196*100,HLOOKUP(INDIRECT(ADDRESS(2,COLUMN())),OFFSET($AT$2,0,0,ROW()-1,40),ROW()-1,FALSE))</f>
        <v>4.3139293140000001</v>
      </c>
      <c r="AF68">
        <f ca="1">IF(AND($B$294=1,LEN($AF$207) * LEN($AF$196)&gt;0),$AF$207/$AF$196*100,HLOOKUP(INDIRECT(ADDRESS(2,COLUMN())),OFFSET($AT$2,0,0,ROW()-1,40),ROW()-1,FALSE))</f>
        <v>3.711985689</v>
      </c>
      <c r="AG68">
        <f ca="1">IF(AND($B$294=1,LEN($AG$207) * LEN($AG$196)&gt;0),$AG$207/$AG$196*100,HLOOKUP(INDIRECT(ADDRESS(2,COLUMN())),OFFSET($AT$2,0,0,ROW()-1,40),ROW()-1,FALSE))</f>
        <v>3.7269869779999998</v>
      </c>
      <c r="AH68">
        <f ca="1">IF(AND($B$294=1,LEN($AH$207) * LEN($AH$196)&gt;0),$AH$207/$AH$196*100,HLOOKUP(INDIRECT(ADDRESS(2,COLUMN())),OFFSET($AT$2,0,0,ROW()-1,40),ROW()-1,FALSE))</f>
        <v>4.1775456919999998</v>
      </c>
      <c r="AI68">
        <f ca="1">IF(AND($B$294=1,LEN($AI$207) * LEN($AI$196)&gt;0),$AI$207/$AI$196*100,HLOOKUP(INDIRECT(ADDRESS(2,COLUMN())),OFFSET($AT$2,0,0,ROW()-1,40),ROW()-1,FALSE))</f>
        <v>4.2998256829999999</v>
      </c>
      <c r="AJ68">
        <f ca="1">IF(AND($B$294=1,LEN($AJ$207) * LEN($AJ$196)&gt;0),$AJ$207/$AJ$196*100,HLOOKUP(INDIRECT(ADDRESS(2,COLUMN())),OFFSET($AT$2,0,0,ROW()-1,40),ROW()-1,FALSE))</f>
        <v>3.6768513719999998</v>
      </c>
      <c r="AK68">
        <f ca="1">IF(AND($B$294=1,LEN($AK$207) * LEN($AK$196)&gt;0),$AK$207/$AK$196*100,HLOOKUP(INDIRECT(ADDRESS(2,COLUMN())),OFFSET($AT$2,0,0,ROW()-1,40),ROW()-1,FALSE))</f>
        <v>5.4181389869999999</v>
      </c>
      <c r="AL68">
        <f ca="1">IF(AND($B$294=1,LEN($AL$207) * LEN($AL$196)&gt;0),$AL$207/$AL$196*100,HLOOKUP(INDIRECT(ADDRESS(2,COLUMN())),OFFSET($AT$2,0,0,ROW()-1,40),ROW()-1,FALSE))</f>
        <v>4.7513812150000003</v>
      </c>
      <c r="AM68">
        <f ca="1">IF(AND($B$294=1,LEN($AM$207) * LEN($AM$196)&gt;0),$AM$207/$AM$196*100,HLOOKUP(INDIRECT(ADDRESS(2,COLUMN())),OFFSET($AT$2,0,0,ROW()-1,40),ROW()-1,FALSE))</f>
        <v>5.4761904760000002</v>
      </c>
      <c r="AN68">
        <f ca="1">IF(AND($B$294=1,LEN($AN$207) * LEN($AN$196)&gt;0),$AN$207/$AN$196*100,HLOOKUP(INDIRECT(ADDRESS(2,COLUMN())),OFFSET($AT$2,0,0,ROW()-1,40),ROW()-1,FALSE))</f>
        <v>4.1107041110000004</v>
      </c>
      <c r="AO68">
        <f ca="1">IF(AND($B$294=1,LEN($AO$207) * LEN($AO$196)&gt;0),$AO$207/$AO$196*100,HLOOKUP(INDIRECT(ADDRESS(2,COLUMN())),OFFSET($AT$2,0,0,ROW()-1,40),ROW()-1,FALSE))</f>
        <v>4.1077738520000002</v>
      </c>
      <c r="AP68">
        <f ca="1">IF(AND($B$294=1,LEN($AP$207) * LEN($AP$196)&gt;0),$AP$207/$AP$196*100,HLOOKUP(INDIRECT(ADDRESS(2,COLUMN())),OFFSET($AT$2,0,0,ROW()-1,40),ROW()-1,FALSE))</f>
        <v>4.2813455659999997</v>
      </c>
      <c r="AQ68">
        <f ca="1">IF(AND($B$294=1,LEN($AQ$207) * LEN($AQ$196)&gt;0),$AQ$207/$AQ$196*100,HLOOKUP(INDIRECT(ADDRESS(2,COLUMN())),OFFSET($AT$2,0,0,ROW()-1,40),ROW()-1,FALSE))</f>
        <v>4.233983287</v>
      </c>
      <c r="AR68">
        <f ca="1">IF(AND($B$294=1,LEN($AR$207) * LEN($AR$196)&gt;0),$AR$207/$AR$196*100,HLOOKUP(INDIRECT(ADDRESS(2,COLUMN())),OFFSET($AT$2,0,0,ROW()-1,40),ROW()-1,FALSE))</f>
        <v>2.2180273709999998</v>
      </c>
      <c r="AS68">
        <f ca="1">IF(AND($B$294=1,LEN($AS$207) * LEN($AS$196)&gt;0),$AS$207/$AS$196*100,HLOOKUP(INDIRECT(ADDRESS(2,COLUMN())),OFFSET($AT$2,0,0,ROW()-1,40),ROW()-1,FALSE))</f>
        <v>3.236397749</v>
      </c>
      <c r="AT68" t="str">
        <f>""</f>
        <v/>
      </c>
      <c r="AU68" t="str">
        <f>""</f>
        <v/>
      </c>
      <c r="AV68" t="str">
        <f>""</f>
        <v/>
      </c>
      <c r="AW68" t="str">
        <f>""</f>
        <v/>
      </c>
      <c r="AX68" t="str">
        <f>""</f>
        <v/>
      </c>
      <c r="AY68" t="str">
        <f>""</f>
        <v/>
      </c>
      <c r="AZ68" t="str">
        <f>""</f>
        <v/>
      </c>
      <c r="BA68" t="str">
        <f>""</f>
        <v/>
      </c>
      <c r="BB68" t="str">
        <f>""</f>
        <v/>
      </c>
      <c r="BC68" t="str">
        <f>""</f>
        <v/>
      </c>
      <c r="BD68">
        <f>5.3636144</f>
        <v>5.3636144000000003</v>
      </c>
      <c r="BE68">
        <f>4.998485307</f>
        <v>4.9984853070000002</v>
      </c>
      <c r="BF68">
        <f>5.399719495</f>
        <v>5.3997194950000003</v>
      </c>
      <c r="BG68">
        <f>5.413422321</f>
        <v>5.4134223209999996</v>
      </c>
      <c r="BH68">
        <f>5.027460921</f>
        <v>5.0274609210000003</v>
      </c>
      <c r="BI68">
        <f>5.454545455</f>
        <v>5.4545454549999999</v>
      </c>
      <c r="BJ68">
        <f>5.157847932</f>
        <v>5.1578479320000001</v>
      </c>
      <c r="BK68">
        <f>6.107566089</f>
        <v>6.1075660889999996</v>
      </c>
      <c r="BL68">
        <f>5.670995671</f>
        <v>5.670995671</v>
      </c>
      <c r="BM68">
        <f>5.372857805</f>
        <v>5.3728578049999998</v>
      </c>
      <c r="BN68">
        <f>4.561763198</f>
        <v>4.5617631980000004</v>
      </c>
      <c r="BO68">
        <f>6.705385428</f>
        <v>6.7053854279999996</v>
      </c>
      <c r="BP68">
        <f>4.424446944</f>
        <v>4.4244469439999996</v>
      </c>
      <c r="BQ68">
        <f>4.859335038</f>
        <v>4.8593350380000002</v>
      </c>
      <c r="BR68">
        <f>4.160822814</f>
        <v>4.1608228140000003</v>
      </c>
      <c r="BS68">
        <f>4.313929314</f>
        <v>4.3139293140000001</v>
      </c>
      <c r="BT68">
        <f>3.711985689</f>
        <v>3.711985689</v>
      </c>
      <c r="BU68">
        <f>3.726986978</f>
        <v>3.7269869779999998</v>
      </c>
      <c r="BV68">
        <f>4.177545692</f>
        <v>4.1775456919999998</v>
      </c>
      <c r="BW68">
        <f>4.299825683</f>
        <v>4.2998256829999999</v>
      </c>
      <c r="BX68">
        <f>3.676851372</f>
        <v>3.6768513719999998</v>
      </c>
      <c r="BY68">
        <f>5.418138987</f>
        <v>5.4181389869999999</v>
      </c>
      <c r="BZ68">
        <f>4.751381215</f>
        <v>4.7513812150000003</v>
      </c>
      <c r="CA68">
        <f>5.476190476</f>
        <v>5.4761904760000002</v>
      </c>
      <c r="CB68">
        <f>4.110704111</f>
        <v>4.1107041110000004</v>
      </c>
      <c r="CC68">
        <f>4.107773852</f>
        <v>4.1077738520000002</v>
      </c>
      <c r="CD68">
        <f>4.281345566</f>
        <v>4.2813455659999997</v>
      </c>
      <c r="CE68">
        <f>4.233983287</f>
        <v>4.233983287</v>
      </c>
      <c r="CF68">
        <f>2.218027371</f>
        <v>2.2180273709999998</v>
      </c>
      <c r="CG68">
        <f>3.236397749</f>
        <v>3.236397749</v>
      </c>
    </row>
    <row r="69" spans="1:85" x14ac:dyDescent="0.25">
      <c r="A69" t="str">
        <f>"    Unspecified/Other"</f>
        <v xml:space="preserve">    Unspecified/Other</v>
      </c>
      <c r="B69" t="str">
        <f>"SCVB SS Equity"</f>
        <v>SCVB SS Equity</v>
      </c>
      <c r="E69" t="str">
        <f>"Expression"</f>
        <v>Expression</v>
      </c>
      <c r="F69">
        <f ca="1">IF(AND($B$294=1,LEN($F$208) * LEN($F$196)&gt;0),$F$208/$F$196*100,HLOOKUP(INDIRECT(ADDRESS(2,COLUMN())),OFFSET($AT$2,0,0,ROW()-1,40),ROW()-1,FALSE))</f>
        <v>15.14547629</v>
      </c>
      <c r="G69">
        <f ca="1">IF(AND($B$294=1,LEN($G$208) * LEN($G$196)&gt;0),$G$208/$G$196*100,HLOOKUP(INDIRECT(ADDRESS(2,COLUMN())),OFFSET($AT$2,0,0,ROW()-1,40),ROW()-1,FALSE))</f>
        <v>21.010860480000002</v>
      </c>
      <c r="H69">
        <f ca="1">IF(AND($B$294=1,LEN($H$208) * LEN($H$196)&gt;0),$H$208/$H$196*100,HLOOKUP(INDIRECT(ADDRESS(2,COLUMN())),OFFSET($AT$2,0,0,ROW()-1,40),ROW()-1,FALSE))</f>
        <v>14.52538631</v>
      </c>
      <c r="I69">
        <f ca="1">IF(AND($B$294=1,LEN($I$208) * LEN($I$196)&gt;0),$I$208/$I$196*100,HLOOKUP(INDIRECT(ADDRESS(2,COLUMN())),OFFSET($AT$2,0,0,ROW()-1,40),ROW()-1,FALSE))</f>
        <v>15.649867370000001</v>
      </c>
      <c r="J69">
        <f ca="1">IF(AND($B$294=1,LEN($J$208) * LEN($J$196)&gt;0),$J$208/$J$196*100,HLOOKUP(INDIRECT(ADDRESS(2,COLUMN())),OFFSET($AT$2,0,0,ROW()-1,40),ROW()-1,FALSE))</f>
        <v>20.412457910000001</v>
      </c>
      <c r="K69">
        <f ca="1">IF(AND($B$294=1,LEN($K$208) * LEN($K$196)&gt;0),$K$208/$K$196*100,HLOOKUP(INDIRECT(ADDRESS(2,COLUMN())),OFFSET($AT$2,0,0,ROW()-1,40),ROW()-1,FALSE))</f>
        <v>18.12255541</v>
      </c>
      <c r="L69">
        <f ca="1">IF(AND($B$294=1,LEN($L$208) * LEN($L$196)&gt;0),$L$208/$L$196*100,HLOOKUP(INDIRECT(ADDRESS(2,COLUMN())),OFFSET($AT$2,0,0,ROW()-1,40),ROW()-1,FALSE))</f>
        <v>17.668488159999999</v>
      </c>
      <c r="M69">
        <f ca="1">IF(AND($B$294=1,LEN($M$208) * LEN($M$196)&gt;0),$M$208/$M$196*100,HLOOKUP(INDIRECT(ADDRESS(2,COLUMN())),OFFSET($AT$2,0,0,ROW()-1,40),ROW()-1,FALSE))</f>
        <v>17.261671239999998</v>
      </c>
      <c r="N69">
        <f ca="1">IF(AND($B$294=1,LEN($N$208) * LEN($N$196)&gt;0),$N$208/$N$196*100,HLOOKUP(INDIRECT(ADDRESS(2,COLUMN())),OFFSET($AT$2,0,0,ROW()-1,40),ROW()-1,FALSE))</f>
        <v>11.86958737</v>
      </c>
      <c r="O69">
        <f ca="1">IF(AND($B$294=1,LEN($O$208) * LEN($O$196)&gt;0),$O$208/$O$196*100,HLOOKUP(INDIRECT(ADDRESS(2,COLUMN())),OFFSET($AT$2,0,0,ROW()-1,40),ROW()-1,FALSE))</f>
        <v>17.589743590000001</v>
      </c>
      <c r="P69">
        <f ca="1">IF(AND($B$294=1,LEN($P$208) * LEN($P$196)&gt;0),$P$208/$P$196*100,HLOOKUP(INDIRECT(ADDRESS(2,COLUMN())),OFFSET($AT$2,0,0,ROW()-1,40),ROW()-1,FALSE))</f>
        <v>0</v>
      </c>
      <c r="Q69">
        <f ca="1">IF(AND($B$294=1,LEN($Q$208) * LEN($Q$196)&gt;0),$Q$208/$Q$196*100,HLOOKUP(INDIRECT(ADDRESS(2,COLUMN())),OFFSET($AT$2,0,0,ROW()-1,40),ROW()-1,FALSE))</f>
        <v>0</v>
      </c>
      <c r="R69">
        <f ca="1">IF(AND($B$294=1,LEN($R$208) * LEN($R$196)&gt;0),$R$208/$R$196*100,HLOOKUP(INDIRECT(ADDRESS(2,COLUMN())),OFFSET($AT$2,0,0,ROW()-1,40),ROW()-1,FALSE))</f>
        <v>0</v>
      </c>
      <c r="S69">
        <f ca="1">IF(AND($B$294=1,LEN($S$208) * LEN($S$196)&gt;0),$S$208/$S$196*100,HLOOKUP(INDIRECT(ADDRESS(2,COLUMN())),OFFSET($AT$2,0,0,ROW()-1,40),ROW()-1,FALSE))</f>
        <v>0</v>
      </c>
      <c r="T69">
        <f ca="1">IF(AND($B$294=1,LEN($T$208) * LEN($T$196)&gt;0),$T$208/$T$196*100,HLOOKUP(INDIRECT(ADDRESS(2,COLUMN())),OFFSET($AT$2,0,0,ROW()-1,40),ROW()-1,FALSE))</f>
        <v>0</v>
      </c>
      <c r="U69">
        <f ca="1">IF(AND($B$294=1,LEN($U$208) * LEN($U$196)&gt;0),$U$208/$U$196*100,HLOOKUP(INDIRECT(ADDRESS(2,COLUMN())),OFFSET($AT$2,0,0,ROW()-1,40),ROW()-1,FALSE))</f>
        <v>0</v>
      </c>
      <c r="V69">
        <f ca="1">IF(AND($B$294=1,LEN($V$208) * LEN($V$196)&gt;0),$V$208/$V$196*100,HLOOKUP(INDIRECT(ADDRESS(2,COLUMN())),OFFSET($AT$2,0,0,ROW()-1,40),ROW()-1,FALSE))</f>
        <v>0</v>
      </c>
      <c r="W69">
        <f ca="1">IF(AND($B$294=1,LEN($W$208) * LEN($W$196)&gt;0),$W$208/$W$196*100,HLOOKUP(INDIRECT(ADDRESS(2,COLUMN())),OFFSET($AT$2,0,0,ROW()-1,40),ROW()-1,FALSE))</f>
        <v>0</v>
      </c>
      <c r="X69">
        <f ca="1">IF(AND($B$294=1,LEN($X$208) * LEN($X$196)&gt;0),$X$208/$X$196*100,HLOOKUP(INDIRECT(ADDRESS(2,COLUMN())),OFFSET($AT$2,0,0,ROW()-1,40),ROW()-1,FALSE))</f>
        <v>0</v>
      </c>
      <c r="Y69">
        <f ca="1">IF(AND($B$294=1,LEN($Y$208) * LEN($Y$196)&gt;0),$Y$208/$Y$196*100,HLOOKUP(INDIRECT(ADDRESS(2,COLUMN())),OFFSET($AT$2,0,0,ROW()-1,40),ROW()-1,FALSE))</f>
        <v>0</v>
      </c>
      <c r="Z69">
        <f ca="1">IF(AND($B$294=1,LEN($Z$208) * LEN($Z$196)&gt;0),$Z$208/$Z$196*100,HLOOKUP(INDIRECT(ADDRESS(2,COLUMN())),OFFSET($AT$2,0,0,ROW()-1,40),ROW()-1,FALSE))</f>
        <v>0</v>
      </c>
      <c r="AA69">
        <f ca="1">IF(AND($B$294=1,LEN($AA$208) * LEN($AA$196)&gt;0),$AA$208/$AA$196*100,HLOOKUP(INDIRECT(ADDRESS(2,COLUMN())),OFFSET($AT$2,0,0,ROW()-1,40),ROW()-1,FALSE))</f>
        <v>0</v>
      </c>
      <c r="AB69">
        <f ca="1">IF(AND($B$294=1,LEN($AB$208) * LEN($AB$196)&gt;0),$AB$208/$AB$196*100,HLOOKUP(INDIRECT(ADDRESS(2,COLUMN())),OFFSET($AT$2,0,0,ROW()-1,40),ROW()-1,FALSE))</f>
        <v>0</v>
      </c>
      <c r="AC69">
        <f ca="1">IF(AND($B$294=1,LEN($AC$208) * LEN($AC$196)&gt;0),$AC$208/$AC$196*100,HLOOKUP(INDIRECT(ADDRESS(2,COLUMN())),OFFSET($AT$2,0,0,ROW()-1,40),ROW()-1,FALSE))</f>
        <v>0</v>
      </c>
      <c r="AD69">
        <f ca="1">IF(AND($B$294=1,LEN($AD$208) * LEN($AD$196)&gt;0),$AD$208/$AD$196*100,HLOOKUP(INDIRECT(ADDRESS(2,COLUMN())),OFFSET($AT$2,0,0,ROW()-1,40),ROW()-1,FALSE))</f>
        <v>0</v>
      </c>
      <c r="AE69">
        <f ca="1">IF(AND($B$294=1,LEN($AE$208) * LEN($AE$196)&gt;0),$AE$208/$AE$196*100,HLOOKUP(INDIRECT(ADDRESS(2,COLUMN())),OFFSET($AT$2,0,0,ROW()-1,40),ROW()-1,FALSE))</f>
        <v>0</v>
      </c>
      <c r="AF69">
        <f ca="1">IF(AND($B$294=1,LEN($AF$208) * LEN($AF$196)&gt;0),$AF$208/$AF$196*100,HLOOKUP(INDIRECT(ADDRESS(2,COLUMN())),OFFSET($AT$2,0,0,ROW()-1,40),ROW()-1,FALSE))</f>
        <v>0</v>
      </c>
      <c r="AG69">
        <f ca="1">IF(AND($B$294=1,LEN($AG$208) * LEN($AG$196)&gt;0),$AG$208/$AG$196*100,HLOOKUP(INDIRECT(ADDRESS(2,COLUMN())),OFFSET($AT$2,0,0,ROW()-1,40),ROW()-1,FALSE))</f>
        <v>0</v>
      </c>
      <c r="AH69">
        <f ca="1">IF(AND($B$294=1,LEN($AH$208) * LEN($AH$196)&gt;0),$AH$208/$AH$196*100,HLOOKUP(INDIRECT(ADDRESS(2,COLUMN())),OFFSET($AT$2,0,0,ROW()-1,40),ROW()-1,FALSE))</f>
        <v>0</v>
      </c>
      <c r="AI69">
        <f ca="1">IF(AND($B$294=1,LEN($AI$208) * LEN($AI$196)&gt;0),$AI$208/$AI$196*100,HLOOKUP(INDIRECT(ADDRESS(2,COLUMN())),OFFSET($AT$2,0,0,ROW()-1,40),ROW()-1,FALSE))</f>
        <v>0</v>
      </c>
      <c r="AJ69">
        <f ca="1">IF(AND($B$294=1,LEN($AJ$208) * LEN($AJ$196)&gt;0),$AJ$208/$AJ$196*100,HLOOKUP(INDIRECT(ADDRESS(2,COLUMN())),OFFSET($AT$2,0,0,ROW()-1,40),ROW()-1,FALSE))</f>
        <v>0</v>
      </c>
      <c r="AK69">
        <f ca="1">IF(AND($B$294=1,LEN($AK$208) * LEN($AK$196)&gt;0),$AK$208/$AK$196*100,HLOOKUP(INDIRECT(ADDRESS(2,COLUMN())),OFFSET($AT$2,0,0,ROW()-1,40),ROW()-1,FALSE))</f>
        <v>0</v>
      </c>
      <c r="AL69">
        <f ca="1">IF(AND($B$294=1,LEN($AL$208) * LEN($AL$196)&gt;0),$AL$208/$AL$196*100,HLOOKUP(INDIRECT(ADDRESS(2,COLUMN())),OFFSET($AT$2,0,0,ROW()-1,40),ROW()-1,FALSE))</f>
        <v>0</v>
      </c>
      <c r="AM69">
        <f ca="1">IF(AND($B$294=1,LEN($AM$208) * LEN($AM$196)&gt;0),$AM$208/$AM$196*100,HLOOKUP(INDIRECT(ADDRESS(2,COLUMN())),OFFSET($AT$2,0,0,ROW()-1,40),ROW()-1,FALSE))</f>
        <v>0</v>
      </c>
      <c r="AN69">
        <f ca="1">IF(AND($B$294=1,LEN($AN$208) * LEN($AN$196)&gt;0),$AN$208/$AN$196*100,HLOOKUP(INDIRECT(ADDRESS(2,COLUMN())),OFFSET($AT$2,0,0,ROW()-1,40),ROW()-1,FALSE))</f>
        <v>0</v>
      </c>
      <c r="AO69">
        <f ca="1">IF(AND($B$294=1,LEN($AO$208) * LEN($AO$196)&gt;0),$AO$208/$AO$196*100,HLOOKUP(INDIRECT(ADDRESS(2,COLUMN())),OFFSET($AT$2,0,0,ROW()-1,40),ROW()-1,FALSE))</f>
        <v>0</v>
      </c>
      <c r="AP69">
        <f ca="1">IF(AND($B$294=1,LEN($AP$208) * LEN($AP$196)&gt;0),$AP$208/$AP$196*100,HLOOKUP(INDIRECT(ADDRESS(2,COLUMN())),OFFSET($AT$2,0,0,ROW()-1,40),ROW()-1,FALSE))</f>
        <v>0</v>
      </c>
      <c r="AQ69">
        <f ca="1">IF(AND($B$294=1,LEN($AQ$208) * LEN($AQ$196)&gt;0),$AQ$208/$AQ$196*100,HLOOKUP(INDIRECT(ADDRESS(2,COLUMN())),OFFSET($AT$2,0,0,ROW()-1,40),ROW()-1,FALSE))</f>
        <v>0</v>
      </c>
      <c r="AR69">
        <f ca="1">IF(AND($B$294=1,LEN($AR$208) * LEN($AR$196)&gt;0),$AR$208/$AR$196*100,HLOOKUP(INDIRECT(ADDRESS(2,COLUMN())),OFFSET($AT$2,0,0,ROW()-1,40),ROW()-1,FALSE))</f>
        <v>0</v>
      </c>
      <c r="AS69">
        <f ca="1">IF(AND($B$294=1,LEN($AS$208) * LEN($AS$196)&gt;0),$AS$208/$AS$196*100,HLOOKUP(INDIRECT(ADDRESS(2,COLUMN())),OFFSET($AT$2,0,0,ROW()-1,40),ROW()-1,FALSE))</f>
        <v>0</v>
      </c>
      <c r="AT69">
        <f>15.14547629</f>
        <v>15.14547629</v>
      </c>
      <c r="AU69">
        <f>21.01086048</f>
        <v>21.010860480000002</v>
      </c>
      <c r="AV69">
        <f>14.52538631</f>
        <v>14.52538631</v>
      </c>
      <c r="AW69">
        <f>15.64986737</f>
        <v>15.649867370000001</v>
      </c>
      <c r="AX69">
        <f>20.41245791</f>
        <v>20.412457910000001</v>
      </c>
      <c r="AY69">
        <f>18.12255541</f>
        <v>18.12255541</v>
      </c>
      <c r="AZ69">
        <f>17.66848816</f>
        <v>17.668488159999999</v>
      </c>
      <c r="BA69">
        <f>17.26167124</f>
        <v>17.261671239999998</v>
      </c>
      <c r="BB69">
        <f>11.86958737</f>
        <v>11.86958737</v>
      </c>
      <c r="BC69">
        <f>17.58974359</f>
        <v>17.589743590000001</v>
      </c>
      <c r="BD69">
        <f>0</f>
        <v>0</v>
      </c>
      <c r="BE69">
        <f>0</f>
        <v>0</v>
      </c>
      <c r="BF69">
        <f>0</f>
        <v>0</v>
      </c>
      <c r="BG69">
        <f>0</f>
        <v>0</v>
      </c>
      <c r="BH69">
        <f>0</f>
        <v>0</v>
      </c>
      <c r="BI69">
        <f>0</f>
        <v>0</v>
      </c>
      <c r="BJ69">
        <f>0</f>
        <v>0</v>
      </c>
      <c r="BK69">
        <f>0</f>
        <v>0</v>
      </c>
      <c r="BL69">
        <f>0</f>
        <v>0</v>
      </c>
      <c r="BM69">
        <f>0</f>
        <v>0</v>
      </c>
      <c r="BN69">
        <f>0</f>
        <v>0</v>
      </c>
      <c r="BO69">
        <f>0</f>
        <v>0</v>
      </c>
      <c r="BP69">
        <f>0</f>
        <v>0</v>
      </c>
      <c r="BQ69">
        <f>0</f>
        <v>0</v>
      </c>
      <c r="BR69">
        <f>0</f>
        <v>0</v>
      </c>
      <c r="BS69">
        <f>0</f>
        <v>0</v>
      </c>
      <c r="BT69">
        <f>0</f>
        <v>0</v>
      </c>
      <c r="BU69">
        <f>0</f>
        <v>0</v>
      </c>
      <c r="BV69">
        <f>0</f>
        <v>0</v>
      </c>
      <c r="BW69">
        <f>0</f>
        <v>0</v>
      </c>
      <c r="BX69">
        <f>0</f>
        <v>0</v>
      </c>
      <c r="BY69">
        <f>0</f>
        <v>0</v>
      </c>
      <c r="BZ69">
        <f>0</f>
        <v>0</v>
      </c>
      <c r="CA69">
        <f>0</f>
        <v>0</v>
      </c>
      <c r="CB69">
        <f>0</f>
        <v>0</v>
      </c>
      <c r="CC69">
        <f>0</f>
        <v>0</v>
      </c>
      <c r="CD69">
        <f>0</f>
        <v>0</v>
      </c>
      <c r="CE69">
        <f>0</f>
        <v>0</v>
      </c>
      <c r="CF69">
        <f>0</f>
        <v>0</v>
      </c>
      <c r="CG69">
        <f>0</f>
        <v>0</v>
      </c>
    </row>
    <row r="70" spans="1:85" x14ac:dyDescent="0.25">
      <c r="A70" t="str">
        <f>""</f>
        <v/>
      </c>
      <c r="B70" t="str">
        <f>""</f>
        <v/>
      </c>
      <c r="E70" t="str">
        <f>"Static"</f>
        <v>Static</v>
      </c>
      <c r="F70" t="str">
        <f t="shared" ref="F70:AS70" ca="1" si="0">HLOOKUP(INDIRECT(ADDRESS(2,COLUMN())),OFFSET($AT$2,0,0,ROW()-1,40),ROW()-1,FALSE)</f>
        <v/>
      </c>
      <c r="G70" t="str">
        <f t="shared" ca="1" si="0"/>
        <v/>
      </c>
      <c r="H70" t="str">
        <f t="shared" ca="1" si="0"/>
        <v/>
      </c>
      <c r="I70" t="str">
        <f t="shared" ca="1" si="0"/>
        <v/>
      </c>
      <c r="J70" t="str">
        <f t="shared" ca="1" si="0"/>
        <v/>
      </c>
      <c r="K70" t="str">
        <f t="shared" ca="1" si="0"/>
        <v/>
      </c>
      <c r="L70" t="str">
        <f t="shared" ca="1" si="0"/>
        <v/>
      </c>
      <c r="M70" t="str">
        <f t="shared" ca="1" si="0"/>
        <v/>
      </c>
      <c r="N70" t="str">
        <f t="shared" ca="1" si="0"/>
        <v/>
      </c>
      <c r="O70" t="str">
        <f t="shared" ca="1" si="0"/>
        <v/>
      </c>
      <c r="P70" t="str">
        <f t="shared" ca="1" si="0"/>
        <v/>
      </c>
      <c r="Q70" t="str">
        <f t="shared" ca="1" si="0"/>
        <v/>
      </c>
      <c r="R70" t="str">
        <f t="shared" ca="1" si="0"/>
        <v/>
      </c>
      <c r="S70" t="str">
        <f t="shared" ca="1" si="0"/>
        <v/>
      </c>
      <c r="T70" t="str">
        <f t="shared" ca="1" si="0"/>
        <v/>
      </c>
      <c r="U70" t="str">
        <f t="shared" ca="1" si="0"/>
        <v/>
      </c>
      <c r="V70" t="str">
        <f t="shared" ca="1" si="0"/>
        <v/>
      </c>
      <c r="W70" t="str">
        <f t="shared" ca="1" si="0"/>
        <v/>
      </c>
      <c r="X70" t="str">
        <f t="shared" ca="1" si="0"/>
        <v/>
      </c>
      <c r="Y70" t="str">
        <f t="shared" ca="1" si="0"/>
        <v/>
      </c>
      <c r="Z70" t="str">
        <f t="shared" ca="1" si="0"/>
        <v/>
      </c>
      <c r="AA70" t="str">
        <f t="shared" ca="1" si="0"/>
        <v/>
      </c>
      <c r="AB70" t="str">
        <f t="shared" ca="1" si="0"/>
        <v/>
      </c>
      <c r="AC70" t="str">
        <f t="shared" ca="1" si="0"/>
        <v/>
      </c>
      <c r="AD70" t="str">
        <f t="shared" ca="1" si="0"/>
        <v/>
      </c>
      <c r="AE70" t="str">
        <f t="shared" ca="1" si="0"/>
        <v/>
      </c>
      <c r="AF70" t="str">
        <f t="shared" ca="1" si="0"/>
        <v/>
      </c>
      <c r="AG70" t="str">
        <f t="shared" ca="1" si="0"/>
        <v/>
      </c>
      <c r="AH70" t="str">
        <f t="shared" ca="1" si="0"/>
        <v/>
      </c>
      <c r="AI70" t="str">
        <f t="shared" ca="1" si="0"/>
        <v/>
      </c>
      <c r="AJ70" t="str">
        <f t="shared" ca="1" si="0"/>
        <v/>
      </c>
      <c r="AK70" t="str">
        <f t="shared" ca="1" si="0"/>
        <v/>
      </c>
      <c r="AL70" t="str">
        <f t="shared" ca="1" si="0"/>
        <v/>
      </c>
      <c r="AM70" t="str">
        <f t="shared" ca="1" si="0"/>
        <v/>
      </c>
      <c r="AN70" t="str">
        <f t="shared" ca="1" si="0"/>
        <v/>
      </c>
      <c r="AO70" t="str">
        <f t="shared" ca="1" si="0"/>
        <v/>
      </c>
      <c r="AP70" t="str">
        <f t="shared" ca="1" si="0"/>
        <v/>
      </c>
      <c r="AQ70" t="str">
        <f t="shared" ca="1" si="0"/>
        <v/>
      </c>
      <c r="AR70" t="str">
        <f t="shared" ca="1" si="0"/>
        <v/>
      </c>
      <c r="AS70" t="str">
        <f t="shared" ca="1" si="0"/>
        <v/>
      </c>
      <c r="AT70" t="str">
        <f>""</f>
        <v/>
      </c>
      <c r="AU70" t="str">
        <f>""</f>
        <v/>
      </c>
      <c r="AV70" t="str">
        <f>""</f>
        <v/>
      </c>
      <c r="AW70" t="str">
        <f>""</f>
        <v/>
      </c>
      <c r="AX70" t="str">
        <f>""</f>
        <v/>
      </c>
      <c r="AY70" t="str">
        <f>""</f>
        <v/>
      </c>
      <c r="AZ70" t="str">
        <f>""</f>
        <v/>
      </c>
      <c r="BA70" t="str">
        <f>""</f>
        <v/>
      </c>
      <c r="BB70" t="str">
        <f>""</f>
        <v/>
      </c>
      <c r="BC70" t="str">
        <f>""</f>
        <v/>
      </c>
      <c r="BD70" t="str">
        <f>""</f>
        <v/>
      </c>
      <c r="BE70" t="str">
        <f>""</f>
        <v/>
      </c>
      <c r="BF70" t="str">
        <f>""</f>
        <v/>
      </c>
      <c r="BG70" t="str">
        <f>""</f>
        <v/>
      </c>
      <c r="BH70" t="str">
        <f>""</f>
        <v/>
      </c>
      <c r="BI70" t="str">
        <f>""</f>
        <v/>
      </c>
      <c r="BJ70" t="str">
        <f>""</f>
        <v/>
      </c>
      <c r="BK70" t="str">
        <f>""</f>
        <v/>
      </c>
      <c r="BL70" t="str">
        <f>""</f>
        <v/>
      </c>
      <c r="BM70" t="str">
        <f>""</f>
        <v/>
      </c>
      <c r="BN70" t="str">
        <f>""</f>
        <v/>
      </c>
      <c r="BO70" t="str">
        <f>""</f>
        <v/>
      </c>
      <c r="BP70" t="str">
        <f>""</f>
        <v/>
      </c>
      <c r="BQ70" t="str">
        <f>""</f>
        <v/>
      </c>
      <c r="BR70" t="str">
        <f>""</f>
        <v/>
      </c>
      <c r="BS70" t="str">
        <f>""</f>
        <v/>
      </c>
      <c r="BT70" t="str">
        <f>""</f>
        <v/>
      </c>
      <c r="BU70" t="str">
        <f>""</f>
        <v/>
      </c>
      <c r="BV70" t="str">
        <f>""</f>
        <v/>
      </c>
      <c r="BW70" t="str">
        <f>""</f>
        <v/>
      </c>
      <c r="BX70" t="str">
        <f>""</f>
        <v/>
      </c>
      <c r="BY70" t="str">
        <f>""</f>
        <v/>
      </c>
      <c r="BZ70" t="str">
        <f>""</f>
        <v/>
      </c>
      <c r="CA70" t="str">
        <f>""</f>
        <v/>
      </c>
      <c r="CB70" t="str">
        <f>""</f>
        <v/>
      </c>
      <c r="CC70" t="str">
        <f>""</f>
        <v/>
      </c>
      <c r="CD70" t="str">
        <f>""</f>
        <v/>
      </c>
      <c r="CE70" t="str">
        <f>""</f>
        <v/>
      </c>
      <c r="CF70" t="str">
        <f>""</f>
        <v/>
      </c>
      <c r="CG70" t="str">
        <f>""</f>
        <v/>
      </c>
    </row>
    <row r="71" spans="1:85" x14ac:dyDescent="0.25">
      <c r="A71" t="str">
        <f>"Class 6-7 (Medium-Duty):"</f>
        <v>Class 6-7 (Medium-Duty):</v>
      </c>
      <c r="B71" t="str">
        <f>""</f>
        <v/>
      </c>
      <c r="E71" t="str">
        <f>"Heading"</f>
        <v>Heading</v>
      </c>
      <c r="AT71" t="str">
        <f>""</f>
        <v/>
      </c>
      <c r="AU71" t="str">
        <f>""</f>
        <v/>
      </c>
      <c r="AV71" t="str">
        <f>""</f>
        <v/>
      </c>
      <c r="AW71" t="str">
        <f>""</f>
        <v/>
      </c>
      <c r="AX71" t="str">
        <f>""</f>
        <v/>
      </c>
      <c r="AY71" t="str">
        <f>""</f>
        <v/>
      </c>
      <c r="AZ71" t="str">
        <f>""</f>
        <v/>
      </c>
      <c r="BA71" t="str">
        <f>""</f>
        <v/>
      </c>
      <c r="BB71" t="str">
        <f>""</f>
        <v/>
      </c>
      <c r="BC71" t="str">
        <f>""</f>
        <v/>
      </c>
      <c r="BD71" t="str">
        <f>""</f>
        <v/>
      </c>
      <c r="BE71" t="str">
        <f>""</f>
        <v/>
      </c>
      <c r="BF71" t="str">
        <f>""</f>
        <v/>
      </c>
      <c r="BG71" t="str">
        <f>""</f>
        <v/>
      </c>
      <c r="BH71" t="str">
        <f>""</f>
        <v/>
      </c>
      <c r="BI71" t="str">
        <f>""</f>
        <v/>
      </c>
      <c r="BJ71" t="str">
        <f>""</f>
        <v/>
      </c>
      <c r="BK71" t="str">
        <f>""</f>
        <v/>
      </c>
      <c r="BL71" t="str">
        <f>""</f>
        <v/>
      </c>
      <c r="BM71" t="str">
        <f>""</f>
        <v/>
      </c>
      <c r="BN71" t="str">
        <f>""</f>
        <v/>
      </c>
      <c r="BO71" t="str">
        <f>""</f>
        <v/>
      </c>
      <c r="BP71" t="str">
        <f>""</f>
        <v/>
      </c>
      <c r="BQ71" t="str">
        <f>""</f>
        <v/>
      </c>
      <c r="BR71" t="str">
        <f>""</f>
        <v/>
      </c>
      <c r="BS71" t="str">
        <f>""</f>
        <v/>
      </c>
      <c r="BT71" t="str">
        <f>""</f>
        <v/>
      </c>
      <c r="BU71" t="str">
        <f>""</f>
        <v/>
      </c>
      <c r="BV71" t="str">
        <f>""</f>
        <v/>
      </c>
      <c r="BW71" t="str">
        <f>""</f>
        <v/>
      </c>
      <c r="BX71" t="str">
        <f>""</f>
        <v/>
      </c>
      <c r="BY71" t="str">
        <f>""</f>
        <v/>
      </c>
      <c r="BZ71" t="str">
        <f>""</f>
        <v/>
      </c>
      <c r="CA71" t="str">
        <f>""</f>
        <v/>
      </c>
      <c r="CB71" t="str">
        <f>""</f>
        <v/>
      </c>
      <c r="CC71" t="str">
        <f>""</f>
        <v/>
      </c>
      <c r="CD71" t="str">
        <f>""</f>
        <v/>
      </c>
      <c r="CE71" t="str">
        <f>""</f>
        <v/>
      </c>
      <c r="CF71" t="str">
        <f>""</f>
        <v/>
      </c>
      <c r="CG71" t="str">
        <f>""</f>
        <v/>
      </c>
    </row>
    <row r="72" spans="1:85" x14ac:dyDescent="0.25">
      <c r="A72" t="str">
        <f>"Total North America (Class 6-7)"</f>
        <v>Total North America (Class 6-7)</v>
      </c>
      <c r="B72" t="str">
        <f>"TRCKNA6S Index"</f>
        <v>TRCKNA6S Index</v>
      </c>
      <c r="E72" t="str">
        <f>"Sum"</f>
        <v>Sum</v>
      </c>
      <c r="F72">
        <f ca="1">IF(ISERROR(IF(SUM($F$73,$F$79,$F$80,$F$83,$F$84,$F$85,$F$89,$F$90,$F$91,$F$94,$F$95,$F$98) = 0, "", SUM($F$73,$F$79,$F$80,$F$83,$F$84,$F$85,$F$89,$F$90,$F$91,$F$94,$F$95,$F$98))), "", (IF(SUM($F$73,$F$79,$F$80,$F$83,$F$84,$F$85,$F$89,$F$90,$F$91,$F$94,$F$95,$F$98) = 0, "", SUM($F$73,$F$79,$F$80,$F$83,$F$84,$F$85,$F$89,$F$90,$F$91,$F$94,$F$95,$F$98))))</f>
        <v>99.503116045000013</v>
      </c>
      <c r="G72">
        <f ca="1">IF(ISERROR(IF(SUM($G$73,$G$79,$G$80,$G$83,$G$84,$G$85,$G$89,$G$90,$G$91,$G$94,$G$95,$G$98) = 0, "", SUM($G$73,$G$79,$G$80,$G$83,$G$84,$G$85,$G$89,$G$90,$G$91,$G$94,$G$95,$G$98))), "", (IF(SUM($G$73,$G$79,$G$80,$G$83,$G$84,$G$85,$G$89,$G$90,$G$91,$G$94,$G$95,$G$98) = 0, "", SUM($G$73,$G$79,$G$80,$G$83,$G$84,$G$85,$G$89,$G$90,$G$91,$G$94,$G$95,$G$98))))</f>
        <v>100.000000005</v>
      </c>
      <c r="H72">
        <f ca="1">IF(ISERROR(IF(SUM($H$73,$H$79,$H$80,$H$83,$H$84,$H$85,$H$89,$H$90,$H$91,$H$94,$H$95,$H$98) = 0, "", SUM($H$73,$H$79,$H$80,$H$83,$H$84,$H$85,$H$89,$H$90,$H$91,$H$94,$H$95,$H$98))), "", (IF(SUM($H$73,$H$79,$H$80,$H$83,$H$84,$H$85,$H$89,$H$90,$H$91,$H$94,$H$95,$H$98) = 0, "", SUM($H$73,$H$79,$H$80,$H$83,$H$84,$H$85,$H$89,$H$90,$H$91,$H$94,$H$95,$H$98))))</f>
        <v>100.00000000599999</v>
      </c>
      <c r="I72">
        <f ca="1">IF(ISERROR(IF(SUM($I$73,$I$79,$I$80,$I$83,$I$84,$I$85,$I$89,$I$90,$I$91,$I$94,$I$95,$I$98) = 0, "", SUM($I$73,$I$79,$I$80,$I$83,$I$84,$I$85,$I$89,$I$90,$I$91,$I$94,$I$95,$I$98))), "", (IF(SUM($I$73,$I$79,$I$80,$I$83,$I$84,$I$85,$I$89,$I$90,$I$91,$I$94,$I$95,$I$98) = 0, "", SUM($I$73,$I$79,$I$80,$I$83,$I$84,$I$85,$I$89,$I$90,$I$91,$I$94,$I$95,$I$98))))</f>
        <v>99.999999997000003</v>
      </c>
      <c r="J72">
        <f ca="1">IF(ISERROR(IF(SUM($J$73,$J$79,$J$80,$J$83,$J$84,$J$85,$J$89,$J$90,$J$91,$J$94,$J$95,$J$98) = 0, "", SUM($J$73,$J$79,$J$80,$J$83,$J$84,$J$85,$J$89,$J$90,$J$91,$J$94,$J$95,$J$98))), "", (IF(SUM($J$73,$J$79,$J$80,$J$83,$J$84,$J$85,$J$89,$J$90,$J$91,$J$94,$J$95,$J$98) = 0, "", SUM($J$73,$J$79,$J$80,$J$83,$J$84,$J$85,$J$89,$J$90,$J$91,$J$94,$J$95,$J$98))))</f>
        <v>99.999999990999996</v>
      </c>
      <c r="K72">
        <f ca="1">IF(ISERROR(IF(SUM($K$73,$K$79,$K$80,$K$83,$K$84,$K$85,$K$89,$K$90,$K$91,$K$94,$K$95,$K$98) = 0, "", SUM($K$73,$K$79,$K$80,$K$83,$K$84,$K$85,$K$89,$K$90,$K$91,$K$94,$K$95,$K$98))), "", (IF(SUM($K$73,$K$79,$K$80,$K$83,$K$84,$K$85,$K$89,$K$90,$K$91,$K$94,$K$95,$K$98) = 0, "", SUM($K$73,$K$79,$K$80,$K$83,$K$84,$K$85,$K$89,$K$90,$K$91,$K$94,$K$95,$K$98))))</f>
        <v>100.00000000000001</v>
      </c>
      <c r="L72">
        <f ca="1">IF(ISERROR(IF(SUM($L$73,$L$79,$L$80,$L$83,$L$84,$L$85,$L$89,$L$90,$L$91,$L$94,$L$95,$L$98) = 0, "", SUM($L$73,$L$79,$L$80,$L$83,$L$84,$L$85,$L$89,$L$90,$L$91,$L$94,$L$95,$L$98))), "", (IF(SUM($L$73,$L$79,$L$80,$L$83,$L$84,$L$85,$L$89,$L$90,$L$91,$L$94,$L$95,$L$98) = 0, "", SUM($L$73,$L$79,$L$80,$L$83,$L$84,$L$85,$L$89,$L$90,$L$91,$L$94,$L$95,$L$98))))</f>
        <v>100</v>
      </c>
      <c r="M72">
        <f ca="1">IF(ISERROR(IF(SUM($M$73,$M$79,$M$80,$M$83,$M$84,$M$85,$M$89,$M$90,$M$91,$M$94,$M$95,$M$98) = 0, "", SUM($M$73,$M$79,$M$80,$M$83,$M$84,$M$85,$M$89,$M$90,$M$91,$M$94,$M$95,$M$98))), "", (IF(SUM($M$73,$M$79,$M$80,$M$83,$M$84,$M$85,$M$89,$M$90,$M$91,$M$94,$M$95,$M$98) = 0, "", SUM($M$73,$M$79,$M$80,$M$83,$M$84,$M$85,$M$89,$M$90,$M$91,$M$94,$M$95,$M$98))))</f>
        <v>99.999999997000003</v>
      </c>
      <c r="N72">
        <f ca="1">IF(ISERROR(IF(SUM($N$73,$N$79,$N$80,$N$83,$N$84,$N$85,$N$89,$N$90,$N$91,$N$94,$N$95,$N$98) = 0, "", SUM($N$73,$N$79,$N$80,$N$83,$N$84,$N$85,$N$89,$N$90,$N$91,$N$94,$N$95,$N$98))), "", (IF(SUM($N$73,$N$79,$N$80,$N$83,$N$84,$N$85,$N$89,$N$90,$N$91,$N$94,$N$95,$N$98) = 0, "", SUM($N$73,$N$79,$N$80,$N$83,$N$84,$N$85,$N$89,$N$90,$N$91,$N$94,$N$95,$N$98))))</f>
        <v>99.999999996</v>
      </c>
      <c r="O72">
        <f ca="1">IF(ISERROR(IF(SUM($O$73,$O$79,$O$80,$O$83,$O$84,$O$85,$O$89,$O$90,$O$91,$O$94,$O$95,$O$98) = 0, "", SUM($O$73,$O$79,$O$80,$O$83,$O$84,$O$85,$O$89,$O$90,$O$91,$O$94,$O$95,$O$98))), "", (IF(SUM($O$73,$O$79,$O$80,$O$83,$O$84,$O$85,$O$89,$O$90,$O$91,$O$94,$O$95,$O$98) = 0, "", SUM($O$73,$O$79,$O$80,$O$83,$O$84,$O$85,$O$89,$O$90,$O$91,$O$94,$O$95,$O$98))))</f>
        <v>99.999999997000003</v>
      </c>
      <c r="P72">
        <f ca="1">IF(ISERROR(IF(SUM($P$73,$P$79,$P$80,$P$83,$P$84,$P$85,$P$89,$P$90,$P$91,$P$94,$P$95,$P$98) = 0, "", SUM($P$73,$P$79,$P$80,$P$83,$P$84,$P$85,$P$89,$P$90,$P$91,$P$94,$P$95,$P$98))), "", (IF(SUM($P$73,$P$79,$P$80,$P$83,$P$84,$P$85,$P$89,$P$90,$P$91,$P$94,$P$95,$P$98) = 0, "", SUM($P$73,$P$79,$P$80,$P$83,$P$84,$P$85,$P$89,$P$90,$P$91,$P$94,$P$95,$P$98))))</f>
        <v>100.00000000099999</v>
      </c>
      <c r="Q72">
        <f ca="1">IF(ISERROR(IF(SUM($Q$73,$Q$79,$Q$80,$Q$83,$Q$84,$Q$85,$Q$89,$Q$90,$Q$91,$Q$94,$Q$95,$Q$98) = 0, "", SUM($Q$73,$Q$79,$Q$80,$Q$83,$Q$84,$Q$85,$Q$89,$Q$90,$Q$91,$Q$94,$Q$95,$Q$98))), "", (IF(SUM($Q$73,$Q$79,$Q$80,$Q$83,$Q$84,$Q$85,$Q$89,$Q$90,$Q$91,$Q$94,$Q$95,$Q$98) = 0, "", SUM($Q$73,$Q$79,$Q$80,$Q$83,$Q$84,$Q$85,$Q$89,$Q$90,$Q$91,$Q$94,$Q$95,$Q$98))))</f>
        <v>99.999999997999993</v>
      </c>
      <c r="R72">
        <f ca="1">IF(ISERROR(IF(SUM($R$73,$R$79,$R$80,$R$83,$R$84,$R$85,$R$89,$R$90,$R$91,$R$94,$R$95,$R$98) = 0, "", SUM($R$73,$R$79,$R$80,$R$83,$R$84,$R$85,$R$89,$R$90,$R$91,$R$94,$R$95,$R$98))), "", (IF(SUM($R$73,$R$79,$R$80,$R$83,$R$84,$R$85,$R$89,$R$90,$R$91,$R$94,$R$95,$R$98) = 0, "", SUM($R$73,$R$79,$R$80,$R$83,$R$84,$R$85,$R$89,$R$90,$R$91,$R$94,$R$95,$R$98))))</f>
        <v>100.00000000199999</v>
      </c>
      <c r="S72">
        <f ca="1">IF(ISERROR(IF(SUM($S$73,$S$79,$S$80,$S$83,$S$84,$S$85,$S$89,$S$90,$S$91,$S$94,$S$95,$S$98) = 0, "", SUM($S$73,$S$79,$S$80,$S$83,$S$84,$S$85,$S$89,$S$90,$S$91,$S$94,$S$95,$S$98))), "", (IF(SUM($S$73,$S$79,$S$80,$S$83,$S$84,$S$85,$S$89,$S$90,$S$91,$S$94,$S$95,$S$98) = 0, "", SUM($S$73,$S$79,$S$80,$S$83,$S$84,$S$85,$S$89,$S$90,$S$91,$S$94,$S$95,$S$98))))</f>
        <v>100.00000000400001</v>
      </c>
      <c r="T72">
        <f ca="1">IF(ISERROR(IF(SUM($T$73,$T$79,$T$80,$T$83,$T$84,$T$85,$T$89,$T$90,$T$91,$T$94,$T$95,$T$98) = 0, "", SUM($T$73,$T$79,$T$80,$T$83,$T$84,$T$85,$T$89,$T$90,$T$91,$T$94,$T$95,$T$98))), "", (IF(SUM($T$73,$T$79,$T$80,$T$83,$T$84,$T$85,$T$89,$T$90,$T$91,$T$94,$T$95,$T$98) = 0, "", SUM($T$73,$T$79,$T$80,$T$83,$T$84,$T$85,$T$89,$T$90,$T$91,$T$94,$T$95,$T$98))))</f>
        <v>99.999999991999985</v>
      </c>
      <c r="U72">
        <f ca="1">IF(ISERROR(IF(SUM($U$73,$U$79,$U$80,$U$83,$U$84,$U$85,$U$89,$U$90,$U$91,$U$94,$U$95,$U$98) = 0, "", SUM($U$73,$U$79,$U$80,$U$83,$U$84,$U$85,$U$89,$U$90,$U$91,$U$94,$U$95,$U$98))), "", (IF(SUM($U$73,$U$79,$U$80,$U$83,$U$84,$U$85,$U$89,$U$90,$U$91,$U$94,$U$95,$U$98) = 0, "", SUM($U$73,$U$79,$U$80,$U$83,$U$84,$U$85,$U$89,$U$90,$U$91,$U$94,$U$95,$U$98))))</f>
        <v>100.000000003</v>
      </c>
      <c r="V72">
        <f ca="1">IF(ISERROR(IF(SUM($V$73,$V$79,$V$80,$V$83,$V$84,$V$85,$V$89,$V$90,$V$91,$V$94,$V$95,$V$98) = 0, "", SUM($V$73,$V$79,$V$80,$V$83,$V$84,$V$85,$V$89,$V$90,$V$91,$V$94,$V$95,$V$98))), "", (IF(SUM($V$73,$V$79,$V$80,$V$83,$V$84,$V$85,$V$89,$V$90,$V$91,$V$94,$V$95,$V$98) = 0, "", SUM($V$73,$V$79,$V$80,$V$83,$V$84,$V$85,$V$89,$V$90,$V$91,$V$94,$V$95,$V$98))))</f>
        <v>99.999999991999999</v>
      </c>
      <c r="W72">
        <f ca="1">IF(ISERROR(IF(SUM($W$73,$W$79,$W$80,$W$83,$W$84,$W$85,$W$89,$W$90,$W$91,$W$94,$W$95,$W$98) = 0, "", SUM($W$73,$W$79,$W$80,$W$83,$W$84,$W$85,$W$89,$W$90,$W$91,$W$94,$W$95,$W$98))), "", (IF(SUM($W$73,$W$79,$W$80,$W$83,$W$84,$W$85,$W$89,$W$90,$W$91,$W$94,$W$95,$W$98) = 0, "", SUM($W$73,$W$79,$W$80,$W$83,$W$84,$W$85,$W$89,$W$90,$W$91,$W$94,$W$95,$W$98))))</f>
        <v>100.000000005</v>
      </c>
      <c r="X72">
        <f ca="1">IF(ISERROR(IF(SUM($X$73,$X$79,$X$80,$X$83,$X$84,$X$85,$X$89,$X$90,$X$91,$X$94,$X$95,$X$98) = 0, "", SUM($X$73,$X$79,$X$80,$X$83,$X$84,$X$85,$X$89,$X$90,$X$91,$X$94,$X$95,$X$98))), "", (IF(SUM($X$73,$X$79,$X$80,$X$83,$X$84,$X$85,$X$89,$X$90,$X$91,$X$94,$X$95,$X$98) = 0, "", SUM($X$73,$X$79,$X$80,$X$83,$X$84,$X$85,$X$89,$X$90,$X$91,$X$94,$X$95,$X$98))))</f>
        <v>99.999999998999996</v>
      </c>
      <c r="Y72">
        <f ca="1">IF(ISERROR(IF(SUM($Y$73,$Y$79,$Y$80,$Y$83,$Y$84,$Y$85,$Y$89,$Y$90,$Y$91,$Y$94,$Y$95,$Y$98) = 0, "", SUM($Y$73,$Y$79,$Y$80,$Y$83,$Y$84,$Y$85,$Y$89,$Y$90,$Y$91,$Y$94,$Y$95,$Y$98))), "", (IF(SUM($Y$73,$Y$79,$Y$80,$Y$83,$Y$84,$Y$85,$Y$89,$Y$90,$Y$91,$Y$94,$Y$95,$Y$98) = 0, "", SUM($Y$73,$Y$79,$Y$80,$Y$83,$Y$84,$Y$85,$Y$89,$Y$90,$Y$91,$Y$94,$Y$95,$Y$98))))</f>
        <v>100.00000000199999</v>
      </c>
      <c r="Z72">
        <f ca="1">IF(ISERROR(IF(SUM($Z$73,$Z$79,$Z$80,$Z$83,$Z$84,$Z$85,$Z$89,$Z$90,$Z$91,$Z$94,$Z$95,$Z$98) = 0, "", SUM($Z$73,$Z$79,$Z$80,$Z$83,$Z$84,$Z$85,$Z$89,$Z$90,$Z$91,$Z$94,$Z$95,$Z$98))), "", (IF(SUM($Z$73,$Z$79,$Z$80,$Z$83,$Z$84,$Z$85,$Z$89,$Z$90,$Z$91,$Z$94,$Z$95,$Z$98) = 0, "", SUM($Z$73,$Z$79,$Z$80,$Z$83,$Z$84,$Z$85,$Z$89,$Z$90,$Z$91,$Z$94,$Z$95,$Z$98))))</f>
        <v>100.00000000599999</v>
      </c>
      <c r="AA72">
        <f ca="1">IF(ISERROR(IF(SUM($AA$73,$AA$79,$AA$80,$AA$83,$AA$84,$AA$85,$AA$89,$AA$90,$AA$91,$AA$94,$AA$95,$AA$98) = 0, "", SUM($AA$73,$AA$79,$AA$80,$AA$83,$AA$84,$AA$85,$AA$89,$AA$90,$AA$91,$AA$94,$AA$95,$AA$98))), "", (IF(SUM($AA$73,$AA$79,$AA$80,$AA$83,$AA$84,$AA$85,$AA$89,$AA$90,$AA$91,$AA$94,$AA$95,$AA$98) = 0, "", SUM($AA$73,$AA$79,$AA$80,$AA$83,$AA$84,$AA$85,$AA$89,$AA$90,$AA$91,$AA$94,$AA$95,$AA$98))))</f>
        <v>99.999999996999989</v>
      </c>
      <c r="AB72">
        <f ca="1">IF(ISERROR(IF(SUM($AB$73,$AB$79,$AB$80,$AB$83,$AB$84,$AB$85,$AB$89,$AB$90,$AB$91,$AB$94,$AB$95,$AB$98) = 0, "", SUM($AB$73,$AB$79,$AB$80,$AB$83,$AB$84,$AB$85,$AB$89,$AB$90,$AB$91,$AB$94,$AB$95,$AB$98))), "", (IF(SUM($AB$73,$AB$79,$AB$80,$AB$83,$AB$84,$AB$85,$AB$89,$AB$90,$AB$91,$AB$94,$AB$95,$AB$98) = 0, "", SUM($AB$73,$AB$79,$AB$80,$AB$83,$AB$84,$AB$85,$AB$89,$AB$90,$AB$91,$AB$94,$AB$95,$AB$98))))</f>
        <v>99.18951543899999</v>
      </c>
      <c r="AC72">
        <f ca="1">IF(ISERROR(IF(SUM($AC$73,$AC$79,$AC$80,$AC$83,$AC$84,$AC$85,$AC$89,$AC$90,$AC$91,$AC$94,$AC$95,$AC$98) = 0, "", SUM($AC$73,$AC$79,$AC$80,$AC$83,$AC$84,$AC$85,$AC$89,$AC$90,$AC$91,$AC$94,$AC$95,$AC$98))), "", (IF(SUM($AC$73,$AC$79,$AC$80,$AC$83,$AC$84,$AC$85,$AC$89,$AC$90,$AC$91,$AC$94,$AC$95,$AC$98) = 0, "", SUM($AC$73,$AC$79,$AC$80,$AC$83,$AC$84,$AC$85,$AC$89,$AC$90,$AC$91,$AC$94,$AC$95,$AC$98))))</f>
        <v>99.288897310999985</v>
      </c>
      <c r="AD72">
        <f ca="1">IF(ISERROR(IF(SUM($AD$73,$AD$79,$AD$80,$AD$83,$AD$84,$AD$85,$AD$89,$AD$90,$AD$91,$AD$94,$AD$95,$AD$98) = 0, "", SUM($AD$73,$AD$79,$AD$80,$AD$83,$AD$84,$AD$85,$AD$89,$AD$90,$AD$91,$AD$94,$AD$95,$AD$98))), "", (IF(SUM($AD$73,$AD$79,$AD$80,$AD$83,$AD$84,$AD$85,$AD$89,$AD$90,$AD$91,$AD$94,$AD$95,$AD$98) = 0, "", SUM($AD$73,$AD$79,$AD$80,$AD$83,$AD$84,$AD$85,$AD$89,$AD$90,$AD$91,$AD$94,$AD$95,$AD$98))))</f>
        <v>99.417637275000004</v>
      </c>
      <c r="AE72">
        <f ca="1">IF(ISERROR(IF(SUM($AE$73,$AE$79,$AE$80,$AE$83,$AE$84,$AE$85,$AE$89,$AE$90,$AE$91,$AE$94,$AE$95,$AE$98) = 0, "", SUM($AE$73,$AE$79,$AE$80,$AE$83,$AE$84,$AE$85,$AE$89,$AE$90,$AE$91,$AE$94,$AE$95,$AE$98))), "", (IF(SUM($AE$73,$AE$79,$AE$80,$AE$83,$AE$84,$AE$85,$AE$89,$AE$90,$AE$91,$AE$94,$AE$95,$AE$98) = 0, "", SUM($AE$73,$AE$79,$AE$80,$AE$83,$AE$84,$AE$85,$AE$89,$AE$90,$AE$91,$AE$94,$AE$95,$AE$98))))</f>
        <v>99.400381578000008</v>
      </c>
      <c r="AF72">
        <f ca="1">IF(ISERROR(IF(SUM($AF$73,$AF$79,$AF$80,$AF$83,$AF$84,$AF$85,$AF$89,$AF$90,$AF$91,$AF$94,$AF$95,$AF$98) = 0, "", SUM($AF$73,$AF$79,$AF$80,$AF$83,$AF$84,$AF$85,$AF$89,$AF$90,$AF$91,$AF$94,$AF$95,$AF$98))), "", (IF(SUM($AF$73,$AF$79,$AF$80,$AF$83,$AF$84,$AF$85,$AF$89,$AF$90,$AF$91,$AF$94,$AF$95,$AF$98) = 0, "", SUM($AF$73,$AF$79,$AF$80,$AF$83,$AF$84,$AF$85,$AF$89,$AF$90,$AF$91,$AF$94,$AF$95,$AF$98))))</f>
        <v>99.409871252000016</v>
      </c>
      <c r="AG72">
        <f ca="1">IF(ISERROR(IF(SUM($AG$73,$AG$79,$AG$80,$AG$83,$AG$84,$AG$85,$AG$89,$AG$90,$AG$91,$AG$94,$AG$95,$AG$98) = 0, "", SUM($AG$73,$AG$79,$AG$80,$AG$83,$AG$84,$AG$85,$AG$89,$AG$90,$AG$91,$AG$94,$AG$95,$AG$98))), "", (IF(SUM($AG$73,$AG$79,$AG$80,$AG$83,$AG$84,$AG$85,$AG$89,$AG$90,$AG$91,$AG$94,$AG$95,$AG$98) = 0, "", SUM($AG$73,$AG$79,$AG$80,$AG$83,$AG$84,$AG$85,$AG$89,$AG$90,$AG$91,$AG$94,$AG$95,$AG$98))))</f>
        <v>99.423177772999992</v>
      </c>
      <c r="AH72">
        <f ca="1">IF(ISERROR(IF(SUM($AH$73,$AH$79,$AH$80,$AH$83,$AH$84,$AH$85,$AH$89,$AH$90,$AH$91,$AH$94,$AH$95,$AH$98) = 0, "", SUM($AH$73,$AH$79,$AH$80,$AH$83,$AH$84,$AH$85,$AH$89,$AH$90,$AH$91,$AH$94,$AH$95,$AH$98))), "", (IF(SUM($AH$73,$AH$79,$AH$80,$AH$83,$AH$84,$AH$85,$AH$89,$AH$90,$AH$91,$AH$94,$AH$95,$AH$98) = 0, "", SUM($AH$73,$AH$79,$AH$80,$AH$83,$AH$84,$AH$85,$AH$89,$AH$90,$AH$91,$AH$94,$AH$95,$AH$98))))</f>
        <v>99.446640316</v>
      </c>
      <c r="AI72">
        <f ca="1">IF(ISERROR(IF(SUM($AI$73,$AI$79,$AI$80,$AI$83,$AI$84,$AI$85,$AI$89,$AI$90,$AI$91,$AI$94,$AI$95,$AI$98) = 0, "", SUM($AI$73,$AI$79,$AI$80,$AI$83,$AI$84,$AI$85,$AI$89,$AI$90,$AI$91,$AI$94,$AI$95,$AI$98))), "", (IF(SUM($AI$73,$AI$79,$AI$80,$AI$83,$AI$84,$AI$85,$AI$89,$AI$90,$AI$91,$AI$94,$AI$95,$AI$98) = 0, "", SUM($AI$73,$AI$79,$AI$80,$AI$83,$AI$84,$AI$85,$AI$89,$AI$90,$AI$91,$AI$94,$AI$95,$AI$98))))</f>
        <v>99.37730870999998</v>
      </c>
      <c r="AJ72">
        <f ca="1">IF(ISERROR(IF(SUM($AJ$73,$AJ$79,$AJ$80,$AJ$83,$AJ$84,$AJ$85,$AJ$89,$AJ$90,$AJ$91,$AJ$94,$AJ$95,$AJ$98) = 0, "", SUM($AJ$73,$AJ$79,$AJ$80,$AJ$83,$AJ$84,$AJ$85,$AJ$89,$AJ$90,$AJ$91,$AJ$94,$AJ$95,$AJ$98))), "", (IF(SUM($AJ$73,$AJ$79,$AJ$80,$AJ$83,$AJ$84,$AJ$85,$AJ$89,$AJ$90,$AJ$91,$AJ$94,$AJ$95,$AJ$98) = 0, "", SUM($AJ$73,$AJ$79,$AJ$80,$AJ$83,$AJ$84,$AJ$85,$AJ$89,$AJ$90,$AJ$91,$AJ$94,$AJ$95,$AJ$98))))</f>
        <v>99.438033122999997</v>
      </c>
      <c r="AK72">
        <f ca="1">IF(ISERROR(IF(SUM($AK$73,$AK$79,$AK$80,$AK$83,$AK$84,$AK$85,$AK$89,$AK$90,$AK$91,$AK$94,$AK$95,$AK$98) = 0, "", SUM($AK$73,$AK$79,$AK$80,$AK$83,$AK$84,$AK$85,$AK$89,$AK$90,$AK$91,$AK$94,$AK$95,$AK$98))), "", (IF(SUM($AK$73,$AK$79,$AK$80,$AK$83,$AK$84,$AK$85,$AK$89,$AK$90,$AK$91,$AK$94,$AK$95,$AK$98) = 0, "", SUM($AK$73,$AK$79,$AK$80,$AK$83,$AK$84,$AK$85,$AK$89,$AK$90,$AK$91,$AK$94,$AK$95,$AK$98))))</f>
        <v>99.359985967999989</v>
      </c>
      <c r="AL72">
        <f ca="1">IF(ISERROR(IF(SUM($AL$73,$AL$79,$AL$80,$AL$83,$AL$84,$AL$85,$AL$89,$AL$90,$AL$91,$AL$94,$AL$95,$AL$98) = 0, "", SUM($AL$73,$AL$79,$AL$80,$AL$83,$AL$84,$AL$85,$AL$89,$AL$90,$AL$91,$AL$94,$AL$95,$AL$98))), "", (IF(SUM($AL$73,$AL$79,$AL$80,$AL$83,$AL$84,$AL$85,$AL$89,$AL$90,$AL$91,$AL$94,$AL$95,$AL$98) = 0, "", SUM($AL$73,$AL$79,$AL$80,$AL$83,$AL$84,$AL$85,$AL$89,$AL$90,$AL$91,$AL$94,$AL$95,$AL$98))))</f>
        <v>99.247787610000003</v>
      </c>
      <c r="AM72">
        <f ca="1">IF(ISERROR(IF(SUM($AM$73,$AM$79,$AM$80,$AM$83,$AM$84,$AM$85,$AM$89,$AM$90,$AM$91,$AM$94,$AM$95,$AM$98) = 0, "", SUM($AM$73,$AM$79,$AM$80,$AM$83,$AM$84,$AM$85,$AM$89,$AM$90,$AM$91,$AM$94,$AM$95,$AM$98))), "", (IF(SUM($AM$73,$AM$79,$AM$80,$AM$83,$AM$84,$AM$85,$AM$89,$AM$90,$AM$91,$AM$94,$AM$95,$AM$98) = 0, "", SUM($AM$73,$AM$79,$AM$80,$AM$83,$AM$84,$AM$85,$AM$89,$AM$90,$AM$91,$AM$94,$AM$95,$AM$98))))</f>
        <v>99.205917541000005</v>
      </c>
      <c r="AN72">
        <f ca="1">IF(ISERROR(IF(SUM($AN$73,$AN$79,$AN$80,$AN$83,$AN$84,$AN$85,$AN$89,$AN$90,$AN$91,$AN$94,$AN$95,$AN$98) = 0, "", SUM($AN$73,$AN$79,$AN$80,$AN$83,$AN$84,$AN$85,$AN$89,$AN$90,$AN$91,$AN$94,$AN$95,$AN$98))), "", (IF(SUM($AN$73,$AN$79,$AN$80,$AN$83,$AN$84,$AN$85,$AN$89,$AN$90,$AN$91,$AN$94,$AN$95,$AN$98) = 0, "", SUM($AN$73,$AN$79,$AN$80,$AN$83,$AN$84,$AN$85,$AN$89,$AN$90,$AN$91,$AN$94,$AN$95,$AN$98))))</f>
        <v>99.111663857999986</v>
      </c>
      <c r="AO72">
        <f ca="1">IF(ISERROR(IF(SUM($AO$73,$AO$79,$AO$80,$AO$83,$AO$84,$AO$85,$AO$89,$AO$90,$AO$91,$AO$94,$AO$95,$AO$98) = 0, "", SUM($AO$73,$AO$79,$AO$80,$AO$83,$AO$84,$AO$85,$AO$89,$AO$90,$AO$91,$AO$94,$AO$95,$AO$98))), "", (IF(SUM($AO$73,$AO$79,$AO$80,$AO$83,$AO$84,$AO$85,$AO$89,$AO$90,$AO$91,$AO$94,$AO$95,$AO$98) = 0, "", SUM($AO$73,$AO$79,$AO$80,$AO$83,$AO$84,$AO$85,$AO$89,$AO$90,$AO$91,$AO$94,$AO$95,$AO$98))))</f>
        <v>98.859792006999996</v>
      </c>
      <c r="AP72">
        <f ca="1">IF(ISERROR(IF(SUM($AP$73,$AP$79,$AP$80,$AP$83,$AP$84,$AP$85,$AP$89,$AP$90,$AP$91,$AP$94,$AP$95,$AP$98) = 0, "", SUM($AP$73,$AP$79,$AP$80,$AP$83,$AP$84,$AP$85,$AP$89,$AP$90,$AP$91,$AP$94,$AP$95,$AP$98))), "", (IF(SUM($AP$73,$AP$79,$AP$80,$AP$83,$AP$84,$AP$85,$AP$89,$AP$90,$AP$91,$AP$94,$AP$95,$AP$98) = 0, "", SUM($AP$73,$AP$79,$AP$80,$AP$83,$AP$84,$AP$85,$AP$89,$AP$90,$AP$91,$AP$94,$AP$95,$AP$98))))</f>
        <v>99.117205104000007</v>
      </c>
      <c r="AQ72">
        <f ca="1">IF(ISERROR(IF(SUM($AQ$73,$AQ$79,$AQ$80,$AQ$83,$AQ$84,$AQ$85,$AQ$89,$AQ$90,$AQ$91,$AQ$94,$AQ$95,$AQ$98) = 0, "", SUM($AQ$73,$AQ$79,$AQ$80,$AQ$83,$AQ$84,$AQ$85,$AQ$89,$AQ$90,$AQ$91,$AQ$94,$AQ$95,$AQ$98))), "", (IF(SUM($AQ$73,$AQ$79,$AQ$80,$AQ$83,$AQ$84,$AQ$85,$AQ$89,$AQ$90,$AQ$91,$AQ$94,$AQ$95,$AQ$98) = 0, "", SUM($AQ$73,$AQ$79,$AQ$80,$AQ$83,$AQ$84,$AQ$85,$AQ$89,$AQ$90,$AQ$91,$AQ$94,$AQ$95,$AQ$98))))</f>
        <v>99.737508197000011</v>
      </c>
      <c r="AR72">
        <f ca="1">IF(ISERROR(IF(SUM($AR$73,$AR$79,$AR$80,$AR$83,$AR$84,$AR$85,$AR$89,$AR$90,$AR$91,$AR$94,$AR$95,$AR$98) = 0, "", SUM($AR$73,$AR$79,$AR$80,$AR$83,$AR$84,$AR$85,$AR$89,$AR$90,$AR$91,$AR$94,$AR$95,$AR$98))), "", (IF(SUM($AR$73,$AR$79,$AR$80,$AR$83,$AR$84,$AR$85,$AR$89,$AR$90,$AR$91,$AR$94,$AR$95,$AR$98) = 0, "", SUM($AR$73,$AR$79,$AR$80,$AR$83,$AR$84,$AR$85,$AR$89,$AR$90,$AR$91,$AR$94,$AR$95,$AR$98))))</f>
        <v>99.728014513999995</v>
      </c>
      <c r="AS72">
        <f ca="1">IF(ISERROR(IF(SUM($AS$73,$AS$79,$AS$80,$AS$83,$AS$84,$AS$85,$AS$89,$AS$90,$AS$91,$AS$94,$AS$95,$AS$98) = 0, "", SUM($AS$73,$AS$79,$AS$80,$AS$83,$AS$84,$AS$85,$AS$89,$AS$90,$AS$91,$AS$94,$AS$95,$AS$98))), "", (IF(SUM($AS$73,$AS$79,$AS$80,$AS$83,$AS$84,$AS$85,$AS$89,$AS$90,$AS$91,$AS$94,$AS$95,$AS$98) = 0, "", SUM($AS$73,$AS$79,$AS$80,$AS$83,$AS$84,$AS$85,$AS$89,$AS$90,$AS$91,$AS$94,$AS$95,$AS$98))))</f>
        <v>99.775523029000013</v>
      </c>
      <c r="AT72">
        <f>99.50311605</f>
        <v>99.503116050000003</v>
      </c>
      <c r="AU72">
        <f>100</f>
        <v>100</v>
      </c>
      <c r="AV72">
        <f>100</f>
        <v>100</v>
      </c>
      <c r="AW72">
        <f>100</f>
        <v>100</v>
      </c>
      <c r="AX72">
        <f>100</f>
        <v>100</v>
      </c>
      <c r="AY72">
        <f>100</f>
        <v>100</v>
      </c>
      <c r="AZ72">
        <f>100</f>
        <v>100</v>
      </c>
      <c r="BA72">
        <f>100</f>
        <v>100</v>
      </c>
      <c r="BB72">
        <f>100</f>
        <v>100</v>
      </c>
      <c r="BC72">
        <f>100</f>
        <v>100</v>
      </c>
      <c r="BD72">
        <f>100</f>
        <v>100</v>
      </c>
      <c r="BE72">
        <f>100</f>
        <v>100</v>
      </c>
      <c r="BF72">
        <f>100</f>
        <v>100</v>
      </c>
      <c r="BG72">
        <f>100</f>
        <v>100</v>
      </c>
      <c r="BH72">
        <f>100</f>
        <v>100</v>
      </c>
      <c r="BI72">
        <f>100</f>
        <v>100</v>
      </c>
      <c r="BJ72">
        <f>100</f>
        <v>100</v>
      </c>
      <c r="BK72">
        <f>100</f>
        <v>100</v>
      </c>
      <c r="BL72">
        <f>100</f>
        <v>100</v>
      </c>
      <c r="BM72">
        <f>100</f>
        <v>100</v>
      </c>
      <c r="BN72">
        <f>100</f>
        <v>100</v>
      </c>
      <c r="BO72">
        <f>100</f>
        <v>100</v>
      </c>
      <c r="BP72">
        <f>99.18951543</f>
        <v>99.18951543</v>
      </c>
      <c r="BQ72">
        <f>99.28889732</f>
        <v>99.288897320000004</v>
      </c>
      <c r="BR72">
        <f>99.41763727</f>
        <v>99.41763727</v>
      </c>
      <c r="BS72">
        <f>99.40038158</f>
        <v>99.400381580000001</v>
      </c>
      <c r="BT72">
        <f>99.40987124</f>
        <v>99.409871240000001</v>
      </c>
      <c r="BU72">
        <f>99.42317777</f>
        <v>99.423177769999995</v>
      </c>
      <c r="BV72">
        <f>99.44664032</f>
        <v>99.44664032</v>
      </c>
      <c r="BW72">
        <f>99.37730871</f>
        <v>99.377308709999994</v>
      </c>
      <c r="BX72">
        <f>99.43803312</f>
        <v>99.43803312</v>
      </c>
      <c r="BY72">
        <f>99.35998597</f>
        <v>99.359985969999997</v>
      </c>
      <c r="BZ72">
        <f>99.24778761</f>
        <v>99.247787610000003</v>
      </c>
      <c r="CA72">
        <f>99.20591755</f>
        <v>99.205917549999995</v>
      </c>
      <c r="CB72">
        <f>99.11166385</f>
        <v>99.111663849999999</v>
      </c>
      <c r="CC72">
        <f>98.85979201</f>
        <v>98.859792010000007</v>
      </c>
      <c r="CD72">
        <f>99.11720511</f>
        <v>99.11720511</v>
      </c>
      <c r="CE72">
        <f>99.7375082</f>
        <v>99.737508199999994</v>
      </c>
      <c r="CF72">
        <f>99.72801451</f>
        <v>99.728014509999994</v>
      </c>
      <c r="CG72">
        <f>99.77552303</f>
        <v>99.775523030000002</v>
      </c>
    </row>
    <row r="73" spans="1:85" x14ac:dyDescent="0.25">
      <c r="A73" t="str">
        <f>"    Daimler"</f>
        <v xml:space="preserve">    Daimler</v>
      </c>
      <c r="B73" t="str">
        <f>""</f>
        <v/>
      </c>
      <c r="E73" t="str">
        <f>"Sum"</f>
        <v>Sum</v>
      </c>
      <c r="F73">
        <f ca="1">IF(ISERROR(IF(SUM($F$74:$F$78) = 0, "", SUM($F$74:$F$78))), "", (IF(SUM($F$74:$F$78) = 0, "", SUM($F$74:$F$78))))</f>
        <v>35.666161359999997</v>
      </c>
      <c r="G73">
        <f ca="1">IF(ISERROR(IF(SUM($G$74:$G$78) = 0, "", SUM($G$74:$G$78))), "", (IF(SUM($G$74:$G$78) = 0, "", SUM($G$74:$G$78))))</f>
        <v>36.683910099999999</v>
      </c>
      <c r="H73">
        <f ca="1">IF(ISERROR(IF(SUM($H$74:$H$78) = 0, "", SUM($H$74:$H$78))), "", (IF(SUM($H$74:$H$78) = 0, "", SUM($H$74:$H$78))))</f>
        <v>35.17039209</v>
      </c>
      <c r="I73">
        <f ca="1">IF(ISERROR(IF(SUM($I$74:$I$78) = 0, "", SUM($I$74:$I$78))), "", (IF(SUM($I$74:$I$78) = 0, "", SUM($I$74:$I$78))))</f>
        <v>33.957845429999999</v>
      </c>
      <c r="J73">
        <f ca="1">IF(ISERROR(IF(SUM($J$74:$J$78) = 0, "", SUM($J$74:$J$78))), "", (IF(SUM($J$74:$J$78) = 0, "", SUM($J$74:$J$78))))</f>
        <v>34.130169250000002</v>
      </c>
      <c r="K73">
        <f ca="1">IF(ISERROR(IF(SUM($K$74:$K$78) = 0, "", SUM($K$74:$K$78))), "", (IF(SUM($K$74:$K$78) = 0, "", SUM($K$74:$K$78))))</f>
        <v>40.857168969999996</v>
      </c>
      <c r="L73">
        <f ca="1">IF(ISERROR(IF(SUM($L$74:$L$78) = 0, "", SUM($L$74:$L$78))), "", (IF(SUM($L$74:$L$78) = 0, "", SUM($L$74:$L$78))))</f>
        <v>37.934423299999999</v>
      </c>
      <c r="M73">
        <f ca="1">IF(ISERROR(IF(SUM($M$74:$M$78) = 0, "", SUM($M$74:$M$78))), "", (IF(SUM($M$74:$M$78) = 0, "", SUM($M$74:$M$78))))</f>
        <v>36.12921918</v>
      </c>
      <c r="N73">
        <f ca="1">IF(ISERROR(IF(SUM($N$74:$N$78) = 0, "", SUM($N$74:$N$78))), "", (IF(SUM($N$74:$N$78) = 0, "", SUM($N$74:$N$78))))</f>
        <v>39.335840750000003</v>
      </c>
      <c r="O73">
        <f ca="1">IF(ISERROR(IF(SUM($O$74:$O$78) = 0, "", SUM($O$74:$O$78))), "", (IF(SUM($O$74:$O$78) = 0, "", SUM($O$74:$O$78))))</f>
        <v>37.121060030000002</v>
      </c>
      <c r="P73">
        <f ca="1">IF(ISERROR(IF(SUM($P$74:$P$78) = 0, "", SUM($P$74:$P$78))), "", (IF(SUM($P$74:$P$78) = 0, "", SUM($P$74:$P$78))))</f>
        <v>32.705962870999997</v>
      </c>
      <c r="Q73">
        <f ca="1">IF(ISERROR(IF(SUM($Q$74:$Q$78) = 0, "", SUM($Q$74:$Q$78))), "", (IF(SUM($Q$74:$Q$78) = 0, "", SUM($Q$74:$Q$78))))</f>
        <v>40.272865086000003</v>
      </c>
      <c r="R73">
        <f ca="1">IF(ISERROR(IF(SUM($R$74:$R$78) = 0, "", SUM($R$74:$R$78))), "", (IF(SUM($R$74:$R$78) = 0, "", SUM($R$74:$R$78))))</f>
        <v>40.607192897000004</v>
      </c>
      <c r="S73">
        <f ca="1">IF(ISERROR(IF(SUM($S$74:$S$78) = 0, "", SUM($S$74:$S$78))), "", (IF(SUM($S$74:$S$78) = 0, "", SUM($S$74:$S$78))))</f>
        <v>35.811951389000001</v>
      </c>
      <c r="T73">
        <f ca="1">IF(ISERROR(IF(SUM($T$74:$T$78) = 0, "", SUM($T$74:$T$78))), "", (IF(SUM($T$74:$T$78) = 0, "", SUM($T$74:$T$78))))</f>
        <v>40.950846089999999</v>
      </c>
      <c r="U73">
        <f ca="1">IF(ISERROR(IF(SUM($U$74:$U$78) = 0, "", SUM($U$74:$U$78))), "", (IF(SUM($U$74:$U$78) = 0, "", SUM($U$74:$U$78))))</f>
        <v>40.214233841999999</v>
      </c>
      <c r="V73">
        <f ca="1">IF(ISERROR(IF(SUM($V$74:$V$78) = 0, "", SUM($V$74:$V$78))), "", (IF(SUM($V$74:$V$78) = 0, "", SUM($V$74:$V$78))))</f>
        <v>41.151276337000006</v>
      </c>
      <c r="W73">
        <f ca="1">IF(ISERROR(IF(SUM($W$74:$W$78) = 0, "", SUM($W$74:$W$78))), "", (IF(SUM($W$74:$W$78) = 0, "", SUM($W$74:$W$78))))</f>
        <v>39.428362041999996</v>
      </c>
      <c r="X73">
        <f ca="1">IF(ISERROR(IF(SUM($X$74:$X$78) = 0, "", SUM($X$74:$X$78))), "", (IF(SUM($X$74:$X$78) = 0, "", SUM($X$74:$X$78))))</f>
        <v>36.540502293999999</v>
      </c>
      <c r="Y73">
        <f ca="1">IF(ISERROR(IF(SUM($Y$74:$Y$78) = 0, "", SUM($Y$74:$Y$78))), "", (IF(SUM($Y$74:$Y$78) = 0, "", SUM($Y$74:$Y$78))))</f>
        <v>36.534796862</v>
      </c>
      <c r="Z73">
        <f ca="1">IF(ISERROR(IF(SUM($Z$74:$Z$78) = 0, "", SUM($Z$74:$Z$78))), "", (IF(SUM($Z$74:$Z$78) = 0, "", SUM($Z$74:$Z$78))))</f>
        <v>42.037418316999997</v>
      </c>
      <c r="AA73">
        <f ca="1">IF(ISERROR(IF(SUM($AA$74:$AA$78) = 0, "", SUM($AA$74:$AA$78))), "", (IF(SUM($AA$74:$AA$78) = 0, "", SUM($AA$74:$AA$78))))</f>
        <v>42.832469773</v>
      </c>
      <c r="AB73">
        <f ca="1">IF(ISERROR(IF(SUM($AB$74:$AB$78) = 0, "", SUM($AB$74:$AB$78))), "", (IF(SUM($AB$74:$AB$78) = 0, "", SUM($AB$74:$AB$78))))</f>
        <v>33.617865152999997</v>
      </c>
      <c r="AC73">
        <f ca="1">IF(ISERROR(IF(SUM($AC$74:$AC$78) = 0, "", SUM($AC$74:$AC$78))), "", (IF(SUM($AC$74:$AC$78) = 0, "", SUM($AC$74:$AC$78))))</f>
        <v>46.107897975999997</v>
      </c>
      <c r="AD73">
        <f ca="1">IF(ISERROR(IF(SUM($AD$74:$AD$78) = 0, "", SUM($AD$74:$AD$78))), "", (IF(SUM($AD$74:$AD$78) = 0, "", SUM($AD$74:$AD$78))))</f>
        <v>42.961730450999994</v>
      </c>
      <c r="AE73">
        <f ca="1">IF(ISERROR(IF(SUM($AE$74:$AE$78) = 0, "", SUM($AE$74:$AE$78))), "", (IF(SUM($AE$74:$AE$78) = 0, "", SUM($AE$74:$AE$78))))</f>
        <v>41.191968746999997</v>
      </c>
      <c r="AF73">
        <f ca="1">IF(ISERROR(IF(SUM($AF$74:$AF$78) = 0, "", SUM($AF$74:$AF$78))), "", (IF(SUM($AF$74:$AF$78) = 0, "", SUM($AF$74:$AF$78))))</f>
        <v>39.028969962000005</v>
      </c>
      <c r="AG73">
        <f ca="1">IF(ISERROR(IF(SUM($AG$74:$AG$78) = 0, "", SUM($AG$74:$AG$78))), "", (IF(SUM($AG$74:$AG$78) = 0, "", SUM($AG$74:$AG$78))))</f>
        <v>36.234923963999996</v>
      </c>
      <c r="AH73">
        <f ca="1">IF(ISERROR(IF(SUM($AH$74:$AH$78) = 0, "", SUM($AH$74:$AH$78))), "", (IF(SUM($AH$74:$AH$78) = 0, "", SUM($AH$74:$AH$78))))</f>
        <v>39.209486167000001</v>
      </c>
      <c r="AI73">
        <f ca="1">IF(ISERROR(IF(SUM($AI$74:$AI$78) = 0, "", SUM($AI$74:$AI$78))), "", (IF(SUM($AI$74:$AI$78) = 0, "", SUM($AI$74:$AI$78))))</f>
        <v>44.654353563999997</v>
      </c>
      <c r="AJ73">
        <f ca="1">IF(ISERROR(IF(SUM($AJ$74:$AJ$78) = 0, "", SUM($AJ$74:$AJ$78))), "", (IF(SUM($AJ$74:$AJ$78) = 0, "", SUM($AJ$74:$AJ$78))))</f>
        <v>41.936778726999997</v>
      </c>
      <c r="AK73">
        <f ca="1">IF(ISERROR(IF(SUM($AK$74:$AK$78) = 0, "", SUM($AK$74:$AK$78))), "", (IF(SUM($AK$74:$AK$78) = 0, "", SUM($AK$74:$AK$78))))</f>
        <v>37.839733471999999</v>
      </c>
      <c r="AL73">
        <f ca="1">IF(ISERROR(IF(SUM($AL$74:$AL$78) = 0, "", SUM($AL$74:$AL$78))), "", (IF(SUM($AL$74:$AL$78) = 0, "", SUM($AL$74:$AL$78))))</f>
        <v>41.106194689000006</v>
      </c>
      <c r="AM73">
        <f ca="1">IF(ISERROR(IF(SUM($AM$74:$AM$78) = 0, "", SUM($AM$74:$AM$78))), "", (IF(SUM($AM$74:$AM$78) = 0, "", SUM($AM$74:$AM$78))))</f>
        <v>41.183509192999999</v>
      </c>
      <c r="AN73">
        <f ca="1">IF(ISERROR(IF(SUM($AN$74:$AN$78) = 0, "", SUM($AN$74:$AN$78))), "", (IF(SUM($AN$74:$AN$78) = 0, "", SUM($AN$74:$AN$78))))</f>
        <v>34.858310384999996</v>
      </c>
      <c r="AO73">
        <f ca="1">IF(ISERROR(IF(SUM($AO$74:$AO$78) = 0, "", SUM($AO$74:$AO$78))), "", (IF(SUM($AO$74:$AO$78) = 0, "", SUM($AO$74:$AO$78))))</f>
        <v>39.293321637999995</v>
      </c>
      <c r="AP73">
        <f ca="1">IF(ISERROR(IF(SUM($AP$74:$AP$78) = 0, "", SUM($AP$74:$AP$78))), "", (IF(SUM($AP$74:$AP$78) = 0, "", SUM($AP$74:$AP$78))))</f>
        <v>41.510142747000003</v>
      </c>
      <c r="AQ73">
        <f ca="1">IF(ISERROR(IF(SUM($AQ$74:$AQ$78) = 0, "", SUM($AQ$74:$AQ$78))), "", (IF(SUM($AQ$74:$AQ$78) = 0, "", SUM($AQ$74:$AQ$78))))</f>
        <v>38.605043590000001</v>
      </c>
      <c r="AR73">
        <f ca="1">IF(ISERROR(IF(SUM($AR$74:$AR$78) = 0, "", SUM($AR$74:$AR$78))), "", (IF(SUM($AR$74:$AR$78) = 0, "", SUM($AR$74:$AR$78))))</f>
        <v>42.218192809000001</v>
      </c>
      <c r="AS73">
        <f ca="1">IF(ISERROR(IF(SUM($AS$74:$AS$78) = 0, "", SUM($AS$74:$AS$78))), "", (IF(SUM($AS$74:$AS$78) = 0, "", SUM($AS$74:$AS$78))))</f>
        <v>40.405854357000003</v>
      </c>
      <c r="AT73">
        <f>35.66616136</f>
        <v>35.666161359999997</v>
      </c>
      <c r="AU73">
        <f>36.6839101</f>
        <v>36.683910099999999</v>
      </c>
      <c r="AV73">
        <f>35.17039209</f>
        <v>35.17039209</v>
      </c>
      <c r="AW73">
        <f>33.95784543</f>
        <v>33.957845429999999</v>
      </c>
      <c r="AX73">
        <f>34.13016925</f>
        <v>34.130169250000002</v>
      </c>
      <c r="AY73">
        <f>40.85716897</f>
        <v>40.857168969999996</v>
      </c>
      <c r="AZ73">
        <f>37.9344233</f>
        <v>37.934423299999999</v>
      </c>
      <c r="BA73">
        <f>36.12921918</f>
        <v>36.12921918</v>
      </c>
      <c r="BB73">
        <f>39.33584075</f>
        <v>39.335840750000003</v>
      </c>
      <c r="BC73">
        <f>37.12106003</f>
        <v>37.121060030000002</v>
      </c>
      <c r="BD73">
        <f>32.70596287</f>
        <v>32.70596287</v>
      </c>
      <c r="BE73">
        <f>40.27286508</f>
        <v>40.272865080000003</v>
      </c>
      <c r="BF73">
        <f>40.6071929</f>
        <v>40.607192900000001</v>
      </c>
      <c r="BG73">
        <f>35.81195138</f>
        <v>35.811951379999996</v>
      </c>
      <c r="BH73">
        <f>40.95084609</f>
        <v>40.950846089999999</v>
      </c>
      <c r="BI73">
        <f>40.21423384</f>
        <v>40.214233839999999</v>
      </c>
      <c r="BJ73">
        <f>41.15127634</f>
        <v>41.151276340000003</v>
      </c>
      <c r="BK73">
        <f>39.42836204</f>
        <v>39.428362040000003</v>
      </c>
      <c r="BL73">
        <f>36.5405023</f>
        <v>36.5405023</v>
      </c>
      <c r="BM73">
        <f>36.53479686</f>
        <v>36.53479686</v>
      </c>
      <c r="BN73">
        <f>42.03741832</f>
        <v>42.03741832</v>
      </c>
      <c r="BO73">
        <f>42.83246978</f>
        <v>42.832469779999997</v>
      </c>
      <c r="BP73">
        <f>33.61786515</f>
        <v>33.61786515</v>
      </c>
      <c r="BQ73">
        <f>46.10789798</f>
        <v>46.107897979999997</v>
      </c>
      <c r="BR73">
        <f>42.96173045</f>
        <v>42.961730449999997</v>
      </c>
      <c r="BS73">
        <f>41.19196875</f>
        <v>41.191968750000001</v>
      </c>
      <c r="BT73">
        <f>39.02896996</f>
        <v>39.028969959999998</v>
      </c>
      <c r="BU73">
        <f>36.23492396</f>
        <v>36.234923960000003</v>
      </c>
      <c r="BV73">
        <f>39.20948617</f>
        <v>39.209486169999998</v>
      </c>
      <c r="BW73">
        <f>44.65435356</f>
        <v>44.654353559999997</v>
      </c>
      <c r="BX73">
        <f>41.93677873</f>
        <v>41.93677873</v>
      </c>
      <c r="BY73">
        <f>37.83973347</f>
        <v>37.839733469999999</v>
      </c>
      <c r="BZ73">
        <f>41.10619469</f>
        <v>41.106194690000002</v>
      </c>
      <c r="CA73">
        <f>41.18350919</f>
        <v>41.183509190000002</v>
      </c>
      <c r="CB73">
        <f>34.85831038</f>
        <v>34.858310379999999</v>
      </c>
      <c r="CC73">
        <f>39.29332164</f>
        <v>39.293321640000002</v>
      </c>
      <c r="CD73">
        <f>41.51014275</f>
        <v>41.51014275</v>
      </c>
      <c r="CE73">
        <f>38.60504359</f>
        <v>38.605043590000001</v>
      </c>
      <c r="CF73">
        <f>42.21819281</f>
        <v>42.218192809999998</v>
      </c>
      <c r="CG73">
        <f>40.40585436</f>
        <v>40.405854359999999</v>
      </c>
    </row>
    <row r="74" spans="1:85" x14ac:dyDescent="0.25">
      <c r="A74" t="str">
        <f>"        Freightliner"</f>
        <v xml:space="preserve">        Freightliner</v>
      </c>
      <c r="B74" t="str">
        <f>""</f>
        <v/>
      </c>
      <c r="E74" t="str">
        <f t="shared" ref="E74:E79" si="1">"Expression"</f>
        <v>Expression</v>
      </c>
      <c r="F74">
        <f ca="1">IF(AND($B$294=1,LEN($F$210) * LEN($F$209)&gt;0),$F$210/$F$209*100,HLOOKUP(INDIRECT(ADDRESS(2,COLUMN())),OFFSET($AT$2,0,0,ROW()-1,40),ROW()-1,FALSE))</f>
        <v>35.666161359999997</v>
      </c>
      <c r="G74">
        <f ca="1">IF(AND($B$294=1,LEN($G$210) * LEN($G$209)&gt;0),$G$210/$G$209*100,HLOOKUP(INDIRECT(ADDRESS(2,COLUMN())),OFFSET($AT$2,0,0,ROW()-1,40),ROW()-1,FALSE))</f>
        <v>36.683910099999999</v>
      </c>
      <c r="H74">
        <f ca="1">IF(AND($B$294=1,LEN($H$210) * LEN($H$209)&gt;0),$H$210/$H$209*100,HLOOKUP(INDIRECT(ADDRESS(2,COLUMN())),OFFSET($AT$2,0,0,ROW()-1,40),ROW()-1,FALSE))</f>
        <v>35.17039209</v>
      </c>
      <c r="I74">
        <f ca="1">IF(AND($B$294=1,LEN($I$210) * LEN($I$209)&gt;0),$I$210/$I$209*100,HLOOKUP(INDIRECT(ADDRESS(2,COLUMN())),OFFSET($AT$2,0,0,ROW()-1,40),ROW()-1,FALSE))</f>
        <v>33.957845429999999</v>
      </c>
      <c r="J74">
        <f ca="1">IF(AND($B$294=1,LEN($J$210) * LEN($J$209)&gt;0),$J$210/$J$209*100,HLOOKUP(INDIRECT(ADDRESS(2,COLUMN())),OFFSET($AT$2,0,0,ROW()-1,40),ROW()-1,FALSE))</f>
        <v>34.130169250000002</v>
      </c>
      <c r="K74">
        <f ca="1">IF(AND($B$294=1,LEN($K$210) * LEN($K$209)&gt;0),$K$210/$K$209*100,HLOOKUP(INDIRECT(ADDRESS(2,COLUMN())),OFFSET($AT$2,0,0,ROW()-1,40),ROW()-1,FALSE))</f>
        <v>40.857168969999996</v>
      </c>
      <c r="L74">
        <f ca="1">IF(AND($B$294=1,LEN($L$210) * LEN($L$209)&gt;0),$L$210/$L$209*100,HLOOKUP(INDIRECT(ADDRESS(2,COLUMN())),OFFSET($AT$2,0,0,ROW()-1,40),ROW()-1,FALSE))</f>
        <v>37.934423299999999</v>
      </c>
      <c r="M74">
        <f ca="1">IF(AND($B$294=1,LEN($M$210) * LEN($M$209)&gt;0),$M$210/$M$209*100,HLOOKUP(INDIRECT(ADDRESS(2,COLUMN())),OFFSET($AT$2,0,0,ROW()-1,40),ROW()-1,FALSE))</f>
        <v>36.12921918</v>
      </c>
      <c r="N74">
        <f ca="1">IF(AND($B$294=1,LEN($N$210) * LEN($N$209)&gt;0),$N$210/$N$209*100,HLOOKUP(INDIRECT(ADDRESS(2,COLUMN())),OFFSET($AT$2,0,0,ROW()-1,40),ROW()-1,FALSE))</f>
        <v>39.335840750000003</v>
      </c>
      <c r="O74">
        <f ca="1">IF(AND($B$294=1,LEN($O$210) * LEN($O$209)&gt;0),$O$210/$O$209*100,HLOOKUP(INDIRECT(ADDRESS(2,COLUMN())),OFFSET($AT$2,0,0,ROW()-1,40),ROW()-1,FALSE))</f>
        <v>37.121060030000002</v>
      </c>
      <c r="P74">
        <f ca="1">IF(AND($B$294=1,LEN($P$210) * LEN($P$209)&gt;0),$P$210/$P$209*100,HLOOKUP(INDIRECT(ADDRESS(2,COLUMN())),OFFSET($AT$2,0,0,ROW()-1,40),ROW()-1,FALSE))</f>
        <v>29.00162546</v>
      </c>
      <c r="Q74">
        <f ca="1">IF(AND($B$294=1,LEN($Q$210) * LEN($Q$209)&gt;0),$Q$210/$Q$209*100,HLOOKUP(INDIRECT(ADDRESS(2,COLUMN())),OFFSET($AT$2,0,0,ROW()-1,40),ROW()-1,FALSE))</f>
        <v>36.624557860000003</v>
      </c>
      <c r="R74">
        <f ca="1">IF(AND($B$294=1,LEN($R$210) * LEN($R$209)&gt;0),$R$210/$R$209*100,HLOOKUP(INDIRECT(ADDRESS(2,COLUMN())),OFFSET($AT$2,0,0,ROW()-1,40),ROW()-1,FALSE))</f>
        <v>37.870154130000003</v>
      </c>
      <c r="S74">
        <f ca="1">IF(AND($B$294=1,LEN($S$210) * LEN($S$209)&gt;0),$S$210/$S$209*100,HLOOKUP(INDIRECT(ADDRESS(2,COLUMN())),OFFSET($AT$2,0,0,ROW()-1,40),ROW()-1,FALSE))</f>
        <v>33.127954090000003</v>
      </c>
      <c r="T74">
        <f ca="1">IF(AND($B$294=1,LEN($T$210) * LEN($T$209)&gt;0),$T$210/$T$209*100,HLOOKUP(INDIRECT(ADDRESS(2,COLUMN())),OFFSET($AT$2,0,0,ROW()-1,40),ROW()-1,FALSE))</f>
        <v>37.58259468</v>
      </c>
      <c r="U74">
        <f ca="1">IF(AND($B$294=1,LEN($U$210) * LEN($U$209)&gt;0),$U$210/$U$209*100,HLOOKUP(INDIRECT(ADDRESS(2,COLUMN())),OFFSET($AT$2,0,0,ROW()-1,40),ROW()-1,FALSE))</f>
        <v>36.882716049999999</v>
      </c>
      <c r="V74">
        <f ca="1">IF(AND($B$294=1,LEN($V$210) * LEN($V$209)&gt;0),$V$210/$V$209*100,HLOOKUP(INDIRECT(ADDRESS(2,COLUMN())),OFFSET($AT$2,0,0,ROW()-1,40),ROW()-1,FALSE))</f>
        <v>37.262292270000003</v>
      </c>
      <c r="W74">
        <f ca="1">IF(AND($B$294=1,LEN($W$210) * LEN($W$209)&gt;0),$W$210/$W$209*100,HLOOKUP(INDIRECT(ADDRESS(2,COLUMN())),OFFSET($AT$2,0,0,ROW()-1,40),ROW()-1,FALSE))</f>
        <v>36.744228659999997</v>
      </c>
      <c r="X74">
        <f ca="1">IF(AND($B$294=1,LEN($X$210) * LEN($X$209)&gt;0),$X$210/$X$209*100,HLOOKUP(INDIRECT(ADDRESS(2,COLUMN())),OFFSET($AT$2,0,0,ROW()-1,40),ROW()-1,FALSE))</f>
        <v>34.13512557</v>
      </c>
      <c r="Y74">
        <f ca="1">IF(AND($B$294=1,LEN($Y$210) * LEN($Y$209)&gt;0),$Y$210/$Y$209*100,HLOOKUP(INDIRECT(ADDRESS(2,COLUMN())),OFFSET($AT$2,0,0,ROW()-1,40),ROW()-1,FALSE))</f>
        <v>33.729705010000004</v>
      </c>
      <c r="Z74">
        <f ca="1">IF(AND($B$294=1,LEN($Z$210) * LEN($Z$209)&gt;0),$Z$210/$Z$209*100,HLOOKUP(INDIRECT(ADDRESS(2,COLUMN())),OFFSET($AT$2,0,0,ROW()-1,40),ROW()-1,FALSE))</f>
        <v>39.709963299999998</v>
      </c>
      <c r="AA74">
        <f ca="1">IF(AND($B$294=1,LEN($AA$210) * LEN($AA$209)&gt;0),$AA$210/$AA$209*100,HLOOKUP(INDIRECT(ADDRESS(2,COLUMN())),OFFSET($AT$2,0,0,ROW()-1,40),ROW()-1,FALSE))</f>
        <v>40.922482979999998</v>
      </c>
      <c r="AB74">
        <f ca="1">IF(AND($B$294=1,LEN($AB$210) * LEN($AB$209)&gt;0),$AB$210/$AB$209*100,HLOOKUP(INDIRECT(ADDRESS(2,COLUMN())),OFFSET($AT$2,0,0,ROW()-1,40),ROW()-1,FALSE))</f>
        <v>30.669080879999999</v>
      </c>
      <c r="AC74">
        <f ca="1">IF(AND($B$294=1,LEN($AC$210) * LEN($AC$209)&gt;0),$AC$210/$AC$209*100,HLOOKUP(INDIRECT(ADDRESS(2,COLUMN())),OFFSET($AT$2,0,0,ROW()-1,40),ROW()-1,FALSE))</f>
        <v>43.510002839999999</v>
      </c>
      <c r="AD74">
        <f ca="1">IF(AND($B$294=1,LEN($AD$210) * LEN($AD$209)&gt;0),$AD$210/$AD$209*100,HLOOKUP(INDIRECT(ADDRESS(2,COLUMN())),OFFSET($AT$2,0,0,ROW()-1,40),ROW()-1,FALSE))</f>
        <v>40.823627289999997</v>
      </c>
      <c r="AE74">
        <f ca="1">IF(AND($B$294=1,LEN($AE$210) * LEN($AE$209)&gt;0),$AE$210/$AE$209*100,HLOOKUP(INDIRECT(ADDRESS(2,COLUMN())),OFFSET($AT$2,0,0,ROW()-1,40),ROW()-1,FALSE))</f>
        <v>39.020623239999999</v>
      </c>
      <c r="AF74">
        <f ca="1">IF(AND($B$294=1,LEN($AF$210) * LEN($AF$209)&gt;0),$AF$210/$AF$209*100,HLOOKUP(INDIRECT(ADDRESS(2,COLUMN())),OFFSET($AT$2,0,0,ROW()-1,40),ROW()-1,FALSE))</f>
        <v>36.891988560000001</v>
      </c>
      <c r="AG74">
        <f ca="1">IF(AND($B$294=1,LEN($AG$210) * LEN($AG$209)&gt;0),$AG$210/$AG$209*100,HLOOKUP(INDIRECT(ADDRESS(2,COLUMN())),OFFSET($AT$2,0,0,ROW()-1,40),ROW()-1,FALSE))</f>
        <v>33.726621219999998</v>
      </c>
      <c r="AH74">
        <f ca="1">IF(AND($B$294=1,LEN($AH$210) * LEN($AH$209)&gt;0),$AH$210/$AH$209*100,HLOOKUP(INDIRECT(ADDRESS(2,COLUMN())),OFFSET($AT$2,0,0,ROW()-1,40),ROW()-1,FALSE))</f>
        <v>36.732542819999999</v>
      </c>
      <c r="AI74">
        <f ca="1">IF(AND($B$294=1,LEN($AI$210) * LEN($AI$209)&gt;0),$AI$210/$AI$209*100,HLOOKUP(INDIRECT(ADDRESS(2,COLUMN())),OFFSET($AT$2,0,0,ROW()-1,40),ROW()-1,FALSE))</f>
        <v>42.606860159999997</v>
      </c>
      <c r="AJ74">
        <f ca="1">IF(AND($B$294=1,LEN($AJ$210) * LEN($AJ$209)&gt;0),$AJ$210/$AJ$209*100,HLOOKUP(INDIRECT(ADDRESS(2,COLUMN())),OFFSET($AT$2,0,0,ROW()-1,40),ROW()-1,FALSE))</f>
        <v>39.548419469999999</v>
      </c>
      <c r="AK74">
        <f ca="1">IF(AND($B$294=1,LEN($AK$210) * LEN($AK$209)&gt;0),$AK$210/$AK$209*100,HLOOKUP(INDIRECT(ADDRESS(2,COLUMN())),OFFSET($AT$2,0,0,ROW()-1,40),ROW()-1,FALSE))</f>
        <v>36.130106959999999</v>
      </c>
      <c r="AL74">
        <f ca="1">IF(AND($B$294=1,LEN($AL$210) * LEN($AL$209)&gt;0),$AL$210/$AL$209*100,HLOOKUP(INDIRECT(ADDRESS(2,COLUMN())),OFFSET($AT$2,0,0,ROW()-1,40),ROW()-1,FALSE))</f>
        <v>39.424778760000002</v>
      </c>
      <c r="AM74">
        <f ca="1">IF(AND($B$294=1,LEN($AM$210) * LEN($AM$209)&gt;0),$AM$210/$AM$209*100,HLOOKUP(INDIRECT(ADDRESS(2,COLUMN())),OFFSET($AT$2,0,0,ROW()-1,40),ROW()-1,FALSE))</f>
        <v>39.14935277</v>
      </c>
      <c r="AN74">
        <f ca="1">IF(AND($B$294=1,LEN($AN$210) * LEN($AN$209)&gt;0),$AN$210/$AN$209*100,HLOOKUP(INDIRECT(ADDRESS(2,COLUMN())),OFFSET($AT$2,0,0,ROW()-1,40),ROW()-1,FALSE))</f>
        <v>32.886204139999997</v>
      </c>
      <c r="AO74">
        <f ca="1">IF(AND($B$294=1,LEN($AO$210) * LEN($AO$209)&gt;0),$AO$210/$AO$209*100,HLOOKUP(INDIRECT(ADDRESS(2,COLUMN())),OFFSET($AT$2,0,0,ROW()-1,40),ROW()-1,FALSE))</f>
        <v>36.737250969999998</v>
      </c>
      <c r="AP74">
        <f ca="1">IF(AND($B$294=1,LEN($AP$210) * LEN($AP$209)&gt;0),$AP$210/$AP$209*100,HLOOKUP(INDIRECT(ADDRESS(2,COLUMN())),OFFSET($AT$2,0,0,ROW()-1,40),ROW()-1,FALSE))</f>
        <v>39.58489857</v>
      </c>
      <c r="AQ74">
        <f ca="1">IF(AND($B$294=1,LEN($AQ$210) * LEN($AQ$209)&gt;0),$AQ$210/$AQ$209*100,HLOOKUP(INDIRECT(ADDRESS(2,COLUMN())),OFFSET($AT$2,0,0,ROW()-1,40),ROW()-1,FALSE))</f>
        <v>36.673853940000001</v>
      </c>
      <c r="AR74">
        <f ca="1">IF(AND($B$294=1,LEN($AR$210) * LEN($AR$209)&gt;0),$AR$210/$AR$209*100,HLOOKUP(INDIRECT(ADDRESS(2,COLUMN())),OFFSET($AT$2,0,0,ROW()-1,40),ROW()-1,FALSE))</f>
        <v>39.397602499999998</v>
      </c>
      <c r="AS74">
        <f ca="1">IF(AND($B$294=1,LEN($AS$210) * LEN($AS$209)&gt;0),$AS$210/$AS$209*100,HLOOKUP(INDIRECT(ADDRESS(2,COLUMN())),OFFSET($AT$2,0,0,ROW()-1,40),ROW()-1,FALSE))</f>
        <v>38.161084670000001</v>
      </c>
      <c r="AT74">
        <f>35.66616136</f>
        <v>35.666161359999997</v>
      </c>
      <c r="AU74">
        <f>36.6839101</f>
        <v>36.683910099999999</v>
      </c>
      <c r="AV74">
        <f>35.17039209</f>
        <v>35.17039209</v>
      </c>
      <c r="AW74">
        <f>33.95784543</f>
        <v>33.957845429999999</v>
      </c>
      <c r="AX74">
        <f>34.13016925</f>
        <v>34.130169250000002</v>
      </c>
      <c r="AY74">
        <f>40.85716897</f>
        <v>40.857168969999996</v>
      </c>
      <c r="AZ74">
        <f>37.9344233</f>
        <v>37.934423299999999</v>
      </c>
      <c r="BA74">
        <f>36.12921918</f>
        <v>36.12921918</v>
      </c>
      <c r="BB74">
        <f>39.33584075</f>
        <v>39.335840750000003</v>
      </c>
      <c r="BC74">
        <f>37.12106003</f>
        <v>37.121060030000002</v>
      </c>
      <c r="BD74">
        <f>29.00162546</f>
        <v>29.00162546</v>
      </c>
      <c r="BE74">
        <f>36.62455786</f>
        <v>36.624557860000003</v>
      </c>
      <c r="BF74">
        <f>37.87015413</f>
        <v>37.870154130000003</v>
      </c>
      <c r="BG74">
        <f>33.12795409</f>
        <v>33.127954090000003</v>
      </c>
      <c r="BH74">
        <f>37.58259468</f>
        <v>37.58259468</v>
      </c>
      <c r="BI74">
        <f>36.88271605</f>
        <v>36.882716049999999</v>
      </c>
      <c r="BJ74">
        <f>37.26229227</f>
        <v>37.262292270000003</v>
      </c>
      <c r="BK74">
        <f>36.74422866</f>
        <v>36.744228659999997</v>
      </c>
      <c r="BL74">
        <f>34.13512557</f>
        <v>34.13512557</v>
      </c>
      <c r="BM74">
        <f>33.72970501</f>
        <v>33.729705010000004</v>
      </c>
      <c r="BN74">
        <f>39.7099633</f>
        <v>39.709963299999998</v>
      </c>
      <c r="BO74">
        <f>40.92248298</f>
        <v>40.922482979999998</v>
      </c>
      <c r="BP74">
        <f>30.66908088</f>
        <v>30.669080879999999</v>
      </c>
      <c r="BQ74">
        <f>43.51000284</f>
        <v>43.510002839999999</v>
      </c>
      <c r="BR74">
        <f>40.82362729</f>
        <v>40.823627289999997</v>
      </c>
      <c r="BS74">
        <f>39.02062324</f>
        <v>39.020623239999999</v>
      </c>
      <c r="BT74">
        <f>36.89198856</f>
        <v>36.891988560000001</v>
      </c>
      <c r="BU74">
        <f>33.72662122</f>
        <v>33.726621219999998</v>
      </c>
      <c r="BV74">
        <f>36.73254282</f>
        <v>36.732542819999999</v>
      </c>
      <c r="BW74">
        <f>42.60686016</f>
        <v>42.606860159999997</v>
      </c>
      <c r="BX74">
        <f>39.54841947</f>
        <v>39.548419469999999</v>
      </c>
      <c r="BY74">
        <f>36.13010696</f>
        <v>36.130106959999999</v>
      </c>
      <c r="BZ74">
        <f>39.42477876</f>
        <v>39.424778760000002</v>
      </c>
      <c r="CA74">
        <f>39.14935277</f>
        <v>39.14935277</v>
      </c>
      <c r="CB74">
        <f>32.88620414</f>
        <v>32.886204139999997</v>
      </c>
      <c r="CC74">
        <f>36.73725097</f>
        <v>36.737250969999998</v>
      </c>
      <c r="CD74">
        <f>39.58489857</f>
        <v>39.58489857</v>
      </c>
      <c r="CE74">
        <f>36.67385394</f>
        <v>36.673853940000001</v>
      </c>
      <c r="CF74">
        <f>39.3976025</f>
        <v>39.397602499999998</v>
      </c>
      <c r="CG74">
        <f>38.16108467</f>
        <v>38.161084670000001</v>
      </c>
    </row>
    <row r="75" spans="1:85" x14ac:dyDescent="0.25">
      <c r="A75" t="str">
        <f>"        Mercedes-Benz"</f>
        <v xml:space="preserve">        Mercedes-Benz</v>
      </c>
      <c r="B75" t="str">
        <f>""</f>
        <v/>
      </c>
      <c r="E75" t="str">
        <f t="shared" si="1"/>
        <v>Expression</v>
      </c>
      <c r="F75" t="str">
        <f ca="1">IF(AND($B$294=1,LEN($F$211) * LEN($F$209)&gt;0),$F$211/$F$209*100,HLOOKUP(INDIRECT(ADDRESS(2,COLUMN())),OFFSET($AT$2,0,0,ROW()-1,40),ROW()-1,FALSE))</f>
        <v/>
      </c>
      <c r="G75" t="str">
        <f ca="1">IF(AND($B$294=1,LEN($G$211) * LEN($G$209)&gt;0),$G$211/$G$209*100,HLOOKUP(INDIRECT(ADDRESS(2,COLUMN())),OFFSET($AT$2,0,0,ROW()-1,40),ROW()-1,FALSE))</f>
        <v/>
      </c>
      <c r="H75" t="str">
        <f ca="1">IF(AND($B$294=1,LEN($H$211) * LEN($H$209)&gt;0),$H$211/$H$209*100,HLOOKUP(INDIRECT(ADDRESS(2,COLUMN())),OFFSET($AT$2,0,0,ROW()-1,40),ROW()-1,FALSE))</f>
        <v/>
      </c>
      <c r="I75" t="str">
        <f ca="1">IF(AND($B$294=1,LEN($I$211) * LEN($I$209)&gt;0),$I$211/$I$209*100,HLOOKUP(INDIRECT(ADDRESS(2,COLUMN())),OFFSET($AT$2,0,0,ROW()-1,40),ROW()-1,FALSE))</f>
        <v/>
      </c>
      <c r="J75" t="str">
        <f ca="1">IF(AND($B$294=1,LEN($J$211) * LEN($J$209)&gt;0),$J$211/$J$209*100,HLOOKUP(INDIRECT(ADDRESS(2,COLUMN())),OFFSET($AT$2,0,0,ROW()-1,40),ROW()-1,FALSE))</f>
        <v/>
      </c>
      <c r="K75" t="str">
        <f ca="1">IF(AND($B$294=1,LEN($K$211) * LEN($K$209)&gt;0),$K$211/$K$209*100,HLOOKUP(INDIRECT(ADDRESS(2,COLUMN())),OFFSET($AT$2,0,0,ROW()-1,40),ROW()-1,FALSE))</f>
        <v/>
      </c>
      <c r="L75" t="str">
        <f ca="1">IF(AND($B$294=1,LEN($L$211) * LEN($L$209)&gt;0),$L$211/$L$209*100,HLOOKUP(INDIRECT(ADDRESS(2,COLUMN())),OFFSET($AT$2,0,0,ROW()-1,40),ROW()-1,FALSE))</f>
        <v/>
      </c>
      <c r="M75" t="str">
        <f ca="1">IF(AND($B$294=1,LEN($M$211) * LEN($M$209)&gt;0),$M$211/$M$209*100,HLOOKUP(INDIRECT(ADDRESS(2,COLUMN())),OFFSET($AT$2,0,0,ROW()-1,40),ROW()-1,FALSE))</f>
        <v/>
      </c>
      <c r="N75" t="str">
        <f ca="1">IF(AND($B$294=1,LEN($N$211) * LEN($N$209)&gt;0),$N$211/$N$209*100,HLOOKUP(INDIRECT(ADDRESS(2,COLUMN())),OFFSET($AT$2,0,0,ROW()-1,40),ROW()-1,FALSE))</f>
        <v/>
      </c>
      <c r="O75" t="str">
        <f ca="1">IF(AND($B$294=1,LEN($O$211) * LEN($O$209)&gt;0),$O$211/$O$209*100,HLOOKUP(INDIRECT(ADDRESS(2,COLUMN())),OFFSET($AT$2,0,0,ROW()-1,40),ROW()-1,FALSE))</f>
        <v/>
      </c>
      <c r="P75">
        <f ca="1">IF(AND($B$294=1,LEN($P$211) * LEN($P$209)&gt;0),$P$211/$P$209*100,HLOOKUP(INDIRECT(ADDRESS(2,COLUMN())),OFFSET($AT$2,0,0,ROW()-1,40),ROW()-1,FALSE))</f>
        <v>3.704337411</v>
      </c>
      <c r="Q75">
        <f ca="1">IF(AND($B$294=1,LEN($Q$211) * LEN($Q$209)&gt;0),$Q$211/$Q$209*100,HLOOKUP(INDIRECT(ADDRESS(2,COLUMN())),OFFSET($AT$2,0,0,ROW()-1,40),ROW()-1,FALSE))</f>
        <v>3.648307226</v>
      </c>
      <c r="R75">
        <f ca="1">IF(AND($B$294=1,LEN($R$211) * LEN($R$209)&gt;0),$R$211/$R$209*100,HLOOKUP(INDIRECT(ADDRESS(2,COLUMN())),OFFSET($AT$2,0,0,ROW()-1,40),ROW()-1,FALSE))</f>
        <v>2.737038767</v>
      </c>
      <c r="S75">
        <f ca="1">IF(AND($B$294=1,LEN($S$211) * LEN($S$209)&gt;0),$S$211/$S$209*100,HLOOKUP(INDIRECT(ADDRESS(2,COLUMN())),OFFSET($AT$2,0,0,ROW()-1,40),ROW()-1,FALSE))</f>
        <v>2.6839972990000001</v>
      </c>
      <c r="T75">
        <f ca="1">IF(AND($B$294=1,LEN($T$211) * LEN($T$209)&gt;0),$T$211/$T$209*100,HLOOKUP(INDIRECT(ADDRESS(2,COLUMN())),OFFSET($AT$2,0,0,ROW()-1,40),ROW()-1,FALSE))</f>
        <v>3.3682514100000001</v>
      </c>
      <c r="U75">
        <f ca="1">IF(AND($B$294=1,LEN($U$211) * LEN($U$209)&gt;0),$U$211/$U$209*100,HLOOKUP(INDIRECT(ADDRESS(2,COLUMN())),OFFSET($AT$2,0,0,ROW()-1,40),ROW()-1,FALSE))</f>
        <v>3.3315177920000001</v>
      </c>
      <c r="V75">
        <f ca="1">IF(AND($B$294=1,LEN($V$211) * LEN($V$209)&gt;0),$V$211/$V$209*100,HLOOKUP(INDIRECT(ADDRESS(2,COLUMN())),OFFSET($AT$2,0,0,ROW()-1,40),ROW()-1,FALSE))</f>
        <v>3.888984067</v>
      </c>
      <c r="W75">
        <f ca="1">IF(AND($B$294=1,LEN($W$211) * LEN($W$209)&gt;0),$W$211/$W$209*100,HLOOKUP(INDIRECT(ADDRESS(2,COLUMN())),OFFSET($AT$2,0,0,ROW()-1,40),ROW()-1,FALSE))</f>
        <v>2.6841333820000002</v>
      </c>
      <c r="X75">
        <f ca="1">IF(AND($B$294=1,LEN($X$211) * LEN($X$209)&gt;0),$X$211/$X$209*100,HLOOKUP(INDIRECT(ADDRESS(2,COLUMN())),OFFSET($AT$2,0,0,ROW()-1,40),ROW()-1,FALSE))</f>
        <v>2.4053767239999999</v>
      </c>
      <c r="Y75">
        <f ca="1">IF(AND($B$294=1,LEN($Y$211) * LEN($Y$209)&gt;0),$Y$211/$Y$209*100,HLOOKUP(INDIRECT(ADDRESS(2,COLUMN())),OFFSET($AT$2,0,0,ROW()-1,40),ROW()-1,FALSE))</f>
        <v>2.8050918519999999</v>
      </c>
      <c r="Z75">
        <f ca="1">IF(AND($B$294=1,LEN($Z$211) * LEN($Z$209)&gt;0),$Z$211/$Z$209*100,HLOOKUP(INDIRECT(ADDRESS(2,COLUMN())),OFFSET($AT$2,0,0,ROW()-1,40),ROW()-1,FALSE))</f>
        <v>2.3274550170000001</v>
      </c>
      <c r="AA75">
        <f ca="1">IF(AND($B$294=1,LEN($AA$211) * LEN($AA$209)&gt;0),$AA$211/$AA$209*100,HLOOKUP(INDIRECT(ADDRESS(2,COLUMN())),OFFSET($AT$2,0,0,ROW()-1,40),ROW()-1,FALSE))</f>
        <v>1.9099867930000001</v>
      </c>
      <c r="AB75">
        <f ca="1">IF(AND($B$294=1,LEN($AB$211) * LEN($AB$209)&gt;0),$AB$211/$AB$209*100,HLOOKUP(INDIRECT(ADDRESS(2,COLUMN())),OFFSET($AT$2,0,0,ROW()-1,40),ROW()-1,FALSE))</f>
        <v>2.9487842729999998</v>
      </c>
      <c r="AC75">
        <f ca="1">IF(AND($B$294=1,LEN($AC$211) * LEN($AC$209)&gt;0),$AC$211/$AC$209*100,HLOOKUP(INDIRECT(ADDRESS(2,COLUMN())),OFFSET($AT$2,0,0,ROW()-1,40),ROW()-1,FALSE))</f>
        <v>2.597895136</v>
      </c>
      <c r="AD75">
        <f ca="1">IF(AND($B$294=1,LEN($AD$211) * LEN($AD$209)&gt;0),$AD$211/$AD$209*100,HLOOKUP(INDIRECT(ADDRESS(2,COLUMN())),OFFSET($AT$2,0,0,ROW()-1,40),ROW()-1,FALSE))</f>
        <v>2.1381031610000001</v>
      </c>
      <c r="AE75">
        <f ca="1">IF(AND($B$294=1,LEN($AE$211) * LEN($AE$209)&gt;0),$AE$211/$AE$209*100,HLOOKUP(INDIRECT(ADDRESS(2,COLUMN())),OFFSET($AT$2,0,0,ROW()-1,40),ROW()-1,FALSE))</f>
        <v>2.1713455069999998</v>
      </c>
      <c r="AF75">
        <f ca="1">IF(AND($B$294=1,LEN($AF$211) * LEN($AF$209)&gt;0),$AF$211/$AF$209*100,HLOOKUP(INDIRECT(ADDRESS(2,COLUMN())),OFFSET($AT$2,0,0,ROW()-1,40),ROW()-1,FALSE))</f>
        <v>2.136981402</v>
      </c>
      <c r="AG75">
        <f ca="1">IF(AND($B$294=1,LEN($AG$211) * LEN($AG$209)&gt;0),$AG$211/$AG$209*100,HLOOKUP(INDIRECT(ADDRESS(2,COLUMN())),OFFSET($AT$2,0,0,ROW()-1,40),ROW()-1,FALSE))</f>
        <v>2.5083027439999999</v>
      </c>
      <c r="AH75">
        <f ca="1">IF(AND($B$294=1,LEN($AH$211) * LEN($AH$209)&gt;0),$AH$211/$AH$209*100,HLOOKUP(INDIRECT(ADDRESS(2,COLUMN())),OFFSET($AT$2,0,0,ROW()-1,40),ROW()-1,FALSE))</f>
        <v>2.4769433470000002</v>
      </c>
      <c r="AI75">
        <f ca="1">IF(AND($B$294=1,LEN($AI$211) * LEN($AI$209)&gt;0),$AI$211/$AI$209*100,HLOOKUP(INDIRECT(ADDRESS(2,COLUMN())),OFFSET($AT$2,0,0,ROW()-1,40),ROW()-1,FALSE))</f>
        <v>2.0474934039999999</v>
      </c>
      <c r="AJ75">
        <f ca="1">IF(AND($B$294=1,LEN($AJ$211) * LEN($AJ$209)&gt;0),$AJ$211/$AJ$209*100,HLOOKUP(INDIRECT(ADDRESS(2,COLUMN())),OFFSET($AT$2,0,0,ROW()-1,40),ROW()-1,FALSE))</f>
        <v>2.3883592569999998</v>
      </c>
      <c r="AK75">
        <f ca="1">IF(AND($B$294=1,LEN($AK$211) * LEN($AK$209)&gt;0),$AK$211/$AK$209*100,HLOOKUP(INDIRECT(ADDRESS(2,COLUMN())),OFFSET($AT$2,0,0,ROW()-1,40),ROW()-1,FALSE))</f>
        <v>1.709626512</v>
      </c>
      <c r="AL75">
        <f ca="1">IF(AND($B$294=1,LEN($AL$211) * LEN($AL$209)&gt;0),$AL$211/$AL$209*100,HLOOKUP(INDIRECT(ADDRESS(2,COLUMN())),OFFSET($AT$2,0,0,ROW()-1,40),ROW()-1,FALSE))</f>
        <v>1.6814159289999999</v>
      </c>
      <c r="AM75">
        <f ca="1">IF(AND($B$294=1,LEN($AM$211) * LEN($AM$209)&gt;0),$AM$211/$AM$209*100,HLOOKUP(INDIRECT(ADDRESS(2,COLUMN())),OFFSET($AT$2,0,0,ROW()-1,40),ROW()-1,FALSE))</f>
        <v>2.0341564230000002</v>
      </c>
      <c r="AN75">
        <f ca="1">IF(AND($B$294=1,LEN($AN$211) * LEN($AN$209)&gt;0),$AN$211/$AN$209*100,HLOOKUP(INDIRECT(ADDRESS(2,COLUMN())),OFFSET($AT$2,0,0,ROW()-1,40),ROW()-1,FALSE))</f>
        <v>1.972106245</v>
      </c>
      <c r="AO75">
        <f ca="1">IF(AND($B$294=1,LEN($AO$211) * LEN($AO$209)&gt;0),$AO$211/$AO$209*100,HLOOKUP(INDIRECT(ADDRESS(2,COLUMN())),OFFSET($AT$2,0,0,ROW()-1,40),ROW()-1,FALSE))</f>
        <v>2.5560706679999998</v>
      </c>
      <c r="AP75">
        <f ca="1">IF(AND($B$294=1,LEN($AP$211) * LEN($AP$209)&gt;0),$AP$211/$AP$209*100,HLOOKUP(INDIRECT(ADDRESS(2,COLUMN())),OFFSET($AT$2,0,0,ROW()-1,40),ROW()-1,FALSE))</f>
        <v>1.9252441769999999</v>
      </c>
      <c r="AQ75">
        <f ca="1">IF(AND($B$294=1,LEN($AQ$211) * LEN($AQ$209)&gt;0),$AQ$211/$AQ$209*100,HLOOKUP(INDIRECT(ADDRESS(2,COLUMN())),OFFSET($AT$2,0,0,ROW()-1,40),ROW()-1,FALSE))</f>
        <v>1.9311896500000001</v>
      </c>
      <c r="AR75">
        <f ca="1">IF(AND($B$294=1,LEN($AR$211) * LEN($AR$209)&gt;0),$AR$211/$AR$209*100,HLOOKUP(INDIRECT(ADDRESS(2,COLUMN())),OFFSET($AT$2,0,0,ROW()-1,40),ROW()-1,FALSE))</f>
        <v>2.820590309</v>
      </c>
      <c r="AS75">
        <f ca="1">IF(AND($B$294=1,LEN($AS$211) * LEN($AS$209)&gt;0),$AS$211/$AS$209*100,HLOOKUP(INDIRECT(ADDRESS(2,COLUMN())),OFFSET($AT$2,0,0,ROW()-1,40),ROW()-1,FALSE))</f>
        <v>2.2447696869999998</v>
      </c>
      <c r="AT75" t="str">
        <f>""</f>
        <v/>
      </c>
      <c r="AU75" t="str">
        <f>""</f>
        <v/>
      </c>
      <c r="AV75" t="str">
        <f>""</f>
        <v/>
      </c>
      <c r="AW75" t="str">
        <f>""</f>
        <v/>
      </c>
      <c r="AX75" t="str">
        <f>""</f>
        <v/>
      </c>
      <c r="AY75" t="str">
        <f>""</f>
        <v/>
      </c>
      <c r="AZ75" t="str">
        <f>""</f>
        <v/>
      </c>
      <c r="BA75" t="str">
        <f>""</f>
        <v/>
      </c>
      <c r="BB75" t="str">
        <f>""</f>
        <v/>
      </c>
      <c r="BC75" t="str">
        <f>""</f>
        <v/>
      </c>
      <c r="BD75">
        <f>3.704337411</f>
        <v>3.704337411</v>
      </c>
      <c r="BE75">
        <f>3.648307226</f>
        <v>3.648307226</v>
      </c>
      <c r="BF75">
        <f>2.737038767</f>
        <v>2.737038767</v>
      </c>
      <c r="BG75">
        <f>2.683997299</f>
        <v>2.6839972990000001</v>
      </c>
      <c r="BH75">
        <f>3.36825141</f>
        <v>3.3682514100000001</v>
      </c>
      <c r="BI75">
        <f>3.331517792</f>
        <v>3.3315177920000001</v>
      </c>
      <c r="BJ75">
        <f>3.888984067</f>
        <v>3.888984067</v>
      </c>
      <c r="BK75">
        <f>2.684133382</f>
        <v>2.6841333820000002</v>
      </c>
      <c r="BL75">
        <f>2.405376724</f>
        <v>2.4053767239999999</v>
      </c>
      <c r="BM75">
        <f>2.805091852</f>
        <v>2.8050918519999999</v>
      </c>
      <c r="BN75">
        <f>2.327455017</f>
        <v>2.3274550170000001</v>
      </c>
      <c r="BO75">
        <f>1.909986793</f>
        <v>1.9099867930000001</v>
      </c>
      <c r="BP75">
        <f>2.948784273</f>
        <v>2.9487842729999998</v>
      </c>
      <c r="BQ75">
        <f>2.597895136</f>
        <v>2.597895136</v>
      </c>
      <c r="BR75">
        <f>2.138103161</f>
        <v>2.1381031610000001</v>
      </c>
      <c r="BS75">
        <f>2.171345507</f>
        <v>2.1713455069999998</v>
      </c>
      <c r="BT75">
        <f>2.136981402</f>
        <v>2.136981402</v>
      </c>
      <c r="BU75">
        <f>2.508302744</f>
        <v>2.5083027439999999</v>
      </c>
      <c r="BV75">
        <f>2.476943347</f>
        <v>2.4769433470000002</v>
      </c>
      <c r="BW75">
        <f>2.047493404</f>
        <v>2.0474934039999999</v>
      </c>
      <c r="BX75">
        <f>2.388359257</f>
        <v>2.3883592569999998</v>
      </c>
      <c r="BY75">
        <f>1.709626512</f>
        <v>1.709626512</v>
      </c>
      <c r="BZ75">
        <f>1.681415929</f>
        <v>1.6814159289999999</v>
      </c>
      <c r="CA75">
        <f>2.034156423</f>
        <v>2.0341564230000002</v>
      </c>
      <c r="CB75">
        <f>1.972106245</f>
        <v>1.972106245</v>
      </c>
      <c r="CC75">
        <f>2.556070668</f>
        <v>2.5560706679999998</v>
      </c>
      <c r="CD75">
        <f>1.925244177</f>
        <v>1.9252441769999999</v>
      </c>
      <c r="CE75">
        <f>1.93118965</f>
        <v>1.9311896500000001</v>
      </c>
      <c r="CF75">
        <f>2.820590309</f>
        <v>2.820590309</v>
      </c>
      <c r="CG75">
        <f>2.244769687</f>
        <v>2.2447696869999998</v>
      </c>
    </row>
    <row r="76" spans="1:85" x14ac:dyDescent="0.25">
      <c r="A76" t="str">
        <f>"        Mitsubishi Fuso"</f>
        <v xml:space="preserve">        Mitsubishi Fuso</v>
      </c>
      <c r="B76" t="str">
        <f>""</f>
        <v/>
      </c>
      <c r="E76" t="str">
        <f t="shared" si="1"/>
        <v>Expression</v>
      </c>
      <c r="F76" t="str">
        <f ca="1">IF(AND($B$294=1,LEN($F$212) * LEN($F$209)&gt;0),$F$212/$F$209*100,HLOOKUP(INDIRECT(ADDRESS(2,COLUMN())),OFFSET($AT$2,0,0,ROW()-1,40),ROW()-1,FALSE))</f>
        <v/>
      </c>
      <c r="G76" t="str">
        <f ca="1">IF(AND($B$294=1,LEN($G$212) * LEN($G$209)&gt;0),$G$212/$G$209*100,HLOOKUP(INDIRECT(ADDRESS(2,COLUMN())),OFFSET($AT$2,0,0,ROW()-1,40),ROW()-1,FALSE))</f>
        <v/>
      </c>
      <c r="H76" t="str">
        <f ca="1">IF(AND($B$294=1,LEN($H$212) * LEN($H$209)&gt;0),$H$212/$H$209*100,HLOOKUP(INDIRECT(ADDRESS(2,COLUMN())),OFFSET($AT$2,0,0,ROW()-1,40),ROW()-1,FALSE))</f>
        <v/>
      </c>
      <c r="I76" t="str">
        <f ca="1">IF(AND($B$294=1,LEN($I$212) * LEN($I$209)&gt;0),$I$212/$I$209*100,HLOOKUP(INDIRECT(ADDRESS(2,COLUMN())),OFFSET($AT$2,0,0,ROW()-1,40),ROW()-1,FALSE))</f>
        <v/>
      </c>
      <c r="J76" t="str">
        <f ca="1">IF(AND($B$294=1,LEN($J$212) * LEN($J$209)&gt;0),$J$212/$J$209*100,HLOOKUP(INDIRECT(ADDRESS(2,COLUMN())),OFFSET($AT$2,0,0,ROW()-1,40),ROW()-1,FALSE))</f>
        <v/>
      </c>
      <c r="K76" t="str">
        <f ca="1">IF(AND($B$294=1,LEN($K$212) * LEN($K$209)&gt;0),$K$212/$K$209*100,HLOOKUP(INDIRECT(ADDRESS(2,COLUMN())),OFFSET($AT$2,0,0,ROW()-1,40),ROW()-1,FALSE))</f>
        <v/>
      </c>
      <c r="L76" t="str">
        <f ca="1">IF(AND($B$294=1,LEN($L$212) * LEN($L$209)&gt;0),$L$212/$L$209*100,HLOOKUP(INDIRECT(ADDRESS(2,COLUMN())),OFFSET($AT$2,0,0,ROW()-1,40),ROW()-1,FALSE))</f>
        <v/>
      </c>
      <c r="M76" t="str">
        <f ca="1">IF(AND($B$294=1,LEN($M$212) * LEN($M$209)&gt;0),$M$212/$M$209*100,HLOOKUP(INDIRECT(ADDRESS(2,COLUMN())),OFFSET($AT$2,0,0,ROW()-1,40),ROW()-1,FALSE))</f>
        <v/>
      </c>
      <c r="N76" t="str">
        <f ca="1">IF(AND($B$294=1,LEN($N$212) * LEN($N$209)&gt;0),$N$212/$N$209*100,HLOOKUP(INDIRECT(ADDRESS(2,COLUMN())),OFFSET($AT$2,0,0,ROW()-1,40),ROW()-1,FALSE))</f>
        <v/>
      </c>
      <c r="O76" t="str">
        <f ca="1">IF(AND($B$294=1,LEN($O$212) * LEN($O$209)&gt;0),$O$212/$O$209*100,HLOOKUP(INDIRECT(ADDRESS(2,COLUMN())),OFFSET($AT$2,0,0,ROW()-1,40),ROW()-1,FALSE))</f>
        <v/>
      </c>
      <c r="P76" t="str">
        <f ca="1">IF(AND($B$294=1,LEN($P$212) * LEN($P$209)&gt;0),$P$212/$P$209*100,HLOOKUP(INDIRECT(ADDRESS(2,COLUMN())),OFFSET($AT$2,0,0,ROW()-1,40),ROW()-1,FALSE))</f>
        <v/>
      </c>
      <c r="Q76" t="str">
        <f ca="1">IF(AND($B$294=1,LEN($Q$212) * LEN($Q$209)&gt;0),$Q$212/$Q$209*100,HLOOKUP(INDIRECT(ADDRESS(2,COLUMN())),OFFSET($AT$2,0,0,ROW()-1,40),ROW()-1,FALSE))</f>
        <v/>
      </c>
      <c r="R76" t="str">
        <f ca="1">IF(AND($B$294=1,LEN($R$212) * LEN($R$209)&gt;0),$R$212/$R$209*100,HLOOKUP(INDIRECT(ADDRESS(2,COLUMN())),OFFSET($AT$2,0,0,ROW()-1,40),ROW()-1,FALSE))</f>
        <v/>
      </c>
      <c r="S76" t="str">
        <f ca="1">IF(AND($B$294=1,LEN($S$212) * LEN($S$209)&gt;0),$S$212/$S$209*100,HLOOKUP(INDIRECT(ADDRESS(2,COLUMN())),OFFSET($AT$2,0,0,ROW()-1,40),ROW()-1,FALSE))</f>
        <v/>
      </c>
      <c r="T76" t="str">
        <f ca="1">IF(AND($B$294=1,LEN($T$212) * LEN($T$209)&gt;0),$T$212/$T$209*100,HLOOKUP(INDIRECT(ADDRESS(2,COLUMN())),OFFSET($AT$2,0,0,ROW()-1,40),ROW()-1,FALSE))</f>
        <v/>
      </c>
      <c r="U76" t="str">
        <f ca="1">IF(AND($B$294=1,LEN($U$212) * LEN($U$209)&gt;0),$U$212/$U$209*100,HLOOKUP(INDIRECT(ADDRESS(2,COLUMN())),OFFSET($AT$2,0,0,ROW()-1,40),ROW()-1,FALSE))</f>
        <v/>
      </c>
      <c r="V76" t="str">
        <f ca="1">IF(AND($B$294=1,LEN($V$212) * LEN($V$209)&gt;0),$V$212/$V$209*100,HLOOKUP(INDIRECT(ADDRESS(2,COLUMN())),OFFSET($AT$2,0,0,ROW()-1,40),ROW()-1,FALSE))</f>
        <v/>
      </c>
      <c r="W76" t="str">
        <f ca="1">IF(AND($B$294=1,LEN($W$212) * LEN($W$209)&gt;0),$W$212/$W$209*100,HLOOKUP(INDIRECT(ADDRESS(2,COLUMN())),OFFSET($AT$2,0,0,ROW()-1,40),ROW()-1,FALSE))</f>
        <v/>
      </c>
      <c r="X76" t="str">
        <f ca="1">IF(AND($B$294=1,LEN($X$212) * LEN($X$209)&gt;0),$X$212/$X$209*100,HLOOKUP(INDIRECT(ADDRESS(2,COLUMN())),OFFSET($AT$2,0,0,ROW()-1,40),ROW()-1,FALSE))</f>
        <v/>
      </c>
      <c r="Y76" t="str">
        <f ca="1">IF(AND($B$294=1,LEN($Y$212) * LEN($Y$209)&gt;0),$Y$212/$Y$209*100,HLOOKUP(INDIRECT(ADDRESS(2,COLUMN())),OFFSET($AT$2,0,0,ROW()-1,40),ROW()-1,FALSE))</f>
        <v/>
      </c>
      <c r="Z76" t="str">
        <f ca="1">IF(AND($B$294=1,LEN($Z$212) * LEN($Z$209)&gt;0),$Z$212/$Z$209*100,HLOOKUP(INDIRECT(ADDRESS(2,COLUMN())),OFFSET($AT$2,0,0,ROW()-1,40),ROW()-1,FALSE))</f>
        <v/>
      </c>
      <c r="AA76" t="str">
        <f ca="1">IF(AND($B$294=1,LEN($AA$212) * LEN($AA$209)&gt;0),$AA$212/$AA$209*100,HLOOKUP(INDIRECT(ADDRESS(2,COLUMN())),OFFSET($AT$2,0,0,ROW()-1,40),ROW()-1,FALSE))</f>
        <v/>
      </c>
      <c r="AB76" t="str">
        <f ca="1">IF(AND($B$294=1,LEN($AB$212) * LEN($AB$209)&gt;0),$AB$212/$AB$209*100,HLOOKUP(INDIRECT(ADDRESS(2,COLUMN())),OFFSET($AT$2,0,0,ROW()-1,40),ROW()-1,FALSE))</f>
        <v/>
      </c>
      <c r="AC76" t="str">
        <f ca="1">IF(AND($B$294=1,LEN($AC$212) * LEN($AC$209)&gt;0),$AC$212/$AC$209*100,HLOOKUP(INDIRECT(ADDRESS(2,COLUMN())),OFFSET($AT$2,0,0,ROW()-1,40),ROW()-1,FALSE))</f>
        <v/>
      </c>
      <c r="AD76" t="str">
        <f ca="1">IF(AND($B$294=1,LEN($AD$212) * LEN($AD$209)&gt;0),$AD$212/$AD$209*100,HLOOKUP(INDIRECT(ADDRESS(2,COLUMN())),OFFSET($AT$2,0,0,ROW()-1,40),ROW()-1,FALSE))</f>
        <v/>
      </c>
      <c r="AE76" t="str">
        <f ca="1">IF(AND($B$294=1,LEN($AE$212) * LEN($AE$209)&gt;0),$AE$212/$AE$209*100,HLOOKUP(INDIRECT(ADDRESS(2,COLUMN())),OFFSET($AT$2,0,0,ROW()-1,40),ROW()-1,FALSE))</f>
        <v/>
      </c>
      <c r="AF76" t="str">
        <f ca="1">IF(AND($B$294=1,LEN($AF$212) * LEN($AF$209)&gt;0),$AF$212/$AF$209*100,HLOOKUP(INDIRECT(ADDRESS(2,COLUMN())),OFFSET($AT$2,0,0,ROW()-1,40),ROW()-1,FALSE))</f>
        <v/>
      </c>
      <c r="AG76" t="str">
        <f ca="1">IF(AND($B$294=1,LEN($AG$212) * LEN($AG$209)&gt;0),$AG$212/$AG$209*100,HLOOKUP(INDIRECT(ADDRESS(2,COLUMN())),OFFSET($AT$2,0,0,ROW()-1,40),ROW()-1,FALSE))</f>
        <v/>
      </c>
      <c r="AH76" t="str">
        <f ca="1">IF(AND($B$294=1,LEN($AH$212) * LEN($AH$209)&gt;0),$AH$212/$AH$209*100,HLOOKUP(INDIRECT(ADDRESS(2,COLUMN())),OFFSET($AT$2,0,0,ROW()-1,40),ROW()-1,FALSE))</f>
        <v/>
      </c>
      <c r="AI76" t="str">
        <f ca="1">IF(AND($B$294=1,LEN($AI$212) * LEN($AI$209)&gt;0),$AI$212/$AI$209*100,HLOOKUP(INDIRECT(ADDRESS(2,COLUMN())),OFFSET($AT$2,0,0,ROW()-1,40),ROW()-1,FALSE))</f>
        <v/>
      </c>
      <c r="AJ76" t="str">
        <f ca="1">IF(AND($B$294=1,LEN($AJ$212) * LEN($AJ$209)&gt;0),$AJ$212/$AJ$209*100,HLOOKUP(INDIRECT(ADDRESS(2,COLUMN())),OFFSET($AT$2,0,0,ROW()-1,40),ROW()-1,FALSE))</f>
        <v/>
      </c>
      <c r="AK76" t="str">
        <f ca="1">IF(AND($B$294=1,LEN($AK$212) * LEN($AK$209)&gt;0),$AK$212/$AK$209*100,HLOOKUP(INDIRECT(ADDRESS(2,COLUMN())),OFFSET($AT$2,0,0,ROW()-1,40),ROW()-1,FALSE))</f>
        <v/>
      </c>
      <c r="AL76" t="str">
        <f ca="1">IF(AND($B$294=1,LEN($AL$212) * LEN($AL$209)&gt;0),$AL$212/$AL$209*100,HLOOKUP(INDIRECT(ADDRESS(2,COLUMN())),OFFSET($AT$2,0,0,ROW()-1,40),ROW()-1,FALSE))</f>
        <v/>
      </c>
      <c r="AM76" t="str">
        <f ca="1">IF(AND($B$294=1,LEN($AM$212) * LEN($AM$209)&gt;0),$AM$212/$AM$209*100,HLOOKUP(INDIRECT(ADDRESS(2,COLUMN())),OFFSET($AT$2,0,0,ROW()-1,40),ROW()-1,FALSE))</f>
        <v/>
      </c>
      <c r="AN76" t="str">
        <f ca="1">IF(AND($B$294=1,LEN($AN$212) * LEN($AN$209)&gt;0),$AN$212/$AN$209*100,HLOOKUP(INDIRECT(ADDRESS(2,COLUMN())),OFFSET($AT$2,0,0,ROW()-1,40),ROW()-1,FALSE))</f>
        <v/>
      </c>
      <c r="AO76" t="str">
        <f ca="1">IF(AND($B$294=1,LEN($AO$212) * LEN($AO$209)&gt;0),$AO$212/$AO$209*100,HLOOKUP(INDIRECT(ADDRESS(2,COLUMN())),OFFSET($AT$2,0,0,ROW()-1,40),ROW()-1,FALSE))</f>
        <v/>
      </c>
      <c r="AP76" t="str">
        <f ca="1">IF(AND($B$294=1,LEN($AP$212) * LEN($AP$209)&gt;0),$AP$212/$AP$209*100,HLOOKUP(INDIRECT(ADDRESS(2,COLUMN())),OFFSET($AT$2,0,0,ROW()-1,40),ROW()-1,FALSE))</f>
        <v/>
      </c>
      <c r="AQ76" t="str">
        <f ca="1">IF(AND($B$294=1,LEN($AQ$212) * LEN($AQ$209)&gt;0),$AQ$212/$AQ$209*100,HLOOKUP(INDIRECT(ADDRESS(2,COLUMN())),OFFSET($AT$2,0,0,ROW()-1,40),ROW()-1,FALSE))</f>
        <v/>
      </c>
      <c r="AR76" t="str">
        <f ca="1">IF(AND($B$294=1,LEN($AR$212) * LEN($AR$209)&gt;0),$AR$212/$AR$209*100,HLOOKUP(INDIRECT(ADDRESS(2,COLUMN())),OFFSET($AT$2,0,0,ROW()-1,40),ROW()-1,FALSE))</f>
        <v/>
      </c>
      <c r="AS76" t="str">
        <f ca="1">IF(AND($B$294=1,LEN($AS$212) * LEN($AS$209)&gt;0),$AS$212/$AS$209*100,HLOOKUP(INDIRECT(ADDRESS(2,COLUMN())),OFFSET($AT$2,0,0,ROW()-1,40),ROW()-1,FALSE))</f>
        <v/>
      </c>
      <c r="AT76" t="str">
        <f>""</f>
        <v/>
      </c>
      <c r="AU76" t="str">
        <f>""</f>
        <v/>
      </c>
      <c r="AV76" t="str">
        <f>""</f>
        <v/>
      </c>
      <c r="AW76" t="str">
        <f>""</f>
        <v/>
      </c>
      <c r="AX76" t="str">
        <f>""</f>
        <v/>
      </c>
      <c r="AY76" t="str">
        <f>""</f>
        <v/>
      </c>
      <c r="AZ76" t="str">
        <f>""</f>
        <v/>
      </c>
      <c r="BA76" t="str">
        <f>""</f>
        <v/>
      </c>
      <c r="BB76" t="str">
        <f>""</f>
        <v/>
      </c>
      <c r="BC76" t="str">
        <f>""</f>
        <v/>
      </c>
      <c r="BD76" t="str">
        <f>""</f>
        <v/>
      </c>
      <c r="BE76" t="str">
        <f>""</f>
        <v/>
      </c>
      <c r="BF76" t="str">
        <f>""</f>
        <v/>
      </c>
      <c r="BG76" t="str">
        <f>""</f>
        <v/>
      </c>
      <c r="BH76" t="str">
        <f>""</f>
        <v/>
      </c>
      <c r="BI76" t="str">
        <f>""</f>
        <v/>
      </c>
      <c r="BJ76" t="str">
        <f>""</f>
        <v/>
      </c>
      <c r="BK76" t="str">
        <f>""</f>
        <v/>
      </c>
      <c r="BL76" t="str">
        <f>""</f>
        <v/>
      </c>
      <c r="BM76" t="str">
        <f>""</f>
        <v/>
      </c>
      <c r="BN76" t="str">
        <f>""</f>
        <v/>
      </c>
      <c r="BO76" t="str">
        <f>""</f>
        <v/>
      </c>
      <c r="BP76" t="str">
        <f>""</f>
        <v/>
      </c>
      <c r="BQ76" t="str">
        <f>""</f>
        <v/>
      </c>
      <c r="BR76" t="str">
        <f>""</f>
        <v/>
      </c>
      <c r="BS76" t="str">
        <f>""</f>
        <v/>
      </c>
      <c r="BT76" t="str">
        <f>""</f>
        <v/>
      </c>
      <c r="BU76" t="str">
        <f>""</f>
        <v/>
      </c>
      <c r="BV76" t="str">
        <f>""</f>
        <v/>
      </c>
      <c r="BW76" t="str">
        <f>""</f>
        <v/>
      </c>
      <c r="BX76" t="str">
        <f>""</f>
        <v/>
      </c>
      <c r="BY76" t="str">
        <f>""</f>
        <v/>
      </c>
      <c r="BZ76" t="str">
        <f>""</f>
        <v/>
      </c>
      <c r="CA76" t="str">
        <f>""</f>
        <v/>
      </c>
      <c r="CB76" t="str">
        <f>""</f>
        <v/>
      </c>
      <c r="CC76" t="str">
        <f>""</f>
        <v/>
      </c>
      <c r="CD76" t="str">
        <f>""</f>
        <v/>
      </c>
      <c r="CE76" t="str">
        <f>""</f>
        <v/>
      </c>
      <c r="CF76" t="str">
        <f>""</f>
        <v/>
      </c>
      <c r="CG76" t="str">
        <f>""</f>
        <v/>
      </c>
    </row>
    <row r="77" spans="1:85" x14ac:dyDescent="0.25">
      <c r="A77" t="str">
        <f>"        Sterling"</f>
        <v xml:space="preserve">        Sterling</v>
      </c>
      <c r="B77" t="str">
        <f>""</f>
        <v/>
      </c>
      <c r="E77" t="str">
        <f t="shared" si="1"/>
        <v>Expression</v>
      </c>
      <c r="F77" t="str">
        <f ca="1">IF(AND($B$294=1,LEN($F$213) * LEN($F$209)&gt;0),$F$213/$F$209*100,HLOOKUP(INDIRECT(ADDRESS(2,COLUMN())),OFFSET($AT$2,0,0,ROW()-1,40),ROW()-1,FALSE))</f>
        <v/>
      </c>
      <c r="G77" t="str">
        <f ca="1">IF(AND($B$294=1,LEN($G$213) * LEN($G$209)&gt;0),$G$213/$G$209*100,HLOOKUP(INDIRECT(ADDRESS(2,COLUMN())),OFFSET($AT$2,0,0,ROW()-1,40),ROW()-1,FALSE))</f>
        <v/>
      </c>
      <c r="H77" t="str">
        <f ca="1">IF(AND($B$294=1,LEN($H$213) * LEN($H$209)&gt;0),$H$213/$H$209*100,HLOOKUP(INDIRECT(ADDRESS(2,COLUMN())),OFFSET($AT$2,0,0,ROW()-1,40),ROW()-1,FALSE))</f>
        <v/>
      </c>
      <c r="I77" t="str">
        <f ca="1">IF(AND($B$294=1,LEN($I$213) * LEN($I$209)&gt;0),$I$213/$I$209*100,HLOOKUP(INDIRECT(ADDRESS(2,COLUMN())),OFFSET($AT$2,0,0,ROW()-1,40),ROW()-1,FALSE))</f>
        <v/>
      </c>
      <c r="J77" t="str">
        <f ca="1">IF(AND($B$294=1,LEN($J$213) * LEN($J$209)&gt;0),$J$213/$J$209*100,HLOOKUP(INDIRECT(ADDRESS(2,COLUMN())),OFFSET($AT$2,0,0,ROW()-1,40),ROW()-1,FALSE))</f>
        <v/>
      </c>
      <c r="K77" t="str">
        <f ca="1">IF(AND($B$294=1,LEN($K$213) * LEN($K$209)&gt;0),$K$213/$K$209*100,HLOOKUP(INDIRECT(ADDRESS(2,COLUMN())),OFFSET($AT$2,0,0,ROW()-1,40),ROW()-1,FALSE))</f>
        <v/>
      </c>
      <c r="L77" t="str">
        <f ca="1">IF(AND($B$294=1,LEN($L$213) * LEN($L$209)&gt;0),$L$213/$L$209*100,HLOOKUP(INDIRECT(ADDRESS(2,COLUMN())),OFFSET($AT$2,0,0,ROW()-1,40),ROW()-1,FALSE))</f>
        <v/>
      </c>
      <c r="M77" t="str">
        <f ca="1">IF(AND($B$294=1,LEN($M$213) * LEN($M$209)&gt;0),$M$213/$M$209*100,HLOOKUP(INDIRECT(ADDRESS(2,COLUMN())),OFFSET($AT$2,0,0,ROW()-1,40),ROW()-1,FALSE))</f>
        <v/>
      </c>
      <c r="N77" t="str">
        <f ca="1">IF(AND($B$294=1,LEN($N$213) * LEN($N$209)&gt;0),$N$213/$N$209*100,HLOOKUP(INDIRECT(ADDRESS(2,COLUMN())),OFFSET($AT$2,0,0,ROW()-1,40),ROW()-1,FALSE))</f>
        <v/>
      </c>
      <c r="O77" t="str">
        <f ca="1">IF(AND($B$294=1,LEN($O$213) * LEN($O$209)&gt;0),$O$213/$O$209*100,HLOOKUP(INDIRECT(ADDRESS(2,COLUMN())),OFFSET($AT$2,0,0,ROW()-1,40),ROW()-1,FALSE))</f>
        <v/>
      </c>
      <c r="P77" t="str">
        <f ca="1">IF(AND($B$294=1,LEN($P$213) * LEN($P$209)&gt;0),$P$213/$P$209*100,HLOOKUP(INDIRECT(ADDRESS(2,COLUMN())),OFFSET($AT$2,0,0,ROW()-1,40),ROW()-1,FALSE))</f>
        <v/>
      </c>
      <c r="Q77" t="str">
        <f ca="1">IF(AND($B$294=1,LEN($Q$213) * LEN($Q$209)&gt;0),$Q$213/$Q$209*100,HLOOKUP(INDIRECT(ADDRESS(2,COLUMN())),OFFSET($AT$2,0,0,ROW()-1,40),ROW()-1,FALSE))</f>
        <v/>
      </c>
      <c r="R77" t="str">
        <f ca="1">IF(AND($B$294=1,LEN($R$213) * LEN($R$209)&gt;0),$R$213/$R$209*100,HLOOKUP(INDIRECT(ADDRESS(2,COLUMN())),OFFSET($AT$2,0,0,ROW()-1,40),ROW()-1,FALSE))</f>
        <v/>
      </c>
      <c r="S77" t="str">
        <f ca="1">IF(AND($B$294=1,LEN($S$213) * LEN($S$209)&gt;0),$S$213/$S$209*100,HLOOKUP(INDIRECT(ADDRESS(2,COLUMN())),OFFSET($AT$2,0,0,ROW()-1,40),ROW()-1,FALSE))</f>
        <v/>
      </c>
      <c r="T77" t="str">
        <f ca="1">IF(AND($B$294=1,LEN($T$213) * LEN($T$209)&gt;0),$T$213/$T$209*100,HLOOKUP(INDIRECT(ADDRESS(2,COLUMN())),OFFSET($AT$2,0,0,ROW()-1,40),ROW()-1,FALSE))</f>
        <v/>
      </c>
      <c r="U77" t="str">
        <f ca="1">IF(AND($B$294=1,LEN($U$213) * LEN($U$209)&gt;0),$U$213/$U$209*100,HLOOKUP(INDIRECT(ADDRESS(2,COLUMN())),OFFSET($AT$2,0,0,ROW()-1,40),ROW()-1,FALSE))</f>
        <v/>
      </c>
      <c r="V77" t="str">
        <f ca="1">IF(AND($B$294=1,LEN($V$213) * LEN($V$209)&gt;0),$V$213/$V$209*100,HLOOKUP(INDIRECT(ADDRESS(2,COLUMN())),OFFSET($AT$2,0,0,ROW()-1,40),ROW()-1,FALSE))</f>
        <v/>
      </c>
      <c r="W77" t="str">
        <f ca="1">IF(AND($B$294=1,LEN($W$213) * LEN($W$209)&gt;0),$W$213/$W$209*100,HLOOKUP(INDIRECT(ADDRESS(2,COLUMN())),OFFSET($AT$2,0,0,ROW()-1,40),ROW()-1,FALSE))</f>
        <v/>
      </c>
      <c r="X77" t="str">
        <f ca="1">IF(AND($B$294=1,LEN($X$213) * LEN($X$209)&gt;0),$X$213/$X$209*100,HLOOKUP(INDIRECT(ADDRESS(2,COLUMN())),OFFSET($AT$2,0,0,ROW()-1,40),ROW()-1,FALSE))</f>
        <v/>
      </c>
      <c r="Y77" t="str">
        <f ca="1">IF(AND($B$294=1,LEN($Y$213) * LEN($Y$209)&gt;0),$Y$213/$Y$209*100,HLOOKUP(INDIRECT(ADDRESS(2,COLUMN())),OFFSET($AT$2,0,0,ROW()-1,40),ROW()-1,FALSE))</f>
        <v/>
      </c>
      <c r="Z77" t="str">
        <f ca="1">IF(AND($B$294=1,LEN($Z$213) * LEN($Z$209)&gt;0),$Z$213/$Z$209*100,HLOOKUP(INDIRECT(ADDRESS(2,COLUMN())),OFFSET($AT$2,0,0,ROW()-1,40),ROW()-1,FALSE))</f>
        <v/>
      </c>
      <c r="AA77" t="str">
        <f ca="1">IF(AND($B$294=1,LEN($AA$213) * LEN($AA$209)&gt;0),$AA$213/$AA$209*100,HLOOKUP(INDIRECT(ADDRESS(2,COLUMN())),OFFSET($AT$2,0,0,ROW()-1,40),ROW()-1,FALSE))</f>
        <v/>
      </c>
      <c r="AB77" t="str">
        <f ca="1">IF(AND($B$294=1,LEN($AB$213) * LEN($AB$209)&gt;0),$AB$213/$AB$209*100,HLOOKUP(INDIRECT(ADDRESS(2,COLUMN())),OFFSET($AT$2,0,0,ROW()-1,40),ROW()-1,FALSE))</f>
        <v/>
      </c>
      <c r="AC77" t="str">
        <f ca="1">IF(AND($B$294=1,LEN($AC$213) * LEN($AC$209)&gt;0),$AC$213/$AC$209*100,HLOOKUP(INDIRECT(ADDRESS(2,COLUMN())),OFFSET($AT$2,0,0,ROW()-1,40),ROW()-1,FALSE))</f>
        <v/>
      </c>
      <c r="AD77" t="str">
        <f ca="1">IF(AND($B$294=1,LEN($AD$213) * LEN($AD$209)&gt;0),$AD$213/$AD$209*100,HLOOKUP(INDIRECT(ADDRESS(2,COLUMN())),OFFSET($AT$2,0,0,ROW()-1,40),ROW()-1,FALSE))</f>
        <v/>
      </c>
      <c r="AE77" t="str">
        <f ca="1">IF(AND($B$294=1,LEN($AE$213) * LEN($AE$209)&gt;0),$AE$213/$AE$209*100,HLOOKUP(INDIRECT(ADDRESS(2,COLUMN())),OFFSET($AT$2,0,0,ROW()-1,40),ROW()-1,FALSE))</f>
        <v/>
      </c>
      <c r="AF77" t="str">
        <f ca="1">IF(AND($B$294=1,LEN($AF$213) * LEN($AF$209)&gt;0),$AF$213/$AF$209*100,HLOOKUP(INDIRECT(ADDRESS(2,COLUMN())),OFFSET($AT$2,0,0,ROW()-1,40),ROW()-1,FALSE))</f>
        <v/>
      </c>
      <c r="AG77" t="str">
        <f ca="1">IF(AND($B$294=1,LEN($AG$213) * LEN($AG$209)&gt;0),$AG$213/$AG$209*100,HLOOKUP(INDIRECT(ADDRESS(2,COLUMN())),OFFSET($AT$2,0,0,ROW()-1,40),ROW()-1,FALSE))</f>
        <v/>
      </c>
      <c r="AH77" t="str">
        <f ca="1">IF(AND($B$294=1,LEN($AH$213) * LEN($AH$209)&gt;0),$AH$213/$AH$209*100,HLOOKUP(INDIRECT(ADDRESS(2,COLUMN())),OFFSET($AT$2,0,0,ROW()-1,40),ROW()-1,FALSE))</f>
        <v/>
      </c>
      <c r="AI77" t="str">
        <f ca="1">IF(AND($B$294=1,LEN($AI$213) * LEN($AI$209)&gt;0),$AI$213/$AI$209*100,HLOOKUP(INDIRECT(ADDRESS(2,COLUMN())),OFFSET($AT$2,0,0,ROW()-1,40),ROW()-1,FALSE))</f>
        <v/>
      </c>
      <c r="AJ77" t="str">
        <f ca="1">IF(AND($B$294=1,LEN($AJ$213) * LEN($AJ$209)&gt;0),$AJ$213/$AJ$209*100,HLOOKUP(INDIRECT(ADDRESS(2,COLUMN())),OFFSET($AT$2,0,0,ROW()-1,40),ROW()-1,FALSE))</f>
        <v/>
      </c>
      <c r="AK77" t="str">
        <f ca="1">IF(AND($B$294=1,LEN($AK$213) * LEN($AK$209)&gt;0),$AK$213/$AK$209*100,HLOOKUP(INDIRECT(ADDRESS(2,COLUMN())),OFFSET($AT$2,0,0,ROW()-1,40),ROW()-1,FALSE))</f>
        <v/>
      </c>
      <c r="AL77" t="str">
        <f ca="1">IF(AND($B$294=1,LEN($AL$213) * LEN($AL$209)&gt;0),$AL$213/$AL$209*100,HLOOKUP(INDIRECT(ADDRESS(2,COLUMN())),OFFSET($AT$2,0,0,ROW()-1,40),ROW()-1,FALSE))</f>
        <v/>
      </c>
      <c r="AM77" t="str">
        <f ca="1">IF(AND($B$294=1,LEN($AM$213) * LEN($AM$209)&gt;0),$AM$213/$AM$209*100,HLOOKUP(INDIRECT(ADDRESS(2,COLUMN())),OFFSET($AT$2,0,0,ROW()-1,40),ROW()-1,FALSE))</f>
        <v/>
      </c>
      <c r="AN77" t="str">
        <f ca="1">IF(AND($B$294=1,LEN($AN$213) * LEN($AN$209)&gt;0),$AN$213/$AN$209*100,HLOOKUP(INDIRECT(ADDRESS(2,COLUMN())),OFFSET($AT$2,0,0,ROW()-1,40),ROW()-1,FALSE))</f>
        <v/>
      </c>
      <c r="AO77" t="str">
        <f ca="1">IF(AND($B$294=1,LEN($AO$213) * LEN($AO$209)&gt;0),$AO$213/$AO$209*100,HLOOKUP(INDIRECT(ADDRESS(2,COLUMN())),OFFSET($AT$2,0,0,ROW()-1,40),ROW()-1,FALSE))</f>
        <v/>
      </c>
      <c r="AP77" t="str">
        <f ca="1">IF(AND($B$294=1,LEN($AP$213) * LEN($AP$209)&gt;0),$AP$213/$AP$209*100,HLOOKUP(INDIRECT(ADDRESS(2,COLUMN())),OFFSET($AT$2,0,0,ROW()-1,40),ROW()-1,FALSE))</f>
        <v/>
      </c>
      <c r="AQ77" t="str">
        <f ca="1">IF(AND($B$294=1,LEN($AQ$213) * LEN($AQ$209)&gt;0),$AQ$213/$AQ$209*100,HLOOKUP(INDIRECT(ADDRESS(2,COLUMN())),OFFSET($AT$2,0,0,ROW()-1,40),ROW()-1,FALSE))</f>
        <v/>
      </c>
      <c r="AR77" t="str">
        <f ca="1">IF(AND($B$294=1,LEN($AR$213) * LEN($AR$209)&gt;0),$AR$213/$AR$209*100,HLOOKUP(INDIRECT(ADDRESS(2,COLUMN())),OFFSET($AT$2,0,0,ROW()-1,40),ROW()-1,FALSE))</f>
        <v/>
      </c>
      <c r="AS77" t="str">
        <f ca="1">IF(AND($B$294=1,LEN($AS$213) * LEN($AS$209)&gt;0),$AS$213/$AS$209*100,HLOOKUP(INDIRECT(ADDRESS(2,COLUMN())),OFFSET($AT$2,0,0,ROW()-1,40),ROW()-1,FALSE))</f>
        <v/>
      </c>
      <c r="AT77" t="str">
        <f>""</f>
        <v/>
      </c>
      <c r="AU77" t="str">
        <f>""</f>
        <v/>
      </c>
      <c r="AV77" t="str">
        <f>""</f>
        <v/>
      </c>
      <c r="AW77" t="str">
        <f>""</f>
        <v/>
      </c>
      <c r="AX77" t="str">
        <f>""</f>
        <v/>
      </c>
      <c r="AY77" t="str">
        <f>""</f>
        <v/>
      </c>
      <c r="AZ77" t="str">
        <f>""</f>
        <v/>
      </c>
      <c r="BA77" t="str">
        <f>""</f>
        <v/>
      </c>
      <c r="BB77" t="str">
        <f>""</f>
        <v/>
      </c>
      <c r="BC77" t="str">
        <f>""</f>
        <v/>
      </c>
      <c r="BD77" t="str">
        <f>""</f>
        <v/>
      </c>
      <c r="BE77" t="str">
        <f>""</f>
        <v/>
      </c>
      <c r="BF77" t="str">
        <f>""</f>
        <v/>
      </c>
      <c r="BG77" t="str">
        <f>""</f>
        <v/>
      </c>
      <c r="BH77" t="str">
        <f>""</f>
        <v/>
      </c>
      <c r="BI77" t="str">
        <f>""</f>
        <v/>
      </c>
      <c r="BJ77" t="str">
        <f>""</f>
        <v/>
      </c>
      <c r="BK77" t="str">
        <f>""</f>
        <v/>
      </c>
      <c r="BL77" t="str">
        <f>""</f>
        <v/>
      </c>
      <c r="BM77" t="str">
        <f>""</f>
        <v/>
      </c>
      <c r="BN77" t="str">
        <f>""</f>
        <v/>
      </c>
      <c r="BO77" t="str">
        <f>""</f>
        <v/>
      </c>
      <c r="BP77" t="str">
        <f>""</f>
        <v/>
      </c>
      <c r="BQ77" t="str">
        <f>""</f>
        <v/>
      </c>
      <c r="BR77" t="str">
        <f>""</f>
        <v/>
      </c>
      <c r="BS77" t="str">
        <f>""</f>
        <v/>
      </c>
      <c r="BT77" t="str">
        <f>""</f>
        <v/>
      </c>
      <c r="BU77" t="str">
        <f>""</f>
        <v/>
      </c>
      <c r="BV77" t="str">
        <f>""</f>
        <v/>
      </c>
      <c r="BW77" t="str">
        <f>""</f>
        <v/>
      </c>
      <c r="BX77" t="str">
        <f>""</f>
        <v/>
      </c>
      <c r="BY77" t="str">
        <f>""</f>
        <v/>
      </c>
      <c r="BZ77" t="str">
        <f>""</f>
        <v/>
      </c>
      <c r="CA77" t="str">
        <f>""</f>
        <v/>
      </c>
      <c r="CB77" t="str">
        <f>""</f>
        <v/>
      </c>
      <c r="CC77" t="str">
        <f>""</f>
        <v/>
      </c>
      <c r="CD77" t="str">
        <f>""</f>
        <v/>
      </c>
      <c r="CE77" t="str">
        <f>""</f>
        <v/>
      </c>
      <c r="CF77" t="str">
        <f>""</f>
        <v/>
      </c>
      <c r="CG77" t="str">
        <f>""</f>
        <v/>
      </c>
    </row>
    <row r="78" spans="1:85" x14ac:dyDescent="0.25">
      <c r="A78" t="str">
        <f>"        Western Star"</f>
        <v xml:space="preserve">        Western Star</v>
      </c>
      <c r="B78" t="str">
        <f>""</f>
        <v/>
      </c>
      <c r="E78" t="str">
        <f t="shared" si="1"/>
        <v>Expression</v>
      </c>
      <c r="F78" t="str">
        <f ca="1">IF(AND($B$294=1,LEN($F$214) * LEN($F$209)&gt;0),$F$214/$F$209*100,HLOOKUP(INDIRECT(ADDRESS(2,COLUMN())),OFFSET($AT$2,0,0,ROW()-1,40),ROW()-1,FALSE))</f>
        <v/>
      </c>
      <c r="G78" t="str">
        <f ca="1">IF(AND($B$294=1,LEN($G$214) * LEN($G$209)&gt;0),$G$214/$G$209*100,HLOOKUP(INDIRECT(ADDRESS(2,COLUMN())),OFFSET($AT$2,0,0,ROW()-1,40),ROW()-1,FALSE))</f>
        <v/>
      </c>
      <c r="H78" t="str">
        <f ca="1">IF(AND($B$294=1,LEN($H$214) * LEN($H$209)&gt;0),$H$214/$H$209*100,HLOOKUP(INDIRECT(ADDRESS(2,COLUMN())),OFFSET($AT$2,0,0,ROW()-1,40),ROW()-1,FALSE))</f>
        <v/>
      </c>
      <c r="I78" t="str">
        <f ca="1">IF(AND($B$294=1,LEN($I$214) * LEN($I$209)&gt;0),$I$214/$I$209*100,HLOOKUP(INDIRECT(ADDRESS(2,COLUMN())),OFFSET($AT$2,0,0,ROW()-1,40),ROW()-1,FALSE))</f>
        <v/>
      </c>
      <c r="J78" t="str">
        <f ca="1">IF(AND($B$294=1,LEN($J$214) * LEN($J$209)&gt;0),$J$214/$J$209*100,HLOOKUP(INDIRECT(ADDRESS(2,COLUMN())),OFFSET($AT$2,0,0,ROW()-1,40),ROW()-1,FALSE))</f>
        <v/>
      </c>
      <c r="K78" t="str">
        <f ca="1">IF(AND($B$294=1,LEN($K$214) * LEN($K$209)&gt;0),$K$214/$K$209*100,HLOOKUP(INDIRECT(ADDRESS(2,COLUMN())),OFFSET($AT$2,0,0,ROW()-1,40),ROW()-1,FALSE))</f>
        <v/>
      </c>
      <c r="L78" t="str">
        <f ca="1">IF(AND($B$294=1,LEN($L$214) * LEN($L$209)&gt;0),$L$214/$L$209*100,HLOOKUP(INDIRECT(ADDRESS(2,COLUMN())),OFFSET($AT$2,0,0,ROW()-1,40),ROW()-1,FALSE))</f>
        <v/>
      </c>
      <c r="M78" t="str">
        <f ca="1">IF(AND($B$294=1,LEN($M$214) * LEN($M$209)&gt;0),$M$214/$M$209*100,HLOOKUP(INDIRECT(ADDRESS(2,COLUMN())),OFFSET($AT$2,0,0,ROW()-1,40),ROW()-1,FALSE))</f>
        <v/>
      </c>
      <c r="N78" t="str">
        <f ca="1">IF(AND($B$294=1,LEN($N$214) * LEN($N$209)&gt;0),$N$214/$N$209*100,HLOOKUP(INDIRECT(ADDRESS(2,COLUMN())),OFFSET($AT$2,0,0,ROW()-1,40),ROW()-1,FALSE))</f>
        <v/>
      </c>
      <c r="O78" t="str">
        <f ca="1">IF(AND($B$294=1,LEN($O$214) * LEN($O$209)&gt;0),$O$214/$O$209*100,HLOOKUP(INDIRECT(ADDRESS(2,COLUMN())),OFFSET($AT$2,0,0,ROW()-1,40),ROW()-1,FALSE))</f>
        <v/>
      </c>
      <c r="P78" t="str">
        <f ca="1">IF(AND($B$294=1,LEN($P$214) * LEN($P$209)&gt;0),$P$214/$P$209*100,HLOOKUP(INDIRECT(ADDRESS(2,COLUMN())),OFFSET($AT$2,0,0,ROW()-1,40),ROW()-1,FALSE))</f>
        <v/>
      </c>
      <c r="Q78" t="str">
        <f ca="1">IF(AND($B$294=1,LEN($Q$214) * LEN($Q$209)&gt;0),$Q$214/$Q$209*100,HLOOKUP(INDIRECT(ADDRESS(2,COLUMN())),OFFSET($AT$2,0,0,ROW()-1,40),ROW()-1,FALSE))</f>
        <v/>
      </c>
      <c r="R78" t="str">
        <f ca="1">IF(AND($B$294=1,LEN($R$214) * LEN($R$209)&gt;0),$R$214/$R$209*100,HLOOKUP(INDIRECT(ADDRESS(2,COLUMN())),OFFSET($AT$2,0,0,ROW()-1,40),ROW()-1,FALSE))</f>
        <v/>
      </c>
      <c r="S78" t="str">
        <f ca="1">IF(AND($B$294=1,LEN($S$214) * LEN($S$209)&gt;0),$S$214/$S$209*100,HLOOKUP(INDIRECT(ADDRESS(2,COLUMN())),OFFSET($AT$2,0,0,ROW()-1,40),ROW()-1,FALSE))</f>
        <v/>
      </c>
      <c r="T78" t="str">
        <f ca="1">IF(AND($B$294=1,LEN($T$214) * LEN($T$209)&gt;0),$T$214/$T$209*100,HLOOKUP(INDIRECT(ADDRESS(2,COLUMN())),OFFSET($AT$2,0,0,ROW()-1,40),ROW()-1,FALSE))</f>
        <v/>
      </c>
      <c r="U78" t="str">
        <f ca="1">IF(AND($B$294=1,LEN($U$214) * LEN($U$209)&gt;0),$U$214/$U$209*100,HLOOKUP(INDIRECT(ADDRESS(2,COLUMN())),OFFSET($AT$2,0,0,ROW()-1,40),ROW()-1,FALSE))</f>
        <v/>
      </c>
      <c r="V78" t="str">
        <f ca="1">IF(AND($B$294=1,LEN($V$214) * LEN($V$209)&gt;0),$V$214/$V$209*100,HLOOKUP(INDIRECT(ADDRESS(2,COLUMN())),OFFSET($AT$2,0,0,ROW()-1,40),ROW()-1,FALSE))</f>
        <v/>
      </c>
      <c r="W78" t="str">
        <f ca="1">IF(AND($B$294=1,LEN($W$214) * LEN($W$209)&gt;0),$W$214/$W$209*100,HLOOKUP(INDIRECT(ADDRESS(2,COLUMN())),OFFSET($AT$2,0,0,ROW()-1,40),ROW()-1,FALSE))</f>
        <v/>
      </c>
      <c r="X78" t="str">
        <f ca="1">IF(AND($B$294=1,LEN($X$214) * LEN($X$209)&gt;0),$X$214/$X$209*100,HLOOKUP(INDIRECT(ADDRESS(2,COLUMN())),OFFSET($AT$2,0,0,ROW()-1,40),ROW()-1,FALSE))</f>
        <v/>
      </c>
      <c r="Y78" t="str">
        <f ca="1">IF(AND($B$294=1,LEN($Y$214) * LEN($Y$209)&gt;0),$Y$214/$Y$209*100,HLOOKUP(INDIRECT(ADDRESS(2,COLUMN())),OFFSET($AT$2,0,0,ROW()-1,40),ROW()-1,FALSE))</f>
        <v/>
      </c>
      <c r="Z78" t="str">
        <f ca="1">IF(AND($B$294=1,LEN($Z$214) * LEN($Z$209)&gt;0),$Z$214/$Z$209*100,HLOOKUP(INDIRECT(ADDRESS(2,COLUMN())),OFFSET($AT$2,0,0,ROW()-1,40),ROW()-1,FALSE))</f>
        <v/>
      </c>
      <c r="AA78" t="str">
        <f ca="1">IF(AND($B$294=1,LEN($AA$214) * LEN($AA$209)&gt;0),$AA$214/$AA$209*100,HLOOKUP(INDIRECT(ADDRESS(2,COLUMN())),OFFSET($AT$2,0,0,ROW()-1,40),ROW()-1,FALSE))</f>
        <v/>
      </c>
      <c r="AB78" t="str">
        <f ca="1">IF(AND($B$294=1,LEN($AB$214) * LEN($AB$209)&gt;0),$AB$214/$AB$209*100,HLOOKUP(INDIRECT(ADDRESS(2,COLUMN())),OFFSET($AT$2,0,0,ROW()-1,40),ROW()-1,FALSE))</f>
        <v/>
      </c>
      <c r="AC78" t="str">
        <f ca="1">IF(AND($B$294=1,LEN($AC$214) * LEN($AC$209)&gt;0),$AC$214/$AC$209*100,HLOOKUP(INDIRECT(ADDRESS(2,COLUMN())),OFFSET($AT$2,0,0,ROW()-1,40),ROW()-1,FALSE))</f>
        <v/>
      </c>
      <c r="AD78" t="str">
        <f ca="1">IF(AND($B$294=1,LEN($AD$214) * LEN($AD$209)&gt;0),$AD$214/$AD$209*100,HLOOKUP(INDIRECT(ADDRESS(2,COLUMN())),OFFSET($AT$2,0,0,ROW()-1,40),ROW()-1,FALSE))</f>
        <v/>
      </c>
      <c r="AE78" t="str">
        <f ca="1">IF(AND($B$294=1,LEN($AE$214) * LEN($AE$209)&gt;0),$AE$214/$AE$209*100,HLOOKUP(INDIRECT(ADDRESS(2,COLUMN())),OFFSET($AT$2,0,0,ROW()-1,40),ROW()-1,FALSE))</f>
        <v/>
      </c>
      <c r="AF78" t="str">
        <f ca="1">IF(AND($B$294=1,LEN($AF$214) * LEN($AF$209)&gt;0),$AF$214/$AF$209*100,HLOOKUP(INDIRECT(ADDRESS(2,COLUMN())),OFFSET($AT$2,0,0,ROW()-1,40),ROW()-1,FALSE))</f>
        <v/>
      </c>
      <c r="AG78" t="str">
        <f ca="1">IF(AND($B$294=1,LEN($AG$214) * LEN($AG$209)&gt;0),$AG$214/$AG$209*100,HLOOKUP(INDIRECT(ADDRESS(2,COLUMN())),OFFSET($AT$2,0,0,ROW()-1,40),ROW()-1,FALSE))</f>
        <v/>
      </c>
      <c r="AH78" t="str">
        <f ca="1">IF(AND($B$294=1,LEN($AH$214) * LEN($AH$209)&gt;0),$AH$214/$AH$209*100,HLOOKUP(INDIRECT(ADDRESS(2,COLUMN())),OFFSET($AT$2,0,0,ROW()-1,40),ROW()-1,FALSE))</f>
        <v/>
      </c>
      <c r="AI78" t="str">
        <f ca="1">IF(AND($B$294=1,LEN($AI$214) * LEN($AI$209)&gt;0),$AI$214/$AI$209*100,HLOOKUP(INDIRECT(ADDRESS(2,COLUMN())),OFFSET($AT$2,0,0,ROW()-1,40),ROW()-1,FALSE))</f>
        <v/>
      </c>
      <c r="AJ78" t="str">
        <f ca="1">IF(AND($B$294=1,LEN($AJ$214) * LEN($AJ$209)&gt;0),$AJ$214/$AJ$209*100,HLOOKUP(INDIRECT(ADDRESS(2,COLUMN())),OFFSET($AT$2,0,0,ROW()-1,40),ROW()-1,FALSE))</f>
        <v/>
      </c>
      <c r="AK78" t="str">
        <f ca="1">IF(AND($B$294=1,LEN($AK$214) * LEN($AK$209)&gt;0),$AK$214/$AK$209*100,HLOOKUP(INDIRECT(ADDRESS(2,COLUMN())),OFFSET($AT$2,0,0,ROW()-1,40),ROW()-1,FALSE))</f>
        <v/>
      </c>
      <c r="AL78" t="str">
        <f ca="1">IF(AND($B$294=1,LEN($AL$214) * LEN($AL$209)&gt;0),$AL$214/$AL$209*100,HLOOKUP(INDIRECT(ADDRESS(2,COLUMN())),OFFSET($AT$2,0,0,ROW()-1,40),ROW()-1,FALSE))</f>
        <v/>
      </c>
      <c r="AM78" t="str">
        <f ca="1">IF(AND($B$294=1,LEN($AM$214) * LEN($AM$209)&gt;0),$AM$214/$AM$209*100,HLOOKUP(INDIRECT(ADDRESS(2,COLUMN())),OFFSET($AT$2,0,0,ROW()-1,40),ROW()-1,FALSE))</f>
        <v/>
      </c>
      <c r="AN78" t="str">
        <f ca="1">IF(AND($B$294=1,LEN($AN$214) * LEN($AN$209)&gt;0),$AN$214/$AN$209*100,HLOOKUP(INDIRECT(ADDRESS(2,COLUMN())),OFFSET($AT$2,0,0,ROW()-1,40),ROW()-1,FALSE))</f>
        <v/>
      </c>
      <c r="AO78" t="str">
        <f ca="1">IF(AND($B$294=1,LEN($AO$214) * LEN($AO$209)&gt;0),$AO$214/$AO$209*100,HLOOKUP(INDIRECT(ADDRESS(2,COLUMN())),OFFSET($AT$2,0,0,ROW()-1,40),ROW()-1,FALSE))</f>
        <v/>
      </c>
      <c r="AP78" t="str">
        <f ca="1">IF(AND($B$294=1,LEN($AP$214) * LEN($AP$209)&gt;0),$AP$214/$AP$209*100,HLOOKUP(INDIRECT(ADDRESS(2,COLUMN())),OFFSET($AT$2,0,0,ROW()-1,40),ROW()-1,FALSE))</f>
        <v/>
      </c>
      <c r="AQ78" t="str">
        <f ca="1">IF(AND($B$294=1,LEN($AQ$214) * LEN($AQ$209)&gt;0),$AQ$214/$AQ$209*100,HLOOKUP(INDIRECT(ADDRESS(2,COLUMN())),OFFSET($AT$2,0,0,ROW()-1,40),ROW()-1,FALSE))</f>
        <v/>
      </c>
      <c r="AR78" t="str">
        <f ca="1">IF(AND($B$294=1,LEN($AR$214) * LEN($AR$209)&gt;0),$AR$214/$AR$209*100,HLOOKUP(INDIRECT(ADDRESS(2,COLUMN())),OFFSET($AT$2,0,0,ROW()-1,40),ROW()-1,FALSE))</f>
        <v/>
      </c>
      <c r="AS78" t="str">
        <f ca="1">IF(AND($B$294=1,LEN($AS$214) * LEN($AS$209)&gt;0),$AS$214/$AS$209*100,HLOOKUP(INDIRECT(ADDRESS(2,COLUMN())),OFFSET($AT$2,0,0,ROW()-1,40),ROW()-1,FALSE))</f>
        <v/>
      </c>
      <c r="AT78" t="str">
        <f>""</f>
        <v/>
      </c>
      <c r="AU78" t="str">
        <f>""</f>
        <v/>
      </c>
      <c r="AV78" t="str">
        <f>""</f>
        <v/>
      </c>
      <c r="AW78" t="str">
        <f>""</f>
        <v/>
      </c>
      <c r="AX78" t="str">
        <f>""</f>
        <v/>
      </c>
      <c r="AY78" t="str">
        <f>""</f>
        <v/>
      </c>
      <c r="AZ78" t="str">
        <f>""</f>
        <v/>
      </c>
      <c r="BA78" t="str">
        <f>""</f>
        <v/>
      </c>
      <c r="BB78" t="str">
        <f>""</f>
        <v/>
      </c>
      <c r="BC78" t="str">
        <f>""</f>
        <v/>
      </c>
      <c r="BD78" t="str">
        <f>""</f>
        <v/>
      </c>
      <c r="BE78" t="str">
        <f>""</f>
        <v/>
      </c>
      <c r="BF78" t="str">
        <f>""</f>
        <v/>
      </c>
      <c r="BG78" t="str">
        <f>""</f>
        <v/>
      </c>
      <c r="BH78" t="str">
        <f>""</f>
        <v/>
      </c>
      <c r="BI78" t="str">
        <f>""</f>
        <v/>
      </c>
      <c r="BJ78" t="str">
        <f>""</f>
        <v/>
      </c>
      <c r="BK78" t="str">
        <f>""</f>
        <v/>
      </c>
      <c r="BL78" t="str">
        <f>""</f>
        <v/>
      </c>
      <c r="BM78" t="str">
        <f>""</f>
        <v/>
      </c>
      <c r="BN78" t="str">
        <f>""</f>
        <v/>
      </c>
      <c r="BO78" t="str">
        <f>""</f>
        <v/>
      </c>
      <c r="BP78" t="str">
        <f>""</f>
        <v/>
      </c>
      <c r="BQ78" t="str">
        <f>""</f>
        <v/>
      </c>
      <c r="BR78" t="str">
        <f>""</f>
        <v/>
      </c>
      <c r="BS78" t="str">
        <f>""</f>
        <v/>
      </c>
      <c r="BT78" t="str">
        <f>""</f>
        <v/>
      </c>
      <c r="BU78" t="str">
        <f>""</f>
        <v/>
      </c>
      <c r="BV78" t="str">
        <f>""</f>
        <v/>
      </c>
      <c r="BW78" t="str">
        <f>""</f>
        <v/>
      </c>
      <c r="BX78" t="str">
        <f>""</f>
        <v/>
      </c>
      <c r="BY78" t="str">
        <f>""</f>
        <v/>
      </c>
      <c r="BZ78" t="str">
        <f>""</f>
        <v/>
      </c>
      <c r="CA78" t="str">
        <f>""</f>
        <v/>
      </c>
      <c r="CB78" t="str">
        <f>""</f>
        <v/>
      </c>
      <c r="CC78" t="str">
        <f>""</f>
        <v/>
      </c>
      <c r="CD78" t="str">
        <f>""</f>
        <v/>
      </c>
      <c r="CE78" t="str">
        <f>""</f>
        <v/>
      </c>
      <c r="CF78" t="str">
        <f>""</f>
        <v/>
      </c>
      <c r="CG78" t="str">
        <f>""</f>
        <v/>
      </c>
    </row>
    <row r="79" spans="1:85" x14ac:dyDescent="0.25">
      <c r="A79" t="str">
        <f>"    Navistar"</f>
        <v xml:space="preserve">    Navistar</v>
      </c>
      <c r="B79" t="str">
        <f>""</f>
        <v/>
      </c>
      <c r="E79" t="str">
        <f t="shared" si="1"/>
        <v>Expression</v>
      </c>
      <c r="F79">
        <f ca="1">IF(AND($B$294=1,LEN($F$215) * LEN($F$209)&gt;0),$F$215/$F$209*100,HLOOKUP(INDIRECT(ADDRESS(2,COLUMN())),OFFSET($AT$2,0,0,ROW()-1,40),ROW()-1,FALSE))</f>
        <v>27.951827519999998</v>
      </c>
      <c r="G79">
        <f ca="1">IF(AND($B$294=1,LEN($G$215) * LEN($G$209)&gt;0),$G$215/$G$209*100,HLOOKUP(INDIRECT(ADDRESS(2,COLUMN())),OFFSET($AT$2,0,0,ROW()-1,40),ROW()-1,FALSE))</f>
        <v>27.390296110000001</v>
      </c>
      <c r="H79">
        <f ca="1">IF(AND($B$294=1,LEN($H$215) * LEN($H$209)&gt;0),$H$215/$H$209*100,HLOOKUP(INDIRECT(ADDRESS(2,COLUMN())),OFFSET($AT$2,0,0,ROW()-1,40),ROW()-1,FALSE))</f>
        <v>32.143642360000001</v>
      </c>
      <c r="I79">
        <f ca="1">IF(AND($B$294=1,LEN($I$215) * LEN($I$209)&gt;0),$I$215/$I$209*100,HLOOKUP(INDIRECT(ADDRESS(2,COLUMN())),OFFSET($AT$2,0,0,ROW()-1,40),ROW()-1,FALSE))</f>
        <v>30.012610339999998</v>
      </c>
      <c r="J79">
        <f ca="1">IF(AND($B$294=1,LEN($J$215) * LEN($J$209)&gt;0),$J$215/$J$209*100,HLOOKUP(INDIRECT(ADDRESS(2,COLUMN())),OFFSET($AT$2,0,0,ROW()-1,40),ROW()-1,FALSE))</f>
        <v>25.693596230000001</v>
      </c>
      <c r="K79">
        <f ca="1">IF(AND($B$294=1,LEN($K$215) * LEN($K$209)&gt;0),$K$215/$K$209*100,HLOOKUP(INDIRECT(ADDRESS(2,COLUMN())),OFFSET($AT$2,0,0,ROW()-1,40),ROW()-1,FALSE))</f>
        <v>24.061043590000001</v>
      </c>
      <c r="L79">
        <f ca="1">IF(AND($B$294=1,LEN($L$215) * LEN($L$209)&gt;0),$L$215/$L$209*100,HLOOKUP(INDIRECT(ADDRESS(2,COLUMN())),OFFSET($AT$2,0,0,ROW()-1,40),ROW()-1,FALSE))</f>
        <v>22.942910749999999</v>
      </c>
      <c r="M79">
        <f ca="1">IF(AND($B$294=1,LEN($M$215) * LEN($M$209)&gt;0),$M$215/$M$209*100,HLOOKUP(INDIRECT(ADDRESS(2,COLUMN())),OFFSET($AT$2,0,0,ROW()-1,40),ROW()-1,FALSE))</f>
        <v>26.263943210000001</v>
      </c>
      <c r="N79">
        <f ca="1">IF(AND($B$294=1,LEN($N$215) * LEN($N$209)&gt;0),$N$215/$N$209*100,HLOOKUP(INDIRECT(ADDRESS(2,COLUMN())),OFFSET($AT$2,0,0,ROW()-1,40),ROW()-1,FALSE))</f>
        <v>24.99770663</v>
      </c>
      <c r="O79">
        <f ca="1">IF(AND($B$294=1,LEN($O$215) * LEN($O$209)&gt;0),$O$215/$O$209*100,HLOOKUP(INDIRECT(ADDRESS(2,COLUMN())),OFFSET($AT$2,0,0,ROW()-1,40),ROW()-1,FALSE))</f>
        <v>20.708693029999999</v>
      </c>
      <c r="P79">
        <f ca="1">IF(AND($B$294=1,LEN($P$215) * LEN($P$209)&gt;0),$P$215/$P$209*100,HLOOKUP(INDIRECT(ADDRESS(2,COLUMN())),OFFSET($AT$2,0,0,ROW()-1,40),ROW()-1,FALSE))</f>
        <v>18.162374880000002</v>
      </c>
      <c r="Q79">
        <f ca="1">IF(AND($B$294=1,LEN($Q$215) * LEN($Q$209)&gt;0),$Q$215/$Q$209*100,HLOOKUP(INDIRECT(ADDRESS(2,COLUMN())),OFFSET($AT$2,0,0,ROW()-1,40),ROW()-1,FALSE))</f>
        <v>15.93734209</v>
      </c>
      <c r="R79">
        <f ca="1">IF(AND($B$294=1,LEN($R$215) * LEN($R$209)&gt;0),$R$215/$R$209*100,HLOOKUP(INDIRECT(ADDRESS(2,COLUMN())),OFFSET($AT$2,0,0,ROW()-1,40),ROW()-1,FALSE))</f>
        <v>22.01774872</v>
      </c>
      <c r="S79">
        <f ca="1">IF(AND($B$294=1,LEN($S$215) * LEN($S$209)&gt;0),$S$215/$S$209*100,HLOOKUP(INDIRECT(ADDRESS(2,COLUMN())),OFFSET($AT$2,0,0,ROW()-1,40),ROW()-1,FALSE))</f>
        <v>31.980081030000001</v>
      </c>
      <c r="T79">
        <f ca="1">IF(AND($B$294=1,LEN($T$215) * LEN($T$209)&gt;0),$T$215/$T$209*100,HLOOKUP(INDIRECT(ADDRESS(2,COLUMN())),OFFSET($AT$2,0,0,ROW()-1,40),ROW()-1,FALSE))</f>
        <v>28.92022562</v>
      </c>
      <c r="U79">
        <f ca="1">IF(AND($B$294=1,LEN($U$215) * LEN($U$209)&gt;0),$U$215/$U$209*100,HLOOKUP(INDIRECT(ADDRESS(2,COLUMN())),OFFSET($AT$2,0,0,ROW()-1,40),ROW()-1,FALSE))</f>
        <v>26.279956429999999</v>
      </c>
      <c r="V79">
        <f ca="1">IF(AND($B$294=1,LEN($V$215) * LEN($V$209)&gt;0),$V$215/$V$209*100,HLOOKUP(INDIRECT(ADDRESS(2,COLUMN())),OFFSET($AT$2,0,0,ROW()-1,40),ROW()-1,FALSE))</f>
        <v>23.76220661</v>
      </c>
      <c r="W79">
        <f ca="1">IF(AND($B$294=1,LEN($W$215) * LEN($W$209)&gt;0),$W$215/$W$209*100,HLOOKUP(INDIRECT(ADDRESS(2,COLUMN())),OFFSET($AT$2,0,0,ROW()-1,40),ROW()-1,FALSE))</f>
        <v>23.06705753</v>
      </c>
      <c r="X79">
        <f ca="1">IF(AND($B$294=1,LEN($X$215) * LEN($X$209)&gt;0),$X$215/$X$209*100,HLOOKUP(INDIRECT(ADDRESS(2,COLUMN())),OFFSET($AT$2,0,0,ROW()-1,40),ROW()-1,FALSE))</f>
        <v>23.134064380000002</v>
      </c>
      <c r="Y79">
        <f ca="1">IF(AND($B$294=1,LEN($Y$215) * LEN($Y$209)&gt;0),$Y$215/$Y$209*100,HLOOKUP(INDIRECT(ADDRESS(2,COLUMN())),OFFSET($AT$2,0,0,ROW()-1,40),ROW()-1,FALSE))</f>
        <v>20.817135449999999</v>
      </c>
      <c r="Z79">
        <f ca="1">IF(AND($B$294=1,LEN($Z$215) * LEN($Z$209)&gt;0),$Z$215/$Z$209*100,HLOOKUP(INDIRECT(ADDRESS(2,COLUMN())),OFFSET($AT$2,0,0,ROW()-1,40),ROW()-1,FALSE))</f>
        <v>24.733685439999999</v>
      </c>
      <c r="AA79">
        <f ca="1">IF(AND($B$294=1,LEN($AA$215) * LEN($AA$209)&gt;0),$AA$215/$AA$209*100,HLOOKUP(INDIRECT(ADDRESS(2,COLUMN())),OFFSET($AT$2,0,0,ROW()-1,40),ROW()-1,FALSE))</f>
        <v>21.4568729</v>
      </c>
      <c r="AB79">
        <f ca="1">IF(AND($B$294=1,LEN($AB$215) * LEN($AB$209)&gt;0),$AB$215/$AB$209*100,HLOOKUP(INDIRECT(ADDRESS(2,COLUMN())),OFFSET($AT$2,0,0,ROW()-1,40),ROW()-1,FALSE))</f>
        <v>18.563545439999999</v>
      </c>
      <c r="AC79">
        <f ca="1">IF(AND($B$294=1,LEN($AC$215) * LEN($AC$209)&gt;0),$AC$215/$AC$209*100,HLOOKUP(INDIRECT(ADDRESS(2,COLUMN())),OFFSET($AT$2,0,0,ROW()-1,40),ROW()-1,FALSE))</f>
        <v>16.829430169999998</v>
      </c>
      <c r="AD79">
        <f ca="1">IF(AND($B$294=1,LEN($AD$215) * LEN($AD$209)&gt;0),$AD$215/$AD$209*100,HLOOKUP(INDIRECT(ADDRESS(2,COLUMN())),OFFSET($AT$2,0,0,ROW()-1,40),ROW()-1,FALSE))</f>
        <v>22.803660570000002</v>
      </c>
      <c r="AE79">
        <f ca="1">IF(AND($B$294=1,LEN($AE$215) * LEN($AE$209)&gt;0),$AE$215/$AE$209*100,HLOOKUP(INDIRECT(ADDRESS(2,COLUMN())),OFFSET($AT$2,0,0,ROW()-1,40),ROW()-1,FALSE))</f>
        <v>27.137276279999998</v>
      </c>
      <c r="AF79">
        <f ca="1">IF(AND($B$294=1,LEN($AF$215) * LEN($AF$209)&gt;0),$AF$215/$AF$209*100,HLOOKUP(INDIRECT(ADDRESS(2,COLUMN())),OFFSET($AT$2,0,0,ROW()-1,40),ROW()-1,FALSE))</f>
        <v>29.506437770000002</v>
      </c>
      <c r="AG79">
        <f ca="1">IF(AND($B$294=1,LEN($AG$215) * LEN($AG$209)&gt;0),$AG$215/$AG$209*100,HLOOKUP(INDIRECT(ADDRESS(2,COLUMN())),OFFSET($AT$2,0,0,ROW()-1,40),ROW()-1,FALSE))</f>
        <v>30.580318129999998</v>
      </c>
      <c r="AH79">
        <f ca="1">IF(AND($B$294=1,LEN($AH$215) * LEN($AH$209)&gt;0),$AH$215/$AH$209*100,HLOOKUP(INDIRECT(ADDRESS(2,COLUMN())),OFFSET($AT$2,0,0,ROW()-1,40),ROW()-1,FALSE))</f>
        <v>28.73956961</v>
      </c>
      <c r="AI79">
        <f ca="1">IF(AND($B$294=1,LEN($AI$215) * LEN($AI$209)&gt;0),$AI$215/$AI$209*100,HLOOKUP(INDIRECT(ADDRESS(2,COLUMN())),OFFSET($AT$2,0,0,ROW()-1,40),ROW()-1,FALSE))</f>
        <v>20.875989449999999</v>
      </c>
      <c r="AJ79">
        <f ca="1">IF(AND($B$294=1,LEN($AJ$215) * LEN($AJ$209)&gt;0),$AJ$215/$AJ$209*100,HLOOKUP(INDIRECT(ADDRESS(2,COLUMN())),OFFSET($AT$2,0,0,ROW()-1,40),ROW()-1,FALSE))</f>
        <v>23.582538889999999</v>
      </c>
      <c r="AK79">
        <f ca="1">IF(AND($B$294=1,LEN($AK$215) * LEN($AK$209)&gt;0),$AK$215/$AK$209*100,HLOOKUP(INDIRECT(ADDRESS(2,COLUMN())),OFFSET($AT$2,0,0,ROW()-1,40),ROW()-1,FALSE))</f>
        <v>25.048220229999998</v>
      </c>
      <c r="AL79">
        <f ca="1">IF(AND($B$294=1,LEN($AL$215) * LEN($AL$209)&gt;0),$AL$215/$AL$209*100,HLOOKUP(INDIRECT(ADDRESS(2,COLUMN())),OFFSET($AT$2,0,0,ROW()-1,40),ROW()-1,FALSE))</f>
        <v>24.988938050000002</v>
      </c>
      <c r="AM79">
        <f ca="1">IF(AND($B$294=1,LEN($AM$215) * LEN($AM$209)&gt;0),$AM$215/$AM$209*100,HLOOKUP(INDIRECT(ADDRESS(2,COLUMN())),OFFSET($AT$2,0,0,ROW()-1,40),ROW()-1,FALSE))</f>
        <v>24.486021969999999</v>
      </c>
      <c r="AN79">
        <f ca="1">IF(AND($B$294=1,LEN($AN$215) * LEN($AN$209)&gt;0),$AN$215/$AN$209*100,HLOOKUP(INDIRECT(ADDRESS(2,COLUMN())),OFFSET($AT$2,0,0,ROW()-1,40),ROW()-1,FALSE))</f>
        <v>19.818779429999999</v>
      </c>
      <c r="AO79">
        <f ca="1">IF(AND($B$294=1,LEN($AO$215) * LEN($AO$209)&gt;0),$AO$215/$AO$209*100,HLOOKUP(INDIRECT(ADDRESS(2,COLUMN())),OFFSET($AT$2,0,0,ROW()-1,40),ROW()-1,FALSE))</f>
        <v>17.692018539999999</v>
      </c>
      <c r="AP79">
        <f ca="1">IF(AND($B$294=1,LEN($AP$215) * LEN($AP$209)&gt;0),$AP$215/$AP$209*100,HLOOKUP(INDIRECT(ADDRESS(2,COLUMN())),OFFSET($AT$2,0,0,ROW()-1,40),ROW()-1,FALSE))</f>
        <v>24.182945149999998</v>
      </c>
      <c r="AQ79">
        <f ca="1">IF(AND($B$294=1,LEN($AQ$215) * LEN($AQ$209)&gt;0),$AQ$215/$AQ$209*100,HLOOKUP(INDIRECT(ADDRESS(2,COLUMN())),OFFSET($AT$2,0,0,ROW()-1,40),ROW()-1,FALSE))</f>
        <v>29.220961840000001</v>
      </c>
      <c r="AR79">
        <f ca="1">IF(AND($B$294=1,LEN($AR$215) * LEN($AR$209)&gt;0),$AR$215/$AR$209*100,HLOOKUP(INDIRECT(ADDRESS(2,COLUMN())),OFFSET($AT$2,0,0,ROW()-1,40),ROW()-1,FALSE))</f>
        <v>26.735166719999999</v>
      </c>
      <c r="AS79">
        <f ca="1">IF(AND($B$294=1,LEN($AS$215) * LEN($AS$209)&gt;0),$AS$215/$AS$209*100,HLOOKUP(INDIRECT(ADDRESS(2,COLUMN())),OFFSET($AT$2,0,0,ROW()-1,40),ROW()-1,FALSE))</f>
        <v>31.05863338</v>
      </c>
      <c r="AT79">
        <f>27.95182752</f>
        <v>27.951827519999998</v>
      </c>
      <c r="AU79">
        <f>27.39029611</f>
        <v>27.390296110000001</v>
      </c>
      <c r="AV79">
        <f>32.14364236</f>
        <v>32.143642360000001</v>
      </c>
      <c r="AW79">
        <f>30.01261034</f>
        <v>30.012610339999998</v>
      </c>
      <c r="AX79">
        <f>25.69359623</f>
        <v>25.693596230000001</v>
      </c>
      <c r="AY79">
        <f>24.06104359</f>
        <v>24.061043590000001</v>
      </c>
      <c r="AZ79">
        <f>22.94291075</f>
        <v>22.942910749999999</v>
      </c>
      <c r="BA79">
        <f>26.26394321</f>
        <v>26.263943210000001</v>
      </c>
      <c r="BB79">
        <f>24.99770663</f>
        <v>24.99770663</v>
      </c>
      <c r="BC79">
        <f>20.70869303</f>
        <v>20.708693029999999</v>
      </c>
      <c r="BD79">
        <f>18.16237488</f>
        <v>18.162374880000002</v>
      </c>
      <c r="BE79">
        <f>15.93734209</f>
        <v>15.93734209</v>
      </c>
      <c r="BF79">
        <f>22.01774872</f>
        <v>22.01774872</v>
      </c>
      <c r="BG79">
        <f>31.98008103</f>
        <v>31.980081030000001</v>
      </c>
      <c r="BH79">
        <f>28.92022562</f>
        <v>28.92022562</v>
      </c>
      <c r="BI79">
        <f>26.27995643</f>
        <v>26.279956429999999</v>
      </c>
      <c r="BJ79">
        <f>23.76220661</f>
        <v>23.76220661</v>
      </c>
      <c r="BK79">
        <f>23.06705753</f>
        <v>23.06705753</v>
      </c>
      <c r="BL79">
        <f>23.13406438</f>
        <v>23.134064380000002</v>
      </c>
      <c r="BM79">
        <f>20.81713545</f>
        <v>20.817135449999999</v>
      </c>
      <c r="BN79">
        <f>24.73368544</f>
        <v>24.733685439999999</v>
      </c>
      <c r="BO79">
        <f>21.4568729</f>
        <v>21.4568729</v>
      </c>
      <c r="BP79">
        <f>18.56354544</f>
        <v>18.563545439999999</v>
      </c>
      <c r="BQ79">
        <f>16.82943017</f>
        <v>16.829430169999998</v>
      </c>
      <c r="BR79">
        <f>22.80366057</f>
        <v>22.803660570000002</v>
      </c>
      <c r="BS79">
        <f>27.13727628</f>
        <v>27.137276279999998</v>
      </c>
      <c r="BT79">
        <f>29.50643777</f>
        <v>29.506437770000002</v>
      </c>
      <c r="BU79">
        <f>30.58031813</f>
        <v>30.580318129999998</v>
      </c>
      <c r="BV79">
        <f>28.73956961</f>
        <v>28.73956961</v>
      </c>
      <c r="BW79">
        <f>20.87598945</f>
        <v>20.875989449999999</v>
      </c>
      <c r="BX79">
        <f>23.58253889</f>
        <v>23.582538889999999</v>
      </c>
      <c r="BY79">
        <f>25.04822023</f>
        <v>25.048220229999998</v>
      </c>
      <c r="BZ79">
        <f>24.98893805</f>
        <v>24.988938050000002</v>
      </c>
      <c r="CA79">
        <f>24.48602197</f>
        <v>24.486021969999999</v>
      </c>
      <c r="CB79">
        <f>19.81877943</f>
        <v>19.818779429999999</v>
      </c>
      <c r="CC79">
        <f>17.69201854</f>
        <v>17.692018539999999</v>
      </c>
      <c r="CD79">
        <f>24.18294515</f>
        <v>24.182945149999998</v>
      </c>
      <c r="CE79">
        <f>29.22096184</f>
        <v>29.220961840000001</v>
      </c>
      <c r="CF79">
        <f>26.73516672</f>
        <v>26.735166719999999</v>
      </c>
      <c r="CG79">
        <f>31.05863338</f>
        <v>31.05863338</v>
      </c>
    </row>
    <row r="80" spans="1:85" x14ac:dyDescent="0.25">
      <c r="A80" t="str">
        <f>"    PACCAR"</f>
        <v xml:space="preserve">    PACCAR</v>
      </c>
      <c r="B80" t="str">
        <f>""</f>
        <v/>
      </c>
      <c r="E80" t="str">
        <f>"Sum"</f>
        <v>Sum</v>
      </c>
      <c r="F80">
        <f ca="1">IF(ISERROR(IF(SUM($F$81:$F$82) = 0, "", SUM($F$81:$F$82))), "", (IF(SUM($F$81:$F$82) = 0, "", SUM($F$81:$F$82))))</f>
        <v>11.529391949000001</v>
      </c>
      <c r="G80">
        <f ca="1">IF(ISERROR(IF(SUM($G$81:$G$82) = 0, "", SUM($G$81:$G$82))), "", (IF(SUM($G$81:$G$82) = 0, "", SUM($G$81:$G$82))))</f>
        <v>11.006064931000001</v>
      </c>
      <c r="H80">
        <f ca="1">IF(ISERROR(IF(SUM($H$81:$H$82) = 0, "", SUM($H$81:$H$82))), "", (IF(SUM($H$81:$H$82) = 0, "", SUM($H$81:$H$82))))</f>
        <v>8.9556614140000015</v>
      </c>
      <c r="I80">
        <f ca="1">IF(ISERROR(IF(SUM($I$81:$I$82) = 0, "", SUM($I$81:$I$82))), "", (IF(SUM($I$81:$I$82) = 0, "", SUM($I$81:$I$82))))</f>
        <v>11.367321202999999</v>
      </c>
      <c r="J80">
        <f ca="1">IF(ISERROR(IF(SUM($J$81:$J$82) = 0, "", SUM($J$81:$J$82))), "", (IF(SUM($J$81:$J$82) = 0, "", SUM($J$81:$J$82))))</f>
        <v>10.469377072</v>
      </c>
      <c r="K80">
        <f ca="1">IF(ISERROR(IF(SUM($K$81:$K$82) = 0, "", SUM($K$81:$K$82))), "", (IF(SUM($K$81:$K$82) = 0, "", SUM($K$81:$K$82))))</f>
        <v>11.687836973</v>
      </c>
      <c r="L80">
        <f ca="1">IF(ISERROR(IF(SUM($L$81:$L$82) = 0, "", SUM($L$81:$L$82))), "", (IF(SUM($L$81:$L$82) = 0, "", SUM($L$81:$L$82))))</f>
        <v>9.9526489769999991</v>
      </c>
      <c r="M80">
        <f ca="1">IF(ISERROR(IF(SUM($M$81:$M$82) = 0, "", SUM($M$81:$M$82))), "", (IF(SUM($M$81:$M$82) = 0, "", SUM($M$81:$M$82))))</f>
        <v>8.8584673330000001</v>
      </c>
      <c r="N80">
        <f ca="1">IF(ISERROR(IF(SUM($N$81:$N$82) = 0, "", SUM($N$81:$N$82))), "", (IF(SUM($N$81:$N$82) = 0, "", SUM($N$81:$N$82))))</f>
        <v>7.7057150720000003</v>
      </c>
      <c r="O80">
        <f ca="1">IF(ISERROR(IF(SUM($O$81:$O$82) = 0, "", SUM($O$81:$O$82))), "", (IF(SUM($O$81:$O$82) = 0, "", SUM($O$81:$O$82))))</f>
        <v>8.3115840189999997</v>
      </c>
      <c r="P80">
        <f ca="1">IF(ISERROR(IF(SUM($P$81:$P$82) = 0, "", SUM($P$81:$P$82))), "", (IF(SUM($P$81:$P$82) = 0, "", SUM($P$81:$P$82))))</f>
        <v>13.756523226999999</v>
      </c>
      <c r="Q80">
        <f ca="1">IF(ISERROR(IF(SUM($Q$81:$Q$82) = 0, "", SUM($Q$81:$Q$82))), "", (IF(SUM($Q$81:$Q$82) = 0, "", SUM($Q$81:$Q$82))))</f>
        <v>11.045982818999999</v>
      </c>
      <c r="R80">
        <f ca="1">IF(ISERROR(IF(SUM($R$81:$R$82) = 0, "", SUM($R$81:$R$82))), "", (IF(SUM($R$81:$R$82) = 0, "", SUM($R$81:$R$82))))</f>
        <v>12.003736572000001</v>
      </c>
      <c r="S80">
        <f ca="1">IF(ISERROR(IF(SUM($S$81:$S$82) = 0, "", SUM($S$81:$S$82))), "", (IF(SUM($S$81:$S$82) = 0, "", SUM($S$81:$S$82))))</f>
        <v>9.8244429440000012</v>
      </c>
      <c r="T80">
        <f ca="1">IF(ISERROR(IF(SUM($T$81:$T$82) = 0, "", SUM($T$81:$T$82))), "", (IF(SUM($T$81:$T$82) = 0, "", SUM($T$81:$T$82))))</f>
        <v>9.6535052379999993</v>
      </c>
      <c r="U80">
        <f ca="1">IF(ISERROR(IF(SUM($U$81:$U$82) = 0, "", SUM($U$81:$U$82))), "", (IF(SUM($U$81:$U$82) = 0, "", SUM($U$81:$U$82))))</f>
        <v>9.7312999270000002</v>
      </c>
      <c r="V80">
        <f ca="1">IF(ISERROR(IF(SUM($V$81:$V$82) = 0, "", SUM($V$81:$V$82))), "", (IF(SUM($V$81:$V$82) = 0, "", SUM($V$81:$V$82))))</f>
        <v>11.067329106999999</v>
      </c>
      <c r="W80">
        <f ca="1">IF(ISERROR(IF(SUM($W$81:$W$82) = 0, "", SUM($W$81:$W$82))), "", (IF(SUM($W$81:$W$82) = 0, "", SUM($W$81:$W$82))))</f>
        <v>10.470868450000001</v>
      </c>
      <c r="X80">
        <f ca="1">IF(ISERROR(IF(SUM($X$81:$X$82) = 0, "", SUM($X$81:$X$82))), "", (IF(SUM($X$81:$X$82) = 0, "", SUM($X$81:$X$82))))</f>
        <v>10.390873718</v>
      </c>
      <c r="Y80">
        <f ca="1">IF(ISERROR(IF(SUM($Y$81:$Y$82) = 0, "", SUM($Y$81:$Y$82))), "", (IF(SUM($Y$81:$Y$82) = 0, "", SUM($Y$81:$Y$82))))</f>
        <v>9.3299794190000007</v>
      </c>
      <c r="Z80">
        <f ca="1">IF(ISERROR(IF(SUM($Z$81:$Z$82) = 0, "", SUM($Z$81:$Z$82))), "", (IF(SUM($Z$81:$Z$82) = 0, "", SUM($Z$81:$Z$82))))</f>
        <v>8.6652940650000012</v>
      </c>
      <c r="AA80">
        <f ca="1">IF(ISERROR(IF(SUM($AA$81:$AA$82) = 0, "", SUM($AA$81:$AA$82))), "", (IF(SUM($AA$81:$AA$82) = 0, "", SUM($AA$81:$AA$82))))</f>
        <v>9.1740323070000009</v>
      </c>
      <c r="AB80">
        <f ca="1">IF(ISERROR(IF(SUM($AB$81:$AB$82) = 0, "", SUM($AB$81:$AB$82))), "", (IF(SUM($AB$81:$AB$82) = 0, "", SUM($AB$81:$AB$82))))</f>
        <v>13.51957234</v>
      </c>
      <c r="AC80">
        <f ca="1">IF(ISERROR(IF(SUM($AC$81:$AC$82) = 0, "", SUM($AC$81:$AC$82))), "", (IF(SUM($AC$81:$AC$82) = 0, "", SUM($AC$81:$AC$82))))</f>
        <v>11.462975254</v>
      </c>
      <c r="AD80">
        <f ca="1">IF(ISERROR(IF(SUM($AD$81:$AD$82) = 0, "", SUM($AD$81:$AD$82))), "", (IF(SUM($AD$81:$AD$82) = 0, "", SUM($AD$81:$AD$82))))</f>
        <v>10.183028285999999</v>
      </c>
      <c r="AE80">
        <f ca="1">IF(ISERROR(IF(SUM($AE$81:$AE$82) = 0, "", SUM($AE$81:$AE$82))), "", (IF(SUM($AE$81:$AE$82) = 0, "", SUM($AE$81:$AE$82))))</f>
        <v>13.173435087</v>
      </c>
      <c r="AF80">
        <f ca="1">IF(ISERROR(IF(SUM($AF$81:$AF$82) = 0, "", SUM($AF$81:$AF$82))), "", (IF(SUM($AF$81:$AF$82) = 0, "", SUM($AF$81:$AF$82))))</f>
        <v>13.233190272000002</v>
      </c>
      <c r="AG80">
        <f ca="1">IF(ISERROR(IF(SUM($AG$81:$AG$82) = 0, "", SUM($AG$81:$AG$82))), "", (IF(SUM($AG$81:$AG$82) = 0, "", SUM($AG$81:$AG$82))))</f>
        <v>12.663869951999999</v>
      </c>
      <c r="AH80">
        <f ca="1">IF(ISERROR(IF(SUM($AH$81:$AH$82) = 0, "", SUM($AH$81:$AH$82))), "", (IF(SUM($AH$81:$AH$82) = 0, "", SUM($AH$81:$AH$82))))</f>
        <v>9.9692577950000008</v>
      </c>
      <c r="AI80">
        <f ca="1">IF(ISERROR(IF(SUM($AI$81:$AI$82) = 0, "", SUM($AI$81:$AI$82))), "", (IF(SUM($AI$81:$AI$82) = 0, "", SUM($AI$81:$AI$82))))</f>
        <v>12.116094987</v>
      </c>
      <c r="AJ80">
        <f ca="1">IF(ISERROR(IF(SUM($AJ$81:$AJ$82) = 0, "", SUM($AJ$81:$AJ$82))), "", (IF(SUM($AJ$81:$AJ$82) = 0, "", SUM($AJ$81:$AJ$82))))</f>
        <v>11.098845960999999</v>
      </c>
      <c r="AK80">
        <f ca="1">IF(ISERROR(IF(SUM($AK$81:$AK$82) = 0, "", SUM($AK$81:$AK$82))), "", (IF(SUM($AK$81:$AK$82) = 0, "", SUM($AK$81:$AK$82))))</f>
        <v>8.8286866569999987</v>
      </c>
      <c r="AL80">
        <f ca="1">IF(ISERROR(IF(SUM($AL$81:$AL$82) = 0, "", SUM($AL$81:$AL$82))), "", (IF(SUM($AL$81:$AL$82) = 0, "", SUM($AL$81:$AL$82))))</f>
        <v>8.4955752219999994</v>
      </c>
      <c r="AM80">
        <f ca="1">IF(ISERROR(IF(SUM($AM$81:$AM$82) = 0, "", SUM($AM$81:$AM$82))), "", (IF(SUM($AM$81:$AM$82) = 0, "", SUM($AM$81:$AM$82))))</f>
        <v>9.9967366469999988</v>
      </c>
      <c r="AN80">
        <f ca="1">IF(ISERROR(IF(SUM($AN$81:$AN$82) = 0, "", SUM($AN$81:$AN$82))), "", (IF(SUM($AN$81:$AN$82) = 0, "", SUM($AN$81:$AN$82))))</f>
        <v>12.552189749</v>
      </c>
      <c r="AO80">
        <f ca="1">IF(ISERROR(IF(SUM($AO$81:$AO$82) = 0, "", SUM($AO$81:$AO$82))), "", (IF(SUM($AO$81:$AO$82) = 0, "", SUM($AO$81:$AO$82))))</f>
        <v>13.669966169</v>
      </c>
      <c r="AP80">
        <f ca="1">IF(ISERROR(IF(SUM($AP$81:$AP$82) = 0, "", SUM($AP$81:$AP$82))), "", (IF(SUM($AP$81:$AP$82) = 0, "", SUM($AP$81:$AP$82))))</f>
        <v>10.020661156999999</v>
      </c>
      <c r="AQ80">
        <f ca="1">IF(ISERROR(IF(SUM($AQ$81:$AQ$82) = 0, "", SUM($AQ$81:$AQ$82))), "", (IF(SUM($AQ$81:$AQ$82) = 0, "", SUM($AQ$81:$AQ$82))))</f>
        <v>9.7590700290000001</v>
      </c>
      <c r="AR80">
        <f ca="1">IF(ISERROR(IF(SUM($AR$81:$AR$82) = 0, "", SUM($AR$81:$AR$82))), "", (IF(SUM($AR$81:$AR$82) = 0, "", SUM($AR$81:$AR$82))))</f>
        <v>9.6907424199999994</v>
      </c>
      <c r="AS80">
        <f ca="1">IF(ISERROR(IF(SUM($AS$81:$AS$82) = 0, "", SUM($AS$81:$AS$82))), "", (IF(SUM($AS$81:$AS$82) = 0, "", SUM($AS$81:$AS$82))))</f>
        <v>10.864685284</v>
      </c>
      <c r="AT80">
        <f>11.52939195</f>
        <v>11.529391950000001</v>
      </c>
      <c r="AU80">
        <f>11.00606493</f>
        <v>11.006064930000001</v>
      </c>
      <c r="AV80">
        <f>8.955661414</f>
        <v>8.9556614139999997</v>
      </c>
      <c r="AW80">
        <f>11.3673212</f>
        <v>11.367321199999999</v>
      </c>
      <c r="AX80">
        <f>10.46937707</f>
        <v>10.46937707</v>
      </c>
      <c r="AY80">
        <f>11.68783697</f>
        <v>11.687836969999999</v>
      </c>
      <c r="AZ80">
        <f>9.952648977</f>
        <v>9.9526489770000008</v>
      </c>
      <c r="BA80">
        <f>8.858467333</f>
        <v>8.8584673330000001</v>
      </c>
      <c r="BB80">
        <f>7.705715072</f>
        <v>7.7057150720000003</v>
      </c>
      <c r="BC80">
        <f>8.311584019</f>
        <v>8.3115840189999997</v>
      </c>
      <c r="BD80">
        <f>13.75652323</f>
        <v>13.756523230000001</v>
      </c>
      <c r="BE80">
        <f>11.04598282</f>
        <v>11.045982820000001</v>
      </c>
      <c r="BF80">
        <f>12.00373657</f>
        <v>12.003736569999999</v>
      </c>
      <c r="BG80">
        <f>9.824442944</f>
        <v>9.8244429439999994</v>
      </c>
      <c r="BH80">
        <f>9.653505238</f>
        <v>9.6535052379999993</v>
      </c>
      <c r="BI80">
        <f>9.731299927</f>
        <v>9.7312999270000002</v>
      </c>
      <c r="BJ80">
        <f>11.06732911</f>
        <v>11.067329109999999</v>
      </c>
      <c r="BK80">
        <f>10.47086845</f>
        <v>10.470868449999999</v>
      </c>
      <c r="BL80">
        <f>10.39087372</f>
        <v>10.39087372</v>
      </c>
      <c r="BM80">
        <f>9.329979419</f>
        <v>9.3299794190000007</v>
      </c>
      <c r="BN80">
        <f>8.665294065</f>
        <v>8.6652940649999994</v>
      </c>
      <c r="BO80">
        <f>9.174032307</f>
        <v>9.1740323069999992</v>
      </c>
      <c r="BP80">
        <f>13.51957234</f>
        <v>13.51957234</v>
      </c>
      <c r="BQ80">
        <f>11.46297525</f>
        <v>11.46297525</v>
      </c>
      <c r="BR80">
        <f>10.18302829</f>
        <v>10.183028289999999</v>
      </c>
      <c r="BS80">
        <f>13.17343509</f>
        <v>13.17343509</v>
      </c>
      <c r="BT80">
        <f>13.23319027</f>
        <v>13.23319027</v>
      </c>
      <c r="BU80">
        <f>12.66386995</f>
        <v>12.66386995</v>
      </c>
      <c r="BV80">
        <f>9.969257795</f>
        <v>9.9692577950000008</v>
      </c>
      <c r="BW80">
        <f>12.11609499</f>
        <v>12.116094990000001</v>
      </c>
      <c r="BX80">
        <f>11.09884596</f>
        <v>11.09884596</v>
      </c>
      <c r="BY80">
        <f>8.828686656</f>
        <v>8.8286866560000004</v>
      </c>
      <c r="BZ80">
        <f>8.495575221</f>
        <v>8.4955752209999993</v>
      </c>
      <c r="CA80">
        <f>9.996736647</f>
        <v>9.9967366470000005</v>
      </c>
      <c r="CB80">
        <f>12.55218975</f>
        <v>12.55218975</v>
      </c>
      <c r="CC80">
        <f>13.66996617</f>
        <v>13.66996617</v>
      </c>
      <c r="CD80">
        <f>10.02066116</f>
        <v>10.02066116</v>
      </c>
      <c r="CE80">
        <f>9.759070029</f>
        <v>9.7590700290000001</v>
      </c>
      <c r="CF80">
        <f>9.69074242</f>
        <v>9.6907424199999994</v>
      </c>
      <c r="CG80">
        <f>10.86468528</f>
        <v>10.86468528</v>
      </c>
    </row>
    <row r="81" spans="1:85" x14ac:dyDescent="0.25">
      <c r="A81" t="str">
        <f>"        Kenworth"</f>
        <v xml:space="preserve">        Kenworth</v>
      </c>
      <c r="B81" t="str">
        <f>""</f>
        <v/>
      </c>
      <c r="E81" t="str">
        <f>"Expression"</f>
        <v>Expression</v>
      </c>
      <c r="F81">
        <f ca="1">IF(AND($B$294=1,LEN($F$216) * LEN($F$209)&gt;0),$F$216/$F$209*100,HLOOKUP(INDIRECT(ADDRESS(2,COLUMN())),OFFSET($AT$2,0,0,ROW()-1,40),ROW()-1,FALSE))</f>
        <v>5.5920498570000001</v>
      </c>
      <c r="G81">
        <f ca="1">IF(AND($B$294=1,LEN($G$216) * LEN($G$209)&gt;0),$G$216/$G$209*100,HLOOKUP(INDIRECT(ADDRESS(2,COLUMN())),OFFSET($AT$2,0,0,ROW()-1,40),ROW()-1,FALSE))</f>
        <v>6.0114163400000002</v>
      </c>
      <c r="H81">
        <f ca="1">IF(AND($B$294=1,LEN($H$216) * LEN($H$209)&gt;0),$H$216/$H$209*100,HLOOKUP(INDIRECT(ADDRESS(2,COLUMN())),OFFSET($AT$2,0,0,ROW()-1,40),ROW()-1,FALSE))</f>
        <v>4.9028948330000004</v>
      </c>
      <c r="I81">
        <f ca="1">IF(AND($B$294=1,LEN($I$216) * LEN($I$209)&gt;0),$I$216/$I$209*100,HLOOKUP(INDIRECT(ADDRESS(2,COLUMN())),OFFSET($AT$2,0,0,ROW()-1,40),ROW()-1,FALSE))</f>
        <v>6.3862367139999998</v>
      </c>
      <c r="J81">
        <f ca="1">IF(AND($B$294=1,LEN($J$216) * LEN($J$209)&gt;0),$J$216/$J$209*100,HLOOKUP(INDIRECT(ADDRESS(2,COLUMN())),OFFSET($AT$2,0,0,ROW()-1,40),ROW()-1,FALSE))</f>
        <v>5.9762694119999997</v>
      </c>
      <c r="K81">
        <f ca="1">IF(AND($B$294=1,LEN($K$216) * LEN($K$209)&gt;0),$K$216/$K$209*100,HLOOKUP(INDIRECT(ADDRESS(2,COLUMN())),OFFSET($AT$2,0,0,ROW()-1,40),ROW()-1,FALSE))</f>
        <v>6.19574157</v>
      </c>
      <c r="L81">
        <f ca="1">IF(AND($B$294=1,LEN($L$216) * LEN($L$209)&gt;0),$L$216/$L$209*100,HLOOKUP(INDIRECT(ADDRESS(2,COLUMN())),OFFSET($AT$2,0,0,ROW()-1,40),ROW()-1,FALSE))</f>
        <v>5.780398463</v>
      </c>
      <c r="M81">
        <f ca="1">IF(AND($B$294=1,LEN($M$216) * LEN($M$209)&gt;0),$M$216/$M$209*100,HLOOKUP(INDIRECT(ADDRESS(2,COLUMN())),OFFSET($AT$2,0,0,ROW()-1,40),ROW()-1,FALSE))</f>
        <v>4.4690714180000004</v>
      </c>
      <c r="N81">
        <f ca="1">IF(AND($B$294=1,LEN($N$216) * LEN($N$209)&gt;0),$N$216/$N$209*100,HLOOKUP(INDIRECT(ADDRESS(2,COLUMN())),OFFSET($AT$2,0,0,ROW()-1,40),ROW()-1,FALSE))</f>
        <v>3.5868268969999999</v>
      </c>
      <c r="O81">
        <f ca="1">IF(AND($B$294=1,LEN($O$216) * LEN($O$209)&gt;0),$O$216/$O$209*100,HLOOKUP(INDIRECT(ADDRESS(2,COLUMN())),OFFSET($AT$2,0,0,ROW()-1,40),ROW()-1,FALSE))</f>
        <v>4.4970889380000001</v>
      </c>
      <c r="P81">
        <f ca="1">IF(AND($B$294=1,LEN($P$216) * LEN($P$209)&gt;0),$P$216/$P$209*100,HLOOKUP(INDIRECT(ADDRESS(2,COLUMN())),OFFSET($AT$2,0,0,ROW()-1,40),ROW()-1,FALSE))</f>
        <v>7.2889040979999997</v>
      </c>
      <c r="Q81">
        <f ca="1">IF(AND($B$294=1,LEN($Q$216) * LEN($Q$209)&gt;0),$Q$216/$Q$209*100,HLOOKUP(INDIRECT(ADDRESS(2,COLUMN())),OFFSET($AT$2,0,0,ROW()-1,40),ROW()-1,FALSE))</f>
        <v>6.1546235469999999</v>
      </c>
      <c r="R81">
        <f ca="1">IF(AND($B$294=1,LEN($R$216) * LEN($R$209)&gt;0),$R$216/$R$209*100,HLOOKUP(INDIRECT(ADDRESS(2,COLUMN())),OFFSET($AT$2,0,0,ROW()-1,40),ROW()-1,FALSE))</f>
        <v>6.7164876229999999</v>
      </c>
      <c r="S81">
        <f ca="1">IF(AND($B$294=1,LEN($S$216) * LEN($S$209)&gt;0),$S$216/$S$209*100,HLOOKUP(INDIRECT(ADDRESS(2,COLUMN())),OFFSET($AT$2,0,0,ROW()-1,40),ROW()-1,FALSE))</f>
        <v>5.1147873060000002</v>
      </c>
      <c r="T81">
        <f ca="1">IF(AND($B$294=1,LEN($T$216) * LEN($T$209)&gt;0),$T$216/$T$209*100,HLOOKUP(INDIRECT(ADDRESS(2,COLUMN())),OFFSET($AT$2,0,0,ROW()-1,40),ROW()-1,FALSE))</f>
        <v>5.5116841259999996</v>
      </c>
      <c r="U81">
        <f ca="1">IF(AND($B$294=1,LEN($U$216) * LEN($U$209)&gt;0),$U$216/$U$209*100,HLOOKUP(INDIRECT(ADDRESS(2,COLUMN())),OFFSET($AT$2,0,0,ROW()-1,40),ROW()-1,FALSE))</f>
        <v>4.956427015</v>
      </c>
      <c r="V81">
        <f ca="1">IF(AND($B$294=1,LEN($V$216) * LEN($V$209)&gt;0),$V$216/$V$209*100,HLOOKUP(INDIRECT(ADDRESS(2,COLUMN())),OFFSET($AT$2,0,0,ROW()-1,40),ROW()-1,FALSE))</f>
        <v>5.9876648960000001</v>
      </c>
      <c r="W81">
        <f ca="1">IF(AND($B$294=1,LEN($W$216) * LEN($W$209)&gt;0),$W$216/$W$209*100,HLOOKUP(INDIRECT(ADDRESS(2,COLUMN())),OFFSET($AT$2,0,0,ROW()-1,40),ROW()-1,FALSE))</f>
        <v>6.0278490290000004</v>
      </c>
      <c r="X81">
        <f ca="1">IF(AND($B$294=1,LEN($X$216) * LEN($X$209)&gt;0),$X$216/$X$209*100,HLOOKUP(INDIRECT(ADDRESS(2,COLUMN())),OFFSET($AT$2,0,0,ROW()-1,40),ROW()-1,FALSE))</f>
        <v>5.5712769719999997</v>
      </c>
      <c r="Y81">
        <f ca="1">IF(AND($B$294=1,LEN($Y$216) * LEN($Y$209)&gt;0),$Y$216/$Y$209*100,HLOOKUP(INDIRECT(ADDRESS(2,COLUMN())),OFFSET($AT$2,0,0,ROW()-1,40),ROW()-1,FALSE))</f>
        <v>4.939400869</v>
      </c>
      <c r="Z81">
        <f ca="1">IF(AND($B$294=1,LEN($Z$216) * LEN($Z$209)&gt;0),$Z$216/$Z$209*100,HLOOKUP(INDIRECT(ADDRESS(2,COLUMN())),OFFSET($AT$2,0,0,ROW()-1,40),ROW()-1,FALSE))</f>
        <v>4.090949781</v>
      </c>
      <c r="AA81">
        <f ca="1">IF(AND($B$294=1,LEN($AA$216) * LEN($AA$209)&gt;0),$AA$216/$AA$209*100,HLOOKUP(INDIRECT(ADDRESS(2,COLUMN())),OFFSET($AT$2,0,0,ROW()-1,40),ROW()-1,FALSE))</f>
        <v>4.3177892919999996</v>
      </c>
      <c r="AB81">
        <f ca="1">IF(AND($B$294=1,LEN($AB$216) * LEN($AB$209)&gt;0),$AB$216/$AB$209*100,HLOOKUP(INDIRECT(ADDRESS(2,COLUMN())),OFFSET($AT$2,0,0,ROW()-1,40),ROW()-1,FALSE))</f>
        <v>7.3633385069999999</v>
      </c>
      <c r="AC81">
        <f ca="1">IF(AND($B$294=1,LEN($AC$216) * LEN($AC$209)&gt;0),$AC$216/$AC$209*100,HLOOKUP(INDIRECT(ADDRESS(2,COLUMN())),OFFSET($AT$2,0,0,ROW()-1,40),ROW()-1,FALSE))</f>
        <v>6.5611074240000002</v>
      </c>
      <c r="AD81">
        <f ca="1">IF(AND($B$294=1,LEN($AD$216) * LEN($AD$209)&gt;0),$AD$216/$AD$209*100,HLOOKUP(INDIRECT(ADDRESS(2,COLUMN())),OFFSET($AT$2,0,0,ROW()-1,40),ROW()-1,FALSE))</f>
        <v>5.6738768720000001</v>
      </c>
      <c r="AE81">
        <f ca="1">IF(AND($B$294=1,LEN($AE$216) * LEN($AE$209)&gt;0),$AE$216/$AE$209*100,HLOOKUP(INDIRECT(ADDRESS(2,COLUMN())),OFFSET($AT$2,0,0,ROW()-1,40),ROW()-1,FALSE))</f>
        <v>6.6684836919999997</v>
      </c>
      <c r="AF81">
        <f ca="1">IF(AND($B$294=1,LEN($AF$216) * LEN($AF$209)&gt;0),$AF$216/$AF$209*100,HLOOKUP(INDIRECT(ADDRESS(2,COLUMN())),OFFSET($AT$2,0,0,ROW()-1,40),ROW()-1,FALSE))</f>
        <v>7.8683834050000003</v>
      </c>
      <c r="AG81">
        <f ca="1">IF(AND($B$294=1,LEN($AG$216) * LEN($AG$209)&gt;0),$AG$216/$AG$209*100,HLOOKUP(INDIRECT(ADDRESS(2,COLUMN())),OFFSET($AT$2,0,0,ROW()-1,40),ROW()-1,FALSE))</f>
        <v>7.2102779229999996</v>
      </c>
      <c r="AH81">
        <f ca="1">IF(AND($B$294=1,LEN($AH$216) * LEN($AH$209)&gt;0),$AH$216/$AH$209*100,HLOOKUP(INDIRECT(ADDRESS(2,COLUMN())),OFFSET($AT$2,0,0,ROW()-1,40),ROW()-1,FALSE))</f>
        <v>4.6288976719999999</v>
      </c>
      <c r="AI81">
        <f ca="1">IF(AND($B$294=1,LEN($AI$216) * LEN($AI$209)&gt;0),$AI$216/$AI$209*100,HLOOKUP(INDIRECT(ADDRESS(2,COLUMN())),OFFSET($AT$2,0,0,ROW()-1,40),ROW()-1,FALSE))</f>
        <v>6.5857519790000003</v>
      </c>
      <c r="AJ81">
        <f ca="1">IF(AND($B$294=1,LEN($AJ$216) * LEN($AJ$209)&gt;0),$AJ$216/$AJ$209*100,HLOOKUP(INDIRECT(ADDRESS(2,COLUMN())),OFFSET($AT$2,0,0,ROW()-1,40),ROW()-1,FALSE))</f>
        <v>5.1781234319999996</v>
      </c>
      <c r="AK81">
        <f ca="1">IF(AND($B$294=1,LEN($AK$216) * LEN($AK$209)&gt;0),$AK$216/$AK$209*100,HLOOKUP(INDIRECT(ADDRESS(2,COLUMN())),OFFSET($AT$2,0,0,ROW()-1,40),ROW()-1,FALSE))</f>
        <v>4.1995440999999998</v>
      </c>
      <c r="AL81">
        <f ca="1">IF(AND($B$294=1,LEN($AL$216) * LEN($AL$209)&gt;0),$AL$216/$AL$209*100,HLOOKUP(INDIRECT(ADDRESS(2,COLUMN())),OFFSET($AT$2,0,0,ROW()-1,40),ROW()-1,FALSE))</f>
        <v>4.3584070800000001</v>
      </c>
      <c r="AM81">
        <f ca="1">IF(AND($B$294=1,LEN($AM$216) * LEN($AM$209)&gt;0),$AM$216/$AM$209*100,HLOOKUP(INDIRECT(ADDRESS(2,COLUMN())),OFFSET($AT$2,0,0,ROW()-1,40),ROW()-1,FALSE))</f>
        <v>5.4824322849999998</v>
      </c>
      <c r="AN81">
        <f ca="1">IF(AND($B$294=1,LEN($AN$216) * LEN($AN$209)&gt;0),$AN$216/$AN$209*100,HLOOKUP(INDIRECT(ADDRESS(2,COLUMN())),OFFSET($AT$2,0,0,ROW()-1,40),ROW()-1,FALSE))</f>
        <v>7.213289509</v>
      </c>
      <c r="AO81">
        <f ca="1">IF(AND($B$294=1,LEN($AO$216) * LEN($AO$209)&gt;0),$AO$216/$AO$209*100,HLOOKUP(INDIRECT(ADDRESS(2,COLUMN())),OFFSET($AT$2,0,0,ROW()-1,40),ROW()-1,FALSE))</f>
        <v>7.0166645780000003</v>
      </c>
      <c r="AP81">
        <f ca="1">IF(AND($B$294=1,LEN($AP$216) * LEN($AP$209)&gt;0),$AP$216/$AP$209*100,HLOOKUP(INDIRECT(ADDRESS(2,COLUMN())),OFFSET($AT$2,0,0,ROW()-1,40),ROW()-1,FALSE))</f>
        <v>5.2967693459999996</v>
      </c>
      <c r="AQ81">
        <f ca="1">IF(AND($B$294=1,LEN($AQ$216) * LEN($AQ$209)&gt;0),$AQ$216/$AQ$209*100,HLOOKUP(INDIRECT(ADDRESS(2,COLUMN())),OFFSET($AT$2,0,0,ROW()-1,40),ROW()-1,FALSE))</f>
        <v>5.4279553759999999</v>
      </c>
      <c r="AR81">
        <f ca="1">IF(AND($B$294=1,LEN($AR$216) * LEN($AR$209)&gt;0),$AR$216/$AR$209*100,HLOOKUP(INDIRECT(ADDRESS(2,COLUMN())),OFFSET($AT$2,0,0,ROW()-1,40),ROW()-1,FALSE))</f>
        <v>5.1777979250000001</v>
      </c>
      <c r="AS81">
        <f ca="1">IF(AND($B$294=1,LEN($AS$216) * LEN($AS$209)&gt;0),$AS$216/$AS$209*100,HLOOKUP(INDIRECT(ADDRESS(2,COLUMN())),OFFSET($AT$2,0,0,ROW()-1,40),ROW()-1,FALSE))</f>
        <v>6.491873934</v>
      </c>
      <c r="AT81">
        <f>5.592049857</f>
        <v>5.5920498570000001</v>
      </c>
      <c r="AU81">
        <f>6.01141634</f>
        <v>6.0114163400000002</v>
      </c>
      <c r="AV81">
        <f>4.902894833</f>
        <v>4.9028948330000004</v>
      </c>
      <c r="AW81">
        <f>6.386236714</f>
        <v>6.3862367139999998</v>
      </c>
      <c r="AX81">
        <f>5.976269412</f>
        <v>5.9762694119999997</v>
      </c>
      <c r="AY81">
        <f>6.19574157</f>
        <v>6.19574157</v>
      </c>
      <c r="AZ81">
        <f>5.780398463</f>
        <v>5.780398463</v>
      </c>
      <c r="BA81">
        <f>4.469071418</f>
        <v>4.4690714180000004</v>
      </c>
      <c r="BB81">
        <f>3.586826897</f>
        <v>3.5868268969999999</v>
      </c>
      <c r="BC81">
        <f>4.497088938</f>
        <v>4.4970889380000001</v>
      </c>
      <c r="BD81">
        <f>7.288904098</f>
        <v>7.2889040979999997</v>
      </c>
      <c r="BE81">
        <f>6.154623547</f>
        <v>6.1546235469999999</v>
      </c>
      <c r="BF81">
        <f>6.716487623</f>
        <v>6.7164876229999999</v>
      </c>
      <c r="BG81">
        <f>5.114787306</f>
        <v>5.1147873060000002</v>
      </c>
      <c r="BH81">
        <f>5.511684126</f>
        <v>5.5116841259999996</v>
      </c>
      <c r="BI81">
        <f>4.956427015</f>
        <v>4.956427015</v>
      </c>
      <c r="BJ81">
        <f>5.987664896</f>
        <v>5.9876648960000001</v>
      </c>
      <c r="BK81">
        <f>6.027849029</f>
        <v>6.0278490290000004</v>
      </c>
      <c r="BL81">
        <f>5.571276972</f>
        <v>5.5712769719999997</v>
      </c>
      <c r="BM81">
        <f>4.939400869</f>
        <v>4.939400869</v>
      </c>
      <c r="BN81">
        <f>4.090949781</f>
        <v>4.090949781</v>
      </c>
      <c r="BO81">
        <f>4.317789292</f>
        <v>4.3177892919999996</v>
      </c>
      <c r="BP81">
        <f>7.363338507</f>
        <v>7.3633385069999999</v>
      </c>
      <c r="BQ81">
        <f>6.561107424</f>
        <v>6.5611074240000002</v>
      </c>
      <c r="BR81">
        <f>5.673876872</f>
        <v>5.6738768720000001</v>
      </c>
      <c r="BS81">
        <f>6.668483692</f>
        <v>6.6684836919999997</v>
      </c>
      <c r="BT81">
        <f>7.868383405</f>
        <v>7.8683834050000003</v>
      </c>
      <c r="BU81">
        <f>7.210277923</f>
        <v>7.2102779229999996</v>
      </c>
      <c r="BV81">
        <f>4.628897672</f>
        <v>4.6288976719999999</v>
      </c>
      <c r="BW81">
        <f>6.585751979</f>
        <v>6.5857519790000003</v>
      </c>
      <c r="BX81">
        <f>5.178123432</f>
        <v>5.1781234319999996</v>
      </c>
      <c r="BY81">
        <f>4.1995441</f>
        <v>4.1995440999999998</v>
      </c>
      <c r="BZ81">
        <f>4.35840708</f>
        <v>4.3584070800000001</v>
      </c>
      <c r="CA81">
        <f>5.482432285</f>
        <v>5.4824322849999998</v>
      </c>
      <c r="CB81">
        <f>7.213289509</f>
        <v>7.213289509</v>
      </c>
      <c r="CC81">
        <f>7.016664578</f>
        <v>7.0166645780000003</v>
      </c>
      <c r="CD81">
        <f>5.296769346</f>
        <v>5.2967693459999996</v>
      </c>
      <c r="CE81">
        <f>5.427955376</f>
        <v>5.4279553759999999</v>
      </c>
      <c r="CF81">
        <f>5.177797925</f>
        <v>5.1777979250000001</v>
      </c>
      <c r="CG81">
        <f>6.491873934</f>
        <v>6.491873934</v>
      </c>
    </row>
    <row r="82" spans="1:85" x14ac:dyDescent="0.25">
      <c r="A82" t="str">
        <f>"        Peterbilt"</f>
        <v xml:space="preserve">        Peterbilt</v>
      </c>
      <c r="B82" t="str">
        <f>""</f>
        <v/>
      </c>
      <c r="E82" t="str">
        <f>"Expression"</f>
        <v>Expression</v>
      </c>
      <c r="F82">
        <f ca="1">IF(AND($B$294=1,LEN($F$217) * LEN($F$209)&gt;0),$F$217/$F$209*100,HLOOKUP(INDIRECT(ADDRESS(2,COLUMN())),OFFSET($AT$2,0,0,ROW()-1,40),ROW()-1,FALSE))</f>
        <v>5.9373420919999997</v>
      </c>
      <c r="G82">
        <f ca="1">IF(AND($B$294=1,LEN($G$217) * LEN($G$209)&gt;0),$G$217/$G$209*100,HLOOKUP(INDIRECT(ADDRESS(2,COLUMN())),OFFSET($AT$2,0,0,ROW()-1,40),ROW()-1,FALSE))</f>
        <v>4.9946485909999998</v>
      </c>
      <c r="H82">
        <f ca="1">IF(AND($B$294=1,LEN($H$217) * LEN($H$209)&gt;0),$H$217/$H$209*100,HLOOKUP(INDIRECT(ADDRESS(2,COLUMN())),OFFSET($AT$2,0,0,ROW()-1,40),ROW()-1,FALSE))</f>
        <v>4.0527665810000002</v>
      </c>
      <c r="I82">
        <f ca="1">IF(AND($B$294=1,LEN($I$217) * LEN($I$209)&gt;0),$I$217/$I$209*100,HLOOKUP(INDIRECT(ADDRESS(2,COLUMN())),OFFSET($AT$2,0,0,ROW()-1,40),ROW()-1,FALSE))</f>
        <v>4.9810844889999997</v>
      </c>
      <c r="J82">
        <f ca="1">IF(AND($B$294=1,LEN($J$217) * LEN($J$209)&gt;0),$J$217/$J$209*100,HLOOKUP(INDIRECT(ADDRESS(2,COLUMN())),OFFSET($AT$2,0,0,ROW()-1,40),ROW()-1,FALSE))</f>
        <v>4.4931076599999997</v>
      </c>
      <c r="K82">
        <f ca="1">IF(AND($B$294=1,LEN($K$217) * LEN($K$209)&gt;0),$K$217/$K$209*100,HLOOKUP(INDIRECT(ADDRESS(2,COLUMN())),OFFSET($AT$2,0,0,ROW()-1,40),ROW()-1,FALSE))</f>
        <v>5.4920954030000004</v>
      </c>
      <c r="L82">
        <f ca="1">IF(AND($B$294=1,LEN($L$217) * LEN($L$209)&gt;0),$L$217/$L$209*100,HLOOKUP(INDIRECT(ADDRESS(2,COLUMN())),OFFSET($AT$2,0,0,ROW()-1,40),ROW()-1,FALSE))</f>
        <v>4.1722505139999999</v>
      </c>
      <c r="M82">
        <f ca="1">IF(AND($B$294=1,LEN($M$217) * LEN($M$209)&gt;0),$M$217/$M$209*100,HLOOKUP(INDIRECT(ADDRESS(2,COLUMN())),OFFSET($AT$2,0,0,ROW()-1,40),ROW()-1,FALSE))</f>
        <v>4.3893959149999997</v>
      </c>
      <c r="N82">
        <f ca="1">IF(AND($B$294=1,LEN($N$217) * LEN($N$209)&gt;0),$N$217/$N$209*100,HLOOKUP(INDIRECT(ADDRESS(2,COLUMN())),OFFSET($AT$2,0,0,ROW()-1,40),ROW()-1,FALSE))</f>
        <v>4.1188881750000004</v>
      </c>
      <c r="O82">
        <f ca="1">IF(AND($B$294=1,LEN($O$217) * LEN($O$209)&gt;0),$O$217/$O$209*100,HLOOKUP(INDIRECT(ADDRESS(2,COLUMN())),OFFSET($AT$2,0,0,ROW()-1,40),ROW()-1,FALSE))</f>
        <v>3.814495081</v>
      </c>
      <c r="P82">
        <f ca="1">IF(AND($B$294=1,LEN($P$217) * LEN($P$209)&gt;0),$P$217/$P$209*100,HLOOKUP(INDIRECT(ADDRESS(2,COLUMN())),OFFSET($AT$2,0,0,ROW()-1,40),ROW()-1,FALSE))</f>
        <v>6.467619129</v>
      </c>
      <c r="Q82">
        <f ca="1">IF(AND($B$294=1,LEN($Q$217) * LEN($Q$209)&gt;0),$Q$217/$Q$209*100,HLOOKUP(INDIRECT(ADDRESS(2,COLUMN())),OFFSET($AT$2,0,0,ROW()-1,40),ROW()-1,FALSE))</f>
        <v>4.8913592719999999</v>
      </c>
      <c r="R82">
        <f ca="1">IF(AND($B$294=1,LEN($R$217) * LEN($R$209)&gt;0),$R$217/$R$209*100,HLOOKUP(INDIRECT(ADDRESS(2,COLUMN())),OFFSET($AT$2,0,0,ROW()-1,40),ROW()-1,FALSE))</f>
        <v>5.2872489490000003</v>
      </c>
      <c r="S82">
        <f ca="1">IF(AND($B$294=1,LEN($S$217) * LEN($S$209)&gt;0),$S$217/$S$209*100,HLOOKUP(INDIRECT(ADDRESS(2,COLUMN())),OFFSET($AT$2,0,0,ROW()-1,40),ROW()-1,FALSE))</f>
        <v>4.7096556380000001</v>
      </c>
      <c r="T82">
        <f ca="1">IF(AND($B$294=1,LEN($T$217) * LEN($T$209)&gt;0),$T$217/$T$209*100,HLOOKUP(INDIRECT(ADDRESS(2,COLUMN())),OFFSET($AT$2,0,0,ROW()-1,40),ROW()-1,FALSE))</f>
        <v>4.1418211119999997</v>
      </c>
      <c r="U82">
        <f ca="1">IF(AND($B$294=1,LEN($U$217) * LEN($U$209)&gt;0),$U$217/$U$209*100,HLOOKUP(INDIRECT(ADDRESS(2,COLUMN())),OFFSET($AT$2,0,0,ROW()-1,40),ROW()-1,FALSE))</f>
        <v>4.7748729120000002</v>
      </c>
      <c r="V82">
        <f ca="1">IF(AND($B$294=1,LEN($V$217) * LEN($V$209)&gt;0),$V$217/$V$209*100,HLOOKUP(INDIRECT(ADDRESS(2,COLUMN())),OFFSET($AT$2,0,0,ROW()-1,40),ROW()-1,FALSE))</f>
        <v>5.0796642109999999</v>
      </c>
      <c r="W82">
        <f ca="1">IF(AND($B$294=1,LEN($W$217) * LEN($W$209)&gt;0),$W$217/$W$209*100,HLOOKUP(INDIRECT(ADDRESS(2,COLUMN())),OFFSET($AT$2,0,0,ROW()-1,40),ROW()-1,FALSE))</f>
        <v>4.4430194209999998</v>
      </c>
      <c r="X82">
        <f ca="1">IF(AND($B$294=1,LEN($X$217) * LEN($X$209)&gt;0),$X$217/$X$209*100,HLOOKUP(INDIRECT(ADDRESS(2,COLUMN())),OFFSET($AT$2,0,0,ROW()-1,40),ROW()-1,FALSE))</f>
        <v>4.8195967460000002</v>
      </c>
      <c r="Y82">
        <f ca="1">IF(AND($B$294=1,LEN($Y$217) * LEN($Y$209)&gt;0),$Y$217/$Y$209*100,HLOOKUP(INDIRECT(ADDRESS(2,COLUMN())),OFFSET($AT$2,0,0,ROW()-1,40),ROW()-1,FALSE))</f>
        <v>4.3905785499999999</v>
      </c>
      <c r="Z82">
        <f ca="1">IF(AND($B$294=1,LEN($Z$217) * LEN($Z$209)&gt;0),$Z$217/$Z$209*100,HLOOKUP(INDIRECT(ADDRESS(2,COLUMN())),OFFSET($AT$2,0,0,ROW()-1,40),ROW()-1,FALSE))</f>
        <v>4.5743442840000004</v>
      </c>
      <c r="AA82">
        <f ca="1">IF(AND($B$294=1,LEN($AA$217) * LEN($AA$209)&gt;0),$AA$217/$AA$209*100,HLOOKUP(INDIRECT(ADDRESS(2,COLUMN())),OFFSET($AT$2,0,0,ROW()-1,40),ROW()-1,FALSE))</f>
        <v>4.8562430150000004</v>
      </c>
      <c r="AB82">
        <f ca="1">IF(AND($B$294=1,LEN($AB$217) * LEN($AB$209)&gt;0),$AB$217/$AB$209*100,HLOOKUP(INDIRECT(ADDRESS(2,COLUMN())),OFFSET($AT$2,0,0,ROW()-1,40),ROW()-1,FALSE))</f>
        <v>6.1562338329999999</v>
      </c>
      <c r="AC82">
        <f ca="1">IF(AND($B$294=1,LEN($AC$217) * LEN($AC$209)&gt;0),$AC$217/$AC$209*100,HLOOKUP(INDIRECT(ADDRESS(2,COLUMN())),OFFSET($AT$2,0,0,ROW()-1,40),ROW()-1,FALSE))</f>
        <v>4.9018678299999996</v>
      </c>
      <c r="AD82">
        <f ca="1">IF(AND($B$294=1,LEN($AD$217) * LEN($AD$209)&gt;0),$AD$217/$AD$209*100,HLOOKUP(INDIRECT(ADDRESS(2,COLUMN())),OFFSET($AT$2,0,0,ROW()-1,40),ROW()-1,FALSE))</f>
        <v>4.5091514139999997</v>
      </c>
      <c r="AE82">
        <f ca="1">IF(AND($B$294=1,LEN($AE$217) * LEN($AE$209)&gt;0),$AE$217/$AE$209*100,HLOOKUP(INDIRECT(ADDRESS(2,COLUMN())),OFFSET($AT$2,0,0,ROW()-1,40),ROW()-1,FALSE))</f>
        <v>6.504951395</v>
      </c>
      <c r="AF82">
        <f ca="1">IF(AND($B$294=1,LEN($AF$217) * LEN($AF$209)&gt;0),$AF$217/$AF$209*100,HLOOKUP(INDIRECT(ADDRESS(2,COLUMN())),OFFSET($AT$2,0,0,ROW()-1,40),ROW()-1,FALSE))</f>
        <v>5.3648068670000004</v>
      </c>
      <c r="AG82">
        <f ca="1">IF(AND($B$294=1,LEN($AG$217) * LEN($AG$209)&gt;0),$AG$217/$AG$209*100,HLOOKUP(INDIRECT(ADDRESS(2,COLUMN())),OFFSET($AT$2,0,0,ROW()-1,40),ROW()-1,FALSE))</f>
        <v>5.4535920290000002</v>
      </c>
      <c r="AH82">
        <f ca="1">IF(AND($B$294=1,LEN($AH$217) * LEN($AH$209)&gt;0),$AH$217/$AH$209*100,HLOOKUP(INDIRECT(ADDRESS(2,COLUMN())),OFFSET($AT$2,0,0,ROW()-1,40),ROW()-1,FALSE))</f>
        <v>5.340360123</v>
      </c>
      <c r="AI82">
        <f ca="1">IF(AND($B$294=1,LEN($AI$217) * LEN($AI$209)&gt;0),$AI$217/$AI$209*100,HLOOKUP(INDIRECT(ADDRESS(2,COLUMN())),OFFSET($AT$2,0,0,ROW()-1,40),ROW()-1,FALSE))</f>
        <v>5.530343008</v>
      </c>
      <c r="AJ82">
        <f ca="1">IF(AND($B$294=1,LEN($AJ$217) * LEN($AJ$209)&gt;0),$AJ$217/$AJ$209*100,HLOOKUP(INDIRECT(ADDRESS(2,COLUMN())),OFFSET($AT$2,0,0,ROW()-1,40),ROW()-1,FALSE))</f>
        <v>5.9207225289999998</v>
      </c>
      <c r="AK82">
        <f ca="1">IF(AND($B$294=1,LEN($AK$217) * LEN($AK$209)&gt;0),$AK$217/$AK$209*100,HLOOKUP(INDIRECT(ADDRESS(2,COLUMN())),OFFSET($AT$2,0,0,ROW()-1,40),ROW()-1,FALSE))</f>
        <v>4.6291425569999998</v>
      </c>
      <c r="AL82">
        <f ca="1">IF(AND($B$294=1,LEN($AL$217) * LEN($AL$209)&gt;0),$AL$217/$AL$209*100,HLOOKUP(INDIRECT(ADDRESS(2,COLUMN())),OFFSET($AT$2,0,0,ROW()-1,40),ROW()-1,FALSE))</f>
        <v>4.1371681420000002</v>
      </c>
      <c r="AM82">
        <f ca="1">IF(AND($B$294=1,LEN($AM$217) * LEN($AM$209)&gt;0),$AM$217/$AM$209*100,HLOOKUP(INDIRECT(ADDRESS(2,COLUMN())),OFFSET($AT$2,0,0,ROW()-1,40),ROW()-1,FALSE))</f>
        <v>4.5143043619999998</v>
      </c>
      <c r="AN82">
        <f ca="1">IF(AND($B$294=1,LEN($AN$217) * LEN($AN$209)&gt;0),$AN$217/$AN$209*100,HLOOKUP(INDIRECT(ADDRESS(2,COLUMN())),OFFSET($AT$2,0,0,ROW()-1,40),ROW()-1,FALSE))</f>
        <v>5.3389002400000001</v>
      </c>
      <c r="AO82">
        <f ca="1">IF(AND($B$294=1,LEN($AO$217) * LEN($AO$209)&gt;0),$AO$217/$AO$209*100,HLOOKUP(INDIRECT(ADDRESS(2,COLUMN())),OFFSET($AT$2,0,0,ROW()-1,40),ROW()-1,FALSE))</f>
        <v>6.653301591</v>
      </c>
      <c r="AP82">
        <f ca="1">IF(AND($B$294=1,LEN($AP$217) * LEN($AP$209)&gt;0),$AP$217/$AP$209*100,HLOOKUP(INDIRECT(ADDRESS(2,COLUMN())),OFFSET($AT$2,0,0,ROW()-1,40),ROW()-1,FALSE))</f>
        <v>4.7238918109999997</v>
      </c>
      <c r="AQ82">
        <f ca="1">IF(AND($B$294=1,LEN($AQ$217) * LEN($AQ$209)&gt;0),$AQ$217/$AQ$209*100,HLOOKUP(INDIRECT(ADDRESS(2,COLUMN())),OFFSET($AT$2,0,0,ROW()-1,40),ROW()-1,FALSE))</f>
        <v>4.3311146530000002</v>
      </c>
      <c r="AR82">
        <f ca="1">IF(AND($B$294=1,LEN($AR$217) * LEN($AR$209)&gt;0),$AR$217/$AR$209*100,HLOOKUP(INDIRECT(ADDRESS(2,COLUMN())),OFFSET($AT$2,0,0,ROW()-1,40),ROW()-1,FALSE))</f>
        <v>4.5129444950000002</v>
      </c>
      <c r="AS82">
        <f ca="1">IF(AND($B$294=1,LEN($AS$217) * LEN($AS$209)&gt;0),$AS$217/$AS$209*100,HLOOKUP(INDIRECT(ADDRESS(2,COLUMN())),OFFSET($AT$2,0,0,ROW()-1,40),ROW()-1,FALSE))</f>
        <v>4.3728113500000001</v>
      </c>
      <c r="AT82">
        <f>5.937342092</f>
        <v>5.9373420919999997</v>
      </c>
      <c r="AU82">
        <f>4.994648591</f>
        <v>4.9946485909999998</v>
      </c>
      <c r="AV82">
        <f>4.052766581</f>
        <v>4.0527665810000002</v>
      </c>
      <c r="AW82">
        <f>4.981084489</f>
        <v>4.9810844889999997</v>
      </c>
      <c r="AX82">
        <f>4.49310766</f>
        <v>4.4931076599999997</v>
      </c>
      <c r="AY82">
        <f>5.492095403</f>
        <v>5.4920954030000004</v>
      </c>
      <c r="AZ82">
        <f>4.172250514</f>
        <v>4.1722505139999999</v>
      </c>
      <c r="BA82">
        <f>4.389395915</f>
        <v>4.3893959149999997</v>
      </c>
      <c r="BB82">
        <f>4.118888175</f>
        <v>4.1188881750000004</v>
      </c>
      <c r="BC82">
        <f>3.814495081</f>
        <v>3.814495081</v>
      </c>
      <c r="BD82">
        <f>6.467619129</f>
        <v>6.467619129</v>
      </c>
      <c r="BE82">
        <f>4.891359272</f>
        <v>4.8913592719999999</v>
      </c>
      <c r="BF82">
        <f>5.287248949</f>
        <v>5.2872489490000003</v>
      </c>
      <c r="BG82">
        <f>4.709655638</f>
        <v>4.7096556380000001</v>
      </c>
      <c r="BH82">
        <f>4.141821112</f>
        <v>4.1418211119999997</v>
      </c>
      <c r="BI82">
        <f>4.774872912</f>
        <v>4.7748729120000002</v>
      </c>
      <c r="BJ82">
        <f>5.079664211</f>
        <v>5.0796642109999999</v>
      </c>
      <c r="BK82">
        <f>4.443019421</f>
        <v>4.4430194209999998</v>
      </c>
      <c r="BL82">
        <f>4.819596746</f>
        <v>4.8195967460000002</v>
      </c>
      <c r="BM82">
        <f>4.39057855</f>
        <v>4.3905785499999999</v>
      </c>
      <c r="BN82">
        <f>4.574344284</f>
        <v>4.5743442840000004</v>
      </c>
      <c r="BO82">
        <f>4.856243015</f>
        <v>4.8562430150000004</v>
      </c>
      <c r="BP82">
        <f>6.156233833</f>
        <v>6.1562338329999999</v>
      </c>
      <c r="BQ82">
        <f>4.90186783</f>
        <v>4.9018678299999996</v>
      </c>
      <c r="BR82">
        <f>4.509151414</f>
        <v>4.5091514139999997</v>
      </c>
      <c r="BS82">
        <f>6.504951395</f>
        <v>6.504951395</v>
      </c>
      <c r="BT82">
        <f>5.364806867</f>
        <v>5.3648068670000004</v>
      </c>
      <c r="BU82">
        <f>5.453592029</f>
        <v>5.4535920290000002</v>
      </c>
      <c r="BV82">
        <f>5.340360123</f>
        <v>5.340360123</v>
      </c>
      <c r="BW82">
        <f>5.530343008</f>
        <v>5.530343008</v>
      </c>
      <c r="BX82">
        <f>5.920722529</f>
        <v>5.9207225289999998</v>
      </c>
      <c r="BY82">
        <f>4.629142557</f>
        <v>4.6291425569999998</v>
      </c>
      <c r="BZ82">
        <f>4.137168142</f>
        <v>4.1371681420000002</v>
      </c>
      <c r="CA82">
        <f>4.514304362</f>
        <v>4.5143043619999998</v>
      </c>
      <c r="CB82">
        <f>5.33890024</f>
        <v>5.3389002400000001</v>
      </c>
      <c r="CC82">
        <f>6.653301591</f>
        <v>6.653301591</v>
      </c>
      <c r="CD82">
        <f>4.723891811</f>
        <v>4.7238918109999997</v>
      </c>
      <c r="CE82">
        <f>4.331114653</f>
        <v>4.3311146530000002</v>
      </c>
      <c r="CF82">
        <f>4.512944495</f>
        <v>4.5129444950000002</v>
      </c>
      <c r="CG82">
        <f>4.37281135</f>
        <v>4.3728113500000001</v>
      </c>
    </row>
    <row r="83" spans="1:85" x14ac:dyDescent="0.25">
      <c r="A83" t="str">
        <f>"    Ford"</f>
        <v xml:space="preserve">    Ford</v>
      </c>
      <c r="B83" t="str">
        <f>""</f>
        <v/>
      </c>
      <c r="E83" t="str">
        <f>"Expression"</f>
        <v>Expression</v>
      </c>
      <c r="F83">
        <f ca="1">IF(AND($B$294=1,LEN($F$218) * LEN($F$209)&gt;0),$F$218/$F$209*100,HLOOKUP(INDIRECT(ADDRESS(2,COLUMN())),OFFSET($AT$2,0,0,ROW()-1,40),ROW()-1,FALSE))</f>
        <v>13.348492500000001</v>
      </c>
      <c r="G83">
        <f ca="1">IF(AND($B$294=1,LEN($G$218) * LEN($G$209)&gt;0),$G$218/$G$209*100,HLOOKUP(INDIRECT(ADDRESS(2,COLUMN())),OFFSET($AT$2,0,0,ROW()-1,40),ROW()-1,FALSE))</f>
        <v>12.50445951</v>
      </c>
      <c r="H83">
        <f ca="1">IF(AND($B$294=1,LEN($H$218) * LEN($H$209)&gt;0),$H$218/$H$209*100,HLOOKUP(INDIRECT(ADDRESS(2,COLUMN())),OFFSET($AT$2,0,0,ROW()-1,40),ROW()-1,FALSE))</f>
        <v>13.34554782</v>
      </c>
      <c r="I83">
        <f ca="1">IF(AND($B$294=1,LEN($I$218) * LEN($I$209)&gt;0),$I$218/$I$209*100,HLOOKUP(INDIRECT(ADDRESS(2,COLUMN())),OFFSET($AT$2,0,0,ROW()-1,40),ROW()-1,FALSE))</f>
        <v>13.41199784</v>
      </c>
      <c r="J83">
        <f ca="1">IF(AND($B$294=1,LEN($J$218) * LEN($J$209)&gt;0),$J$218/$J$209*100,HLOOKUP(INDIRECT(ADDRESS(2,COLUMN())),OFFSET($AT$2,0,0,ROW()-1,40),ROW()-1,FALSE))</f>
        <v>16.637585059999999</v>
      </c>
      <c r="K83">
        <f ca="1">IF(AND($B$294=1,LEN($K$218) * LEN($K$209)&gt;0),$K$218/$K$209*100,HLOOKUP(INDIRECT(ADDRESS(2,COLUMN())),OFFSET($AT$2,0,0,ROW()-1,40),ROW()-1,FALSE))</f>
        <v>11.687836969999999</v>
      </c>
      <c r="L83">
        <f ca="1">IF(AND($B$294=1,LEN($L$218) * LEN($L$209)&gt;0),$L$218/$L$209*100,HLOOKUP(INDIRECT(ADDRESS(2,COLUMN())),OFFSET($AT$2,0,0,ROW()-1,40),ROW()-1,FALSE))</f>
        <v>18.68131868</v>
      </c>
      <c r="M83">
        <f ca="1">IF(AND($B$294=1,LEN($M$218) * LEN($M$209)&gt;0),$M$218/$M$209*100,HLOOKUP(INDIRECT(ADDRESS(2,COLUMN())),OFFSET($AT$2,0,0,ROW()-1,40),ROW()-1,FALSE))</f>
        <v>17.405475880000001</v>
      </c>
      <c r="N83">
        <f ca="1">IF(AND($B$294=1,LEN($N$218) * LEN($N$209)&gt;0),$N$218/$N$209*100,HLOOKUP(INDIRECT(ADDRESS(2,COLUMN())),OFFSET($AT$2,0,0,ROW()-1,40),ROW()-1,FALSE))</f>
        <v>16.78745069</v>
      </c>
      <c r="O83">
        <f ca="1">IF(AND($B$294=1,LEN($O$218) * LEN($O$209)&gt;0),$O$218/$O$209*100,HLOOKUP(INDIRECT(ADDRESS(2,COLUMN())),OFFSET($AT$2,0,0,ROW()-1,40),ROW()-1,FALSE))</f>
        <v>22.304758079999999</v>
      </c>
      <c r="P83">
        <f ca="1">IF(AND($B$294=1,LEN($P$218) * LEN($P$209)&gt;0),$P$218/$P$209*100,HLOOKUP(INDIRECT(ADDRESS(2,COLUMN())),OFFSET($AT$2,0,0,ROW()-1,40),ROW()-1,FALSE))</f>
        <v>26.16990333</v>
      </c>
      <c r="Q83">
        <f ca="1">IF(AND($B$294=1,LEN($Q$218) * LEN($Q$209)&gt;0),$Q$218/$Q$209*100,HLOOKUP(INDIRECT(ADDRESS(2,COLUMN())),OFFSET($AT$2,0,0,ROW()-1,40),ROW()-1,FALSE))</f>
        <v>22.19302678</v>
      </c>
      <c r="R83">
        <f ca="1">IF(AND($B$294=1,LEN($R$218) * LEN($R$209)&gt;0),$R$218/$R$209*100,HLOOKUP(INDIRECT(ADDRESS(2,COLUMN())),OFFSET($AT$2,0,0,ROW()-1,40),ROW()-1,FALSE))</f>
        <v>17.197571230000001</v>
      </c>
      <c r="S83">
        <f ca="1">IF(AND($B$294=1,LEN($S$218) * LEN($S$209)&gt;0),$S$218/$S$209*100,HLOOKUP(INDIRECT(ADDRESS(2,COLUMN())),OFFSET($AT$2,0,0,ROW()-1,40),ROW()-1,FALSE))</f>
        <v>14.34841323</v>
      </c>
      <c r="T83">
        <f ca="1">IF(AND($B$294=1,LEN($T$218) * LEN($T$209)&gt;0),$T$218/$T$209*100,HLOOKUP(INDIRECT(ADDRESS(2,COLUMN())),OFFSET($AT$2,0,0,ROW()-1,40),ROW()-1,FALSE))</f>
        <v>13.32796132</v>
      </c>
      <c r="U83">
        <f ca="1">IF(AND($B$294=1,LEN($U$218) * LEN($U$209)&gt;0),$U$218/$U$209*100,HLOOKUP(INDIRECT(ADDRESS(2,COLUMN())),OFFSET($AT$2,0,0,ROW()-1,40),ROW()-1,FALSE))</f>
        <v>16.00399419</v>
      </c>
      <c r="V83">
        <f ca="1">IF(AND($B$294=1,LEN($V$218) * LEN($V$209)&gt;0),$V$218/$V$209*100,HLOOKUP(INDIRECT(ADDRESS(2,COLUMN())),OFFSET($AT$2,0,0,ROW()-1,40),ROW()-1,FALSE))</f>
        <v>15.418879560000001</v>
      </c>
      <c r="W83">
        <f ca="1">IF(AND($B$294=1,LEN($W$218) * LEN($W$209)&gt;0),$W$218/$W$209*100,HLOOKUP(INDIRECT(ADDRESS(2,COLUMN())),OFFSET($AT$2,0,0,ROW()-1,40),ROW()-1,FALSE))</f>
        <v>17.781238550000001</v>
      </c>
      <c r="X83">
        <f ca="1">IF(AND($B$294=1,LEN($X$218) * LEN($X$209)&gt;0),$X$218/$X$209*100,HLOOKUP(INDIRECT(ADDRESS(2,COLUMN())),OFFSET($AT$2,0,0,ROW()-1,40),ROW()-1,FALSE))</f>
        <v>22.97488504</v>
      </c>
      <c r="Y83">
        <f ca="1">IF(AND($B$294=1,LEN($Y$218) * LEN($Y$209)&gt;0),$Y$218/$Y$209*100,HLOOKUP(INDIRECT(ADDRESS(2,COLUMN())),OFFSET($AT$2,0,0,ROW()-1,40),ROW()-1,FALSE))</f>
        <v>21.388825369999999</v>
      </c>
      <c r="Z83">
        <f ca="1">IF(AND($B$294=1,LEN($Z$218) * LEN($Z$209)&gt;0),$Z$218/$Z$209*100,HLOOKUP(INDIRECT(ADDRESS(2,COLUMN())),OFFSET($AT$2,0,0,ROW()-1,40),ROW()-1,FALSE))</f>
        <v>16.068391370000001</v>
      </c>
      <c r="AA83">
        <f ca="1">IF(AND($B$294=1,LEN($AA$218) * LEN($AA$209)&gt;0),$AA$218/$AA$209*100,HLOOKUP(INDIRECT(ADDRESS(2,COLUMN())),OFFSET($AT$2,0,0,ROW()-1,40),ROW()-1,FALSE))</f>
        <v>18.398862139999999</v>
      </c>
      <c r="AB83">
        <f ca="1">IF(AND($B$294=1,LEN($AB$218) * LEN($AB$209)&gt;0),$AB$218/$AB$209*100,HLOOKUP(INDIRECT(ADDRESS(2,COLUMN())),OFFSET($AT$2,0,0,ROW()-1,40),ROW()-1,FALSE))</f>
        <v>21.538196240000001</v>
      </c>
      <c r="AC83">
        <f ca="1">IF(AND($B$294=1,LEN($AC$218) * LEN($AC$209)&gt;0),$AC$218/$AC$209*100,HLOOKUP(INDIRECT(ADDRESS(2,COLUMN())),OFFSET($AT$2,0,0,ROW()-1,40),ROW()-1,FALSE))</f>
        <v>15.62529629</v>
      </c>
      <c r="AD83">
        <f ca="1">IF(AND($B$294=1,LEN($AD$218) * LEN($AD$209)&gt;0),$AD$218/$AD$209*100,HLOOKUP(INDIRECT(ADDRESS(2,COLUMN())),OFFSET($AT$2,0,0,ROW()-1,40),ROW()-1,FALSE))</f>
        <v>14.61730449</v>
      </c>
      <c r="AE83">
        <f ca="1">IF(AND($B$294=1,LEN($AE$218) * LEN($AE$209)&gt;0),$AE$218/$AE$209*100,HLOOKUP(INDIRECT(ADDRESS(2,COLUMN())),OFFSET($AT$2,0,0,ROW()-1,40),ROW()-1,FALSE))</f>
        <v>8.7126374129999995</v>
      </c>
      <c r="AF83">
        <f ca="1">IF(AND($B$294=1,LEN($AF$218) * LEN($AF$209)&gt;0),$AF$218/$AF$209*100,HLOOKUP(INDIRECT(ADDRESS(2,COLUMN())),OFFSET($AT$2,0,0,ROW()-1,40),ROW()-1,FALSE))</f>
        <v>8.6999284689999996</v>
      </c>
      <c r="AG83">
        <f ca="1">IF(AND($B$294=1,LEN($AG$218) * LEN($AG$209)&gt;0),$AG$218/$AG$209*100,HLOOKUP(INDIRECT(ADDRESS(2,COLUMN())),OFFSET($AT$2,0,0,ROW()-1,40),ROW()-1,FALSE))</f>
        <v>11.405348719999999</v>
      </c>
      <c r="AH83">
        <f ca="1">IF(AND($B$294=1,LEN($AH$218) * LEN($AH$209)&gt;0),$AH$218/$AH$209*100,HLOOKUP(INDIRECT(ADDRESS(2,COLUMN())),OFFSET($AT$2,0,0,ROW()-1,40),ROW()-1,FALSE))</f>
        <v>12.92050944</v>
      </c>
      <c r="AI83">
        <f ca="1">IF(AND($B$294=1,LEN($AI$218) * LEN($AI$209)&gt;0),$AI$218/$AI$209*100,HLOOKUP(INDIRECT(ADDRESS(2,COLUMN())),OFFSET($AT$2,0,0,ROW()-1,40),ROW()-1,FALSE))</f>
        <v>13.319261210000001</v>
      </c>
      <c r="AJ83">
        <f ca="1">IF(AND($B$294=1,LEN($AJ$218) * LEN($AJ$209)&gt;0),$AJ$218/$AJ$209*100,HLOOKUP(INDIRECT(ADDRESS(2,COLUMN())),OFFSET($AT$2,0,0,ROW()-1,40),ROW()-1,FALSE))</f>
        <v>13.96889112</v>
      </c>
      <c r="AK83">
        <f ca="1">IF(AND($B$294=1,LEN($AK$218) * LEN($AK$209)&gt;0),$AK$218/$AK$209*100,HLOOKUP(INDIRECT(ADDRESS(2,COLUMN())),OFFSET($AT$2,0,0,ROW()-1,40),ROW()-1,FALSE))</f>
        <v>14.51867438</v>
      </c>
      <c r="AL83">
        <f ca="1">IF(AND($B$294=1,LEN($AL$218) * LEN($AL$209)&gt;0),$AL$218/$AL$209*100,HLOOKUP(INDIRECT(ADDRESS(2,COLUMN())),OFFSET($AT$2,0,0,ROW()-1,40),ROW()-1,FALSE))</f>
        <v>15.01106195</v>
      </c>
      <c r="AM83">
        <f ca="1">IF(AND($B$294=1,LEN($AM$218) * LEN($AM$209)&gt;0),$AM$218/$AM$209*100,HLOOKUP(INDIRECT(ADDRESS(2,COLUMN())),OFFSET($AT$2,0,0,ROW()-1,40),ROW()-1,FALSE))</f>
        <v>16.066572390000001</v>
      </c>
      <c r="AN83">
        <f ca="1">IF(AND($B$294=1,LEN($AN$218) * LEN($AN$209)&gt;0),$AN$218/$AN$209*100,HLOOKUP(INDIRECT(ADDRESS(2,COLUMN())),OFFSET($AT$2,0,0,ROW()-1,40),ROW()-1,FALSE))</f>
        <v>18.823842939999999</v>
      </c>
      <c r="AO83">
        <f ca="1">IF(AND($B$294=1,LEN($AO$218) * LEN($AO$209)&gt;0),$AO$218/$AO$209*100,HLOOKUP(INDIRECT(ADDRESS(2,COLUMN())),OFFSET($AT$2,0,0,ROW()-1,40),ROW()-1,FALSE))</f>
        <v>16.501691520000001</v>
      </c>
      <c r="AP83">
        <f ca="1">IF(AND($B$294=1,LEN($AP$218) * LEN($AP$209)&gt;0),$AP$218/$AP$209*100,HLOOKUP(INDIRECT(ADDRESS(2,COLUMN())),OFFSET($AT$2,0,0,ROW()-1,40),ROW()-1,FALSE))</f>
        <v>15.36438768</v>
      </c>
      <c r="AQ83">
        <f ca="1">IF(AND($B$294=1,LEN($AQ$218) * LEN($AQ$209)&gt;0),$AQ$218/$AQ$209*100,HLOOKUP(INDIRECT(ADDRESS(2,COLUMN())),OFFSET($AT$2,0,0,ROW()-1,40),ROW()-1,FALSE))</f>
        <v>13.75269523</v>
      </c>
      <c r="AR83">
        <f ca="1">IF(AND($B$294=1,LEN($AR$218) * LEN($AR$209)&gt;0),$AR$218/$AR$209*100,HLOOKUP(INDIRECT(ADDRESS(2,COLUMN())),OFFSET($AT$2,0,0,ROW()-1,40),ROW()-1,FALSE))</f>
        <v>13.21648031</v>
      </c>
      <c r="AS83">
        <f ca="1">IF(AND($B$294=1,LEN($AS$218) * LEN($AS$209)&gt;0),$AS$218/$AS$209*100,HLOOKUP(INDIRECT(ADDRESS(2,COLUMN())),OFFSET($AT$2,0,0,ROW()-1,40),ROW()-1,FALSE))</f>
        <v>10.909580679999999</v>
      </c>
      <c r="AT83">
        <f>13.3484925</f>
        <v>13.348492500000001</v>
      </c>
      <c r="AU83">
        <f>12.50445951</f>
        <v>12.50445951</v>
      </c>
      <c r="AV83">
        <f>13.34554782</f>
        <v>13.34554782</v>
      </c>
      <c r="AW83">
        <f>13.41199784</f>
        <v>13.41199784</v>
      </c>
      <c r="AX83">
        <f>16.63758506</f>
        <v>16.637585059999999</v>
      </c>
      <c r="AY83">
        <f>11.68783697</f>
        <v>11.687836969999999</v>
      </c>
      <c r="AZ83">
        <f>18.68131868</f>
        <v>18.68131868</v>
      </c>
      <c r="BA83">
        <f>17.40547588</f>
        <v>17.405475880000001</v>
      </c>
      <c r="BB83">
        <f>16.78745069</f>
        <v>16.78745069</v>
      </c>
      <c r="BC83">
        <f>22.30475808</f>
        <v>22.304758079999999</v>
      </c>
      <c r="BD83">
        <f>26.16990333</f>
        <v>26.16990333</v>
      </c>
      <c r="BE83">
        <f>22.19302678</f>
        <v>22.19302678</v>
      </c>
      <c r="BF83">
        <f>17.19757123</f>
        <v>17.197571230000001</v>
      </c>
      <c r="BG83">
        <f>14.34841323</f>
        <v>14.34841323</v>
      </c>
      <c r="BH83">
        <f>13.32796132</f>
        <v>13.32796132</v>
      </c>
      <c r="BI83">
        <f>16.00399419</f>
        <v>16.00399419</v>
      </c>
      <c r="BJ83">
        <f>15.41887956</f>
        <v>15.418879560000001</v>
      </c>
      <c r="BK83">
        <f>17.78123855</f>
        <v>17.781238550000001</v>
      </c>
      <c r="BL83">
        <f>22.97488504</f>
        <v>22.97488504</v>
      </c>
      <c r="BM83">
        <f>21.38882537</f>
        <v>21.388825369999999</v>
      </c>
      <c r="BN83">
        <f>16.06839137</f>
        <v>16.068391370000001</v>
      </c>
      <c r="BO83">
        <f>18.39886214</f>
        <v>18.398862139999999</v>
      </c>
      <c r="BP83">
        <f>21.53819624</f>
        <v>21.538196240000001</v>
      </c>
      <c r="BQ83">
        <f>15.62529629</f>
        <v>15.62529629</v>
      </c>
      <c r="BR83">
        <f>14.61730449</f>
        <v>14.61730449</v>
      </c>
      <c r="BS83">
        <f>8.712637413</f>
        <v>8.7126374129999995</v>
      </c>
      <c r="BT83">
        <f>8.699928469</f>
        <v>8.6999284689999996</v>
      </c>
      <c r="BU83">
        <f>11.40534872</f>
        <v>11.405348719999999</v>
      </c>
      <c r="BV83">
        <f>12.92050944</f>
        <v>12.92050944</v>
      </c>
      <c r="BW83">
        <f>13.31926121</f>
        <v>13.319261210000001</v>
      </c>
      <c r="BX83">
        <f>13.96889112</f>
        <v>13.96889112</v>
      </c>
      <c r="BY83">
        <f>14.51867438</f>
        <v>14.51867438</v>
      </c>
      <c r="BZ83">
        <f>15.01106195</f>
        <v>15.01106195</v>
      </c>
      <c r="CA83">
        <f>16.06657239</f>
        <v>16.066572390000001</v>
      </c>
      <c r="CB83">
        <f>18.82384294</f>
        <v>18.823842939999999</v>
      </c>
      <c r="CC83">
        <f>16.50169152</f>
        <v>16.501691520000001</v>
      </c>
      <c r="CD83">
        <f>15.36438768</f>
        <v>15.36438768</v>
      </c>
      <c r="CE83">
        <f>13.75269523</f>
        <v>13.75269523</v>
      </c>
      <c r="CF83">
        <f>13.21648031</f>
        <v>13.21648031</v>
      </c>
      <c r="CG83">
        <f>10.90958068</f>
        <v>10.909580679999999</v>
      </c>
    </row>
    <row r="84" spans="1:85" x14ac:dyDescent="0.25">
      <c r="A84" t="str">
        <f>"    Hino"</f>
        <v xml:space="preserve">    Hino</v>
      </c>
      <c r="B84" t="str">
        <f>""</f>
        <v/>
      </c>
      <c r="E84" t="str">
        <f>"Expression"</f>
        <v>Expression</v>
      </c>
      <c r="F84">
        <f ca="1">IF(AND($B$294=1,LEN($F$219) * LEN($F$209)&gt;0),$F$219/$F$209*100,HLOOKUP(INDIRECT(ADDRESS(2,COLUMN())),OFFSET($AT$2,0,0,ROW()-1,40),ROW()-1,FALSE))</f>
        <v>7.0153276069999997</v>
      </c>
      <c r="G84">
        <f ca="1">IF(AND($B$294=1,LEN($G$219) * LEN($G$209)&gt;0),$G$219/$G$209*100,HLOOKUP(INDIRECT(ADDRESS(2,COLUMN())),OFFSET($AT$2,0,0,ROW()-1,40),ROW()-1,FALSE))</f>
        <v>7.6257581160000001</v>
      </c>
      <c r="H84">
        <f ca="1">IF(AND($B$294=1,LEN($H$219) * LEN($H$209)&gt;0),$H$219/$H$209*100,HLOOKUP(INDIRECT(ADDRESS(2,COLUMN())),OFFSET($AT$2,0,0,ROW()-1,40),ROW()-1,FALSE))</f>
        <v>6.4199340420000004</v>
      </c>
      <c r="I84">
        <f ca="1">IF(AND($B$294=1,LEN($I$219) * LEN($I$209)&gt;0),$I$219/$I$209*100,HLOOKUP(INDIRECT(ADDRESS(2,COLUMN())),OFFSET($AT$2,0,0,ROW()-1,40),ROW()-1,FALSE))</f>
        <v>6.9987389660000003</v>
      </c>
      <c r="J84">
        <f ca="1">IF(AND($B$294=1,LEN($J$219) * LEN($J$209)&gt;0),$J$219/$J$209*100,HLOOKUP(INDIRECT(ADDRESS(2,COLUMN())),OFFSET($AT$2,0,0,ROW()-1,40),ROW()-1,FALSE))</f>
        <v>8.5499912760000001</v>
      </c>
      <c r="K84">
        <f ca="1">IF(AND($B$294=1,LEN($K$219) * LEN($K$209)&gt;0),$K$219/$K$209*100,HLOOKUP(INDIRECT(ADDRESS(2,COLUMN())),OFFSET($AT$2,0,0,ROW()-1,40),ROW()-1,FALSE))</f>
        <v>7.7583843549999996</v>
      </c>
      <c r="L84">
        <f ca="1">IF(AND($B$294=1,LEN($L$219) * LEN($L$209)&gt;0),$L$219/$L$209*100,HLOOKUP(INDIRECT(ADDRESS(2,COLUMN())),OFFSET($AT$2,0,0,ROW()-1,40),ROW()-1,FALSE))</f>
        <v>6.5844724379999997</v>
      </c>
      <c r="M84">
        <f ca="1">IF(AND($B$294=1,LEN($M$219) * LEN($M$209)&gt;0),$M$219/$M$209*100,HLOOKUP(INDIRECT(ADDRESS(2,COLUMN())),OFFSET($AT$2,0,0,ROW()-1,40),ROW()-1,FALSE))</f>
        <v>7.7212806030000003</v>
      </c>
      <c r="N84">
        <f ca="1">IF(AND($B$294=1,LEN($N$219) * LEN($N$209)&gt;0),$N$219/$N$209*100,HLOOKUP(INDIRECT(ADDRESS(2,COLUMN())),OFFSET($AT$2,0,0,ROW()-1,40),ROW()-1,FALSE))</f>
        <v>7.201174204</v>
      </c>
      <c r="O84">
        <f ca="1">IF(AND($B$294=1,LEN($O$219) * LEN($O$209)&gt;0),$O$219/$O$209*100,HLOOKUP(INDIRECT(ADDRESS(2,COLUMN())),OFFSET($AT$2,0,0,ROW()-1,40),ROW()-1,FALSE))</f>
        <v>7.0568159000000001</v>
      </c>
      <c r="P84">
        <f ca="1">IF(AND($B$294=1,LEN($P$219) * LEN($P$209)&gt;0),$P$219/$P$209*100,HLOOKUP(INDIRECT(ADDRESS(2,COLUMN())),OFFSET($AT$2,0,0,ROW()-1,40),ROW()-1,FALSE))</f>
        <v>8.0759688599999997</v>
      </c>
      <c r="Q84">
        <f ca="1">IF(AND($B$294=1,LEN($Q$219) * LEN($Q$209)&gt;0),$Q$219/$Q$209*100,HLOOKUP(INDIRECT(ADDRESS(2,COLUMN())),OFFSET($AT$2,0,0,ROW()-1,40),ROW()-1,FALSE))</f>
        <v>9.4896412330000004</v>
      </c>
      <c r="R84">
        <f ca="1">IF(AND($B$294=1,LEN($R$219) * LEN($R$209)&gt;0),$R$219/$R$209*100,HLOOKUP(INDIRECT(ADDRESS(2,COLUMN())),OFFSET($AT$2,0,0,ROW()-1,40),ROW()-1,FALSE))</f>
        <v>7.4170948159999996</v>
      </c>
      <c r="S84">
        <f ca="1">IF(AND($B$294=1,LEN($S$219) * LEN($S$209)&gt;0),$S$219/$S$209*100,HLOOKUP(INDIRECT(ADDRESS(2,COLUMN())),OFFSET($AT$2,0,0,ROW()-1,40),ROW()-1,FALSE))</f>
        <v>7.2586090480000003</v>
      </c>
      <c r="T84">
        <f ca="1">IF(AND($B$294=1,LEN($T$219) * LEN($T$209)&gt;0),$T$219/$T$209*100,HLOOKUP(INDIRECT(ADDRESS(2,COLUMN())),OFFSET($AT$2,0,0,ROW()-1,40),ROW()-1,FALSE))</f>
        <v>6.4061240929999999</v>
      </c>
      <c r="U84">
        <f ca="1">IF(AND($B$294=1,LEN($U$219) * LEN($U$209)&gt;0),$U$219/$U$209*100,HLOOKUP(INDIRECT(ADDRESS(2,COLUMN())),OFFSET($AT$2,0,0,ROW()-1,40),ROW()-1,FALSE))</f>
        <v>7.071532317</v>
      </c>
      <c r="V84">
        <f ca="1">IF(AND($B$294=1,LEN($V$219) * LEN($V$209)&gt;0),$V$219/$V$209*100,HLOOKUP(INDIRECT(ADDRESS(2,COLUMN())),OFFSET($AT$2,0,0,ROW()-1,40),ROW()-1,FALSE))</f>
        <v>7.9150248420000002</v>
      </c>
      <c r="W84">
        <f ca="1">IF(AND($B$294=1,LEN($W$219) * LEN($W$209)&gt;0),$W$219/$W$209*100,HLOOKUP(INDIRECT(ADDRESS(2,COLUMN())),OFFSET($AT$2,0,0,ROW()-1,40),ROW()-1,FALSE))</f>
        <v>8.4554781969999997</v>
      </c>
      <c r="X84">
        <f ca="1">IF(AND($B$294=1,LEN($X$219) * LEN($X$209)&gt;0),$X$219/$X$209*100,HLOOKUP(INDIRECT(ADDRESS(2,COLUMN())),OFFSET($AT$2,0,0,ROW()-1,40),ROW()-1,FALSE))</f>
        <v>6.1991510439999997</v>
      </c>
      <c r="Y84">
        <f ca="1">IF(AND($B$294=1,LEN($Y$219) * LEN($Y$209)&gt;0),$Y$219/$Y$209*100,HLOOKUP(INDIRECT(ADDRESS(2,COLUMN())),OFFSET($AT$2,0,0,ROW()-1,40),ROW()-1,FALSE))</f>
        <v>11.372818049999999</v>
      </c>
      <c r="Z84">
        <f ca="1">IF(AND($B$294=1,LEN($Z$219) * LEN($Z$209)&gt;0),$Z$219/$Z$209*100,HLOOKUP(INDIRECT(ADDRESS(2,COLUMN())),OFFSET($AT$2,0,0,ROW()-1,40),ROW()-1,FALSE))</f>
        <v>7.9043953089999999</v>
      </c>
      <c r="AA84">
        <f ca="1">IF(AND($B$294=1,LEN($AA$219) * LEN($AA$209)&gt;0),$AA$219/$AA$209*100,HLOOKUP(INDIRECT(ADDRESS(2,COLUMN())),OFFSET($AT$2,0,0,ROW()-1,40),ROW()-1,FALSE))</f>
        <v>7.396119069</v>
      </c>
      <c r="AB84">
        <f ca="1">IF(AND($B$294=1,LEN($AB$219) * LEN($AB$209)&gt;0),$AB$219/$AB$209*100,HLOOKUP(INDIRECT(ADDRESS(2,COLUMN())),OFFSET($AT$2,0,0,ROW()-1,40),ROW()-1,FALSE))</f>
        <v>10.863942059999999</v>
      </c>
      <c r="AC84">
        <f ca="1">IF(AND($B$294=1,LEN($AC$219) * LEN($AC$209)&gt;0),$AC$219/$AC$209*100,HLOOKUP(INDIRECT(ADDRESS(2,COLUMN())),OFFSET($AT$2,0,0,ROW()-1,40),ROW()-1,FALSE))</f>
        <v>8.3056793399999993</v>
      </c>
      <c r="AD84">
        <f ca="1">IF(AND($B$294=1,LEN($AD$219) * LEN($AD$209)&gt;0),$AD$219/$AD$209*100,HLOOKUP(INDIRECT(ADDRESS(2,COLUMN())),OFFSET($AT$2,0,0,ROW()-1,40),ROW()-1,FALSE))</f>
        <v>8.069883527</v>
      </c>
      <c r="AE84">
        <f ca="1">IF(AND($B$294=1,LEN($AE$219) * LEN($AE$209)&gt;0),$AE$219/$AE$209*100,HLOOKUP(INDIRECT(ADDRESS(2,COLUMN())),OFFSET($AT$2,0,0,ROW()-1,40),ROW()-1,FALSE))</f>
        <v>8.3764876899999994</v>
      </c>
      <c r="AF84">
        <f ca="1">IF(AND($B$294=1,LEN($AF$219) * LEN($AF$209)&gt;0),$AF$219/$AF$209*100,HLOOKUP(INDIRECT(ADDRESS(2,COLUMN())),OFFSET($AT$2,0,0,ROW()-1,40),ROW()-1,FALSE))</f>
        <v>8.1455650930000001</v>
      </c>
      <c r="AG84">
        <f ca="1">IF(AND($B$294=1,LEN($AG$219) * LEN($AG$209)&gt;0),$AG$219/$AG$209*100,HLOOKUP(INDIRECT(ADDRESS(2,COLUMN())),OFFSET($AT$2,0,0,ROW()-1,40),ROW()-1,FALSE))</f>
        <v>7.7608809650000001</v>
      </c>
      <c r="AH84">
        <f ca="1">IF(AND($B$294=1,LEN($AH$219) * LEN($AH$209)&gt;0),$AH$219/$AH$209*100,HLOOKUP(INDIRECT(ADDRESS(2,COLUMN())),OFFSET($AT$2,0,0,ROW()-1,40),ROW()-1,FALSE))</f>
        <v>7.8612209049999997</v>
      </c>
      <c r="AI84">
        <f ca="1">IF(AND($B$294=1,LEN($AI$219) * LEN($AI$209)&gt;0),$AI$219/$AI$209*100,HLOOKUP(INDIRECT(ADDRESS(2,COLUMN())),OFFSET($AT$2,0,0,ROW()-1,40),ROW()-1,FALSE))</f>
        <v>7.5778364119999999</v>
      </c>
      <c r="AJ84">
        <f ca="1">IF(AND($B$294=1,LEN($AJ$219) * LEN($AJ$209)&gt;0),$AJ$219/$AJ$209*100,HLOOKUP(INDIRECT(ADDRESS(2,COLUMN())),OFFSET($AT$2,0,0,ROW()-1,40),ROW()-1,FALSE))</f>
        <v>8.0983442050000001</v>
      </c>
      <c r="AK84">
        <f ca="1">IF(AND($B$294=1,LEN($AK$219) * LEN($AK$209)&gt;0),$AK$219/$AK$209*100,HLOOKUP(INDIRECT(ADDRESS(2,COLUMN())),OFFSET($AT$2,0,0,ROW()-1,40),ROW()-1,FALSE))</f>
        <v>12.274241630000001</v>
      </c>
      <c r="AL84">
        <f ca="1">IF(AND($B$294=1,LEN($AL$219) * LEN($AL$209)&gt;0),$AL$219/$AL$209*100,HLOOKUP(INDIRECT(ADDRESS(2,COLUMN())),OFFSET($AT$2,0,0,ROW()-1,40),ROW()-1,FALSE))</f>
        <v>8.6283185840000005</v>
      </c>
      <c r="AM84">
        <f ca="1">IF(AND($B$294=1,LEN($AM$219) * LEN($AM$209)&gt;0),$AM$219/$AM$209*100,HLOOKUP(INDIRECT(ADDRESS(2,COLUMN())),OFFSET($AT$2,0,0,ROW()-1,40),ROW()-1,FALSE))</f>
        <v>6.4179266830000001</v>
      </c>
      <c r="AN84">
        <f ca="1">IF(AND($B$294=1,LEN($AN$219) * LEN($AN$209)&gt;0),$AN$219/$AN$209*100,HLOOKUP(INDIRECT(ADDRESS(2,COLUMN())),OFFSET($AT$2,0,0,ROW()-1,40),ROW()-1,FALSE))</f>
        <v>12.2412721</v>
      </c>
      <c r="AO84">
        <f ca="1">IF(AND($B$294=1,LEN($AO$219) * LEN($AO$209)&gt;0),$AO$219/$AO$209*100,HLOOKUP(INDIRECT(ADDRESS(2,COLUMN())),OFFSET($AT$2,0,0,ROW()-1,40),ROW()-1,FALSE))</f>
        <v>10.600175419999999</v>
      </c>
      <c r="AP84">
        <f ca="1">IF(AND($B$294=1,LEN($AP$219) * LEN($AP$209)&gt;0),$AP$219/$AP$209*100,HLOOKUP(INDIRECT(ADDRESS(2,COLUMN())),OFFSET($AT$2,0,0,ROW()-1,40),ROW()-1,FALSE))</f>
        <v>7.1844477839999996</v>
      </c>
      <c r="AQ84">
        <f ca="1">IF(AND($B$294=1,LEN($AQ$219) * LEN($AQ$209)&gt;0),$AQ$219/$AQ$209*100,HLOOKUP(INDIRECT(ADDRESS(2,COLUMN())),OFFSET($AT$2,0,0,ROW()-1,40),ROW()-1,FALSE))</f>
        <v>6.9372832100000004</v>
      </c>
      <c r="AR84">
        <f ca="1">IF(AND($B$294=1,LEN($AR$219) * LEN($AR$209)&gt;0),$AR$219/$AR$209*100,HLOOKUP(INDIRECT(ADDRESS(2,COLUMN())),OFFSET($AT$2,0,0,ROW()-1,40),ROW()-1,FALSE))</f>
        <v>7.3133877299999996</v>
      </c>
      <c r="AS84">
        <f ca="1">IF(AND($B$294=1,LEN($AS$219) * LEN($AS$209)&gt;0),$AS$219/$AS$209*100,HLOOKUP(INDIRECT(ADDRESS(2,COLUMN())),OFFSET($AT$2,0,0,ROW()-1,40),ROW()-1,FALSE))</f>
        <v>6.2853551230000004</v>
      </c>
      <c r="AT84">
        <f>7.015327607</f>
        <v>7.0153276069999997</v>
      </c>
      <c r="AU84">
        <f>7.625758116</f>
        <v>7.6257581160000001</v>
      </c>
      <c r="AV84">
        <f>6.419934042</f>
        <v>6.4199340420000004</v>
      </c>
      <c r="AW84">
        <f>6.998738966</f>
        <v>6.9987389660000003</v>
      </c>
      <c r="AX84">
        <f>8.549991276</f>
        <v>8.5499912760000001</v>
      </c>
      <c r="AY84">
        <f>7.758384355</f>
        <v>7.7583843549999996</v>
      </c>
      <c r="AZ84">
        <f>6.584472438</f>
        <v>6.5844724379999997</v>
      </c>
      <c r="BA84">
        <f>7.721280603</f>
        <v>7.7212806030000003</v>
      </c>
      <c r="BB84">
        <f>7.201174204</f>
        <v>7.201174204</v>
      </c>
      <c r="BC84">
        <f>7.0568159</f>
        <v>7.0568159000000001</v>
      </c>
      <c r="BD84">
        <f>8.07596886</f>
        <v>8.0759688599999997</v>
      </c>
      <c r="BE84">
        <f>9.489641233</f>
        <v>9.4896412330000004</v>
      </c>
      <c r="BF84">
        <f>7.417094816</f>
        <v>7.4170948159999996</v>
      </c>
      <c r="BG84">
        <f>7.258609048</f>
        <v>7.2586090480000003</v>
      </c>
      <c r="BH84">
        <f>6.406124093</f>
        <v>6.4061240929999999</v>
      </c>
      <c r="BI84">
        <f>7.071532317</f>
        <v>7.071532317</v>
      </c>
      <c r="BJ84">
        <f>7.915024842</f>
        <v>7.9150248420000002</v>
      </c>
      <c r="BK84">
        <f>8.455478197</f>
        <v>8.4554781969999997</v>
      </c>
      <c r="BL84">
        <f>6.199151044</f>
        <v>6.1991510439999997</v>
      </c>
      <c r="BM84">
        <f>11.37281805</f>
        <v>11.372818049999999</v>
      </c>
      <c r="BN84">
        <f>7.904395309</f>
        <v>7.9043953089999999</v>
      </c>
      <c r="BO84">
        <f>7.396119069</f>
        <v>7.396119069</v>
      </c>
      <c r="BP84">
        <f>10.86394206</f>
        <v>10.863942059999999</v>
      </c>
      <c r="BQ84">
        <f>8.30567934</f>
        <v>8.3056793399999993</v>
      </c>
      <c r="BR84">
        <f>8.069883527</f>
        <v>8.069883527</v>
      </c>
      <c r="BS84">
        <f>8.37648769</f>
        <v>8.3764876899999994</v>
      </c>
      <c r="BT84">
        <f>8.145565093</f>
        <v>8.1455650930000001</v>
      </c>
      <c r="BU84">
        <f>7.760880965</f>
        <v>7.7608809650000001</v>
      </c>
      <c r="BV84">
        <f>7.861220905</f>
        <v>7.8612209049999997</v>
      </c>
      <c r="BW84">
        <f>7.577836412</f>
        <v>7.5778364119999999</v>
      </c>
      <c r="BX84">
        <f>8.098344205</f>
        <v>8.0983442050000001</v>
      </c>
      <c r="BY84">
        <f>12.27424163</f>
        <v>12.274241630000001</v>
      </c>
      <c r="BZ84">
        <f>8.628318584</f>
        <v>8.6283185840000005</v>
      </c>
      <c r="CA84">
        <f>6.417926683</f>
        <v>6.4179266830000001</v>
      </c>
      <c r="CB84">
        <f>12.2412721</f>
        <v>12.2412721</v>
      </c>
      <c r="CC84">
        <f>10.60017542</f>
        <v>10.600175419999999</v>
      </c>
      <c r="CD84">
        <f>7.184447784</f>
        <v>7.1844477839999996</v>
      </c>
      <c r="CE84">
        <f>6.93728321</f>
        <v>6.9372832100000004</v>
      </c>
      <c r="CF84">
        <f>7.31338773</f>
        <v>7.3133877299999996</v>
      </c>
      <c r="CG84">
        <f>6.285355123</f>
        <v>6.2853551230000004</v>
      </c>
    </row>
    <row r="85" spans="1:85" x14ac:dyDescent="0.25">
      <c r="A85" t="str">
        <f>"    Volvo"</f>
        <v xml:space="preserve">    Volvo</v>
      </c>
      <c r="B85" t="str">
        <f>""</f>
        <v/>
      </c>
      <c r="E85" t="str">
        <f>"Sum"</f>
        <v>Sum</v>
      </c>
      <c r="F85" t="str">
        <f ca="1">IF(ISERROR(IF(SUM($F$86:$F$88) = 0, "", SUM($F$86:$F$88))), "", (IF(SUM($F$86:$F$88) = 0, "", SUM($F$86:$F$88))))</f>
        <v/>
      </c>
      <c r="G85" t="str">
        <f ca="1">IF(ISERROR(IF(SUM($G$86:$G$88) = 0, "", SUM($G$86:$G$88))), "", (IF(SUM($G$86:$G$88) = 0, "", SUM($G$86:$G$88))))</f>
        <v/>
      </c>
      <c r="H85" t="str">
        <f ca="1">IF(ISERROR(IF(SUM($H$86:$H$88) = 0, "", SUM($H$86:$H$88))), "", (IF(SUM($H$86:$H$88) = 0, "", SUM($H$86:$H$88))))</f>
        <v/>
      </c>
      <c r="I85" t="str">
        <f ca="1">IF(ISERROR(IF(SUM($I$86:$I$88) = 0, "", SUM($I$86:$I$88))), "", (IF(SUM($I$86:$I$88) = 0, "", SUM($I$86:$I$88))))</f>
        <v/>
      </c>
      <c r="J85" t="str">
        <f ca="1">IF(ISERROR(IF(SUM($J$86:$J$88) = 0, "", SUM($J$86:$J$88))), "", (IF(SUM($J$86:$J$88) = 0, "", SUM($J$86:$J$88))))</f>
        <v/>
      </c>
      <c r="K85" t="str">
        <f ca="1">IF(ISERROR(IF(SUM($K$86:$K$88) = 0, "", SUM($K$86:$K$88))), "", (IF(SUM($K$86:$K$88) = 0, "", SUM($K$86:$K$88))))</f>
        <v/>
      </c>
      <c r="L85" t="str">
        <f ca="1">IF(ISERROR(IF(SUM($L$86:$L$88) = 0, "", SUM($L$86:$L$88))), "", (IF(SUM($L$86:$L$88) = 0, "", SUM($L$86:$L$88))))</f>
        <v/>
      </c>
      <c r="M85" t="str">
        <f ca="1">IF(ISERROR(IF(SUM($M$86:$M$88) = 0, "", SUM($M$86:$M$88))), "", (IF(SUM($M$86:$M$88) = 0, "", SUM($M$86:$M$88))))</f>
        <v/>
      </c>
      <c r="N85" t="str">
        <f ca="1">IF(ISERROR(IF(SUM($N$86:$N$88) = 0, "", SUM($N$86:$N$88))), "", (IF(SUM($N$86:$N$88) = 0, "", SUM($N$86:$N$88))))</f>
        <v/>
      </c>
      <c r="O85" t="str">
        <f ca="1">IF(ISERROR(IF(SUM($O$86:$O$88) = 0, "", SUM($O$86:$O$88))), "", (IF(SUM($O$86:$O$88) = 0, "", SUM($O$86:$O$88))))</f>
        <v/>
      </c>
      <c r="P85" t="str">
        <f ca="1">IF(ISERROR(IF(SUM($P$86:$P$88) = 0, "", SUM($P$86:$P$88))), "", (IF(SUM($P$86:$P$88) = 0, "", SUM($P$86:$P$88))))</f>
        <v/>
      </c>
      <c r="Q85" t="str">
        <f ca="1">IF(ISERROR(IF(SUM($Q$86:$Q$88) = 0, "", SUM($Q$86:$Q$88))), "", (IF(SUM($Q$86:$Q$88) = 0, "", SUM($Q$86:$Q$88))))</f>
        <v/>
      </c>
      <c r="R85" t="str">
        <f ca="1">IF(ISERROR(IF(SUM($R$86:$R$88) = 0, "", SUM($R$86:$R$88))), "", (IF(SUM($R$86:$R$88) = 0, "", SUM($R$86:$R$88))))</f>
        <v/>
      </c>
      <c r="S85" t="str">
        <f ca="1">IF(ISERROR(IF(SUM($S$86:$S$88) = 0, "", SUM($S$86:$S$88))), "", (IF(SUM($S$86:$S$88) = 0, "", SUM($S$86:$S$88))))</f>
        <v/>
      </c>
      <c r="T85" t="str">
        <f ca="1">IF(ISERROR(IF(SUM($T$86:$T$88) = 0, "", SUM($T$86:$T$88))), "", (IF(SUM($T$86:$T$88) = 0, "", SUM($T$86:$T$88))))</f>
        <v/>
      </c>
      <c r="U85" t="str">
        <f ca="1">IF(ISERROR(IF(SUM($U$86:$U$88) = 0, "", SUM($U$86:$U$88))), "", (IF(SUM($U$86:$U$88) = 0, "", SUM($U$86:$U$88))))</f>
        <v/>
      </c>
      <c r="V85" t="str">
        <f ca="1">IF(ISERROR(IF(SUM($V$86:$V$88) = 0, "", SUM($V$86:$V$88))), "", (IF(SUM($V$86:$V$88) = 0, "", SUM($V$86:$V$88))))</f>
        <v/>
      </c>
      <c r="W85" t="str">
        <f ca="1">IF(ISERROR(IF(SUM($W$86:$W$88) = 0, "", SUM($W$86:$W$88))), "", (IF(SUM($W$86:$W$88) = 0, "", SUM($W$86:$W$88))))</f>
        <v/>
      </c>
      <c r="X85" t="str">
        <f ca="1">IF(ISERROR(IF(SUM($X$86:$X$88) = 0, "", SUM($X$86:$X$88))), "", (IF(SUM($X$86:$X$88) = 0, "", SUM($X$86:$X$88))))</f>
        <v/>
      </c>
      <c r="Y85" t="str">
        <f ca="1">IF(ISERROR(IF(SUM($Y$86:$Y$88) = 0, "", SUM($Y$86:$Y$88))), "", (IF(SUM($Y$86:$Y$88) = 0, "", SUM($Y$86:$Y$88))))</f>
        <v/>
      </c>
      <c r="Z85" t="str">
        <f ca="1">IF(ISERROR(IF(SUM($Z$86:$Z$88) = 0, "", SUM($Z$86:$Z$88))), "", (IF(SUM($Z$86:$Z$88) = 0, "", SUM($Z$86:$Z$88))))</f>
        <v/>
      </c>
      <c r="AA85" t="str">
        <f ca="1">IF(ISERROR(IF(SUM($AA$86:$AA$88) = 0, "", SUM($AA$86:$AA$88))), "", (IF(SUM($AA$86:$AA$88) = 0, "", SUM($AA$86:$AA$88))))</f>
        <v/>
      </c>
      <c r="AB85" t="str">
        <f ca="1">IF(ISERROR(IF(SUM($AB$86:$AB$88) = 0, "", SUM($AB$86:$AB$88))), "", (IF(SUM($AB$86:$AB$88) = 0, "", SUM($AB$86:$AB$88))))</f>
        <v/>
      </c>
      <c r="AC85" t="str">
        <f ca="1">IF(ISERROR(IF(SUM($AC$86:$AC$88) = 0, "", SUM($AC$86:$AC$88))), "", (IF(SUM($AC$86:$AC$88) = 0, "", SUM($AC$86:$AC$88))))</f>
        <v/>
      </c>
      <c r="AD85" t="str">
        <f ca="1">IF(ISERROR(IF(SUM($AD$86:$AD$88) = 0, "", SUM($AD$86:$AD$88))), "", (IF(SUM($AD$86:$AD$88) = 0, "", SUM($AD$86:$AD$88))))</f>
        <v/>
      </c>
      <c r="AE85" t="str">
        <f ca="1">IF(ISERROR(IF(SUM($AE$86:$AE$88) = 0, "", SUM($AE$86:$AE$88))), "", (IF(SUM($AE$86:$AE$88) = 0, "", SUM($AE$86:$AE$88))))</f>
        <v/>
      </c>
      <c r="AF85" t="str">
        <f ca="1">IF(ISERROR(IF(SUM($AF$86:$AF$88) = 0, "", SUM($AF$86:$AF$88))), "", (IF(SUM($AF$86:$AF$88) = 0, "", SUM($AF$86:$AF$88))))</f>
        <v/>
      </c>
      <c r="AG85" t="str">
        <f ca="1">IF(ISERROR(IF(SUM($AG$86:$AG$88) = 0, "", SUM($AG$86:$AG$88))), "", (IF(SUM($AG$86:$AG$88) = 0, "", SUM($AG$86:$AG$88))))</f>
        <v/>
      </c>
      <c r="AH85" t="str">
        <f ca="1">IF(ISERROR(IF(SUM($AH$86:$AH$88) = 0, "", SUM($AH$86:$AH$88))), "", (IF(SUM($AH$86:$AH$88) = 0, "", SUM($AH$86:$AH$88))))</f>
        <v/>
      </c>
      <c r="AI85" t="str">
        <f ca="1">IF(ISERROR(IF(SUM($AI$86:$AI$88) = 0, "", SUM($AI$86:$AI$88))), "", (IF(SUM($AI$86:$AI$88) = 0, "", SUM($AI$86:$AI$88))))</f>
        <v/>
      </c>
      <c r="AJ85" t="str">
        <f ca="1">IF(ISERROR(IF(SUM($AJ$86:$AJ$88) = 0, "", SUM($AJ$86:$AJ$88))), "", (IF(SUM($AJ$86:$AJ$88) = 0, "", SUM($AJ$86:$AJ$88))))</f>
        <v/>
      </c>
      <c r="AK85" t="str">
        <f ca="1">IF(ISERROR(IF(SUM($AK$86:$AK$88) = 0, "", SUM($AK$86:$AK$88))), "", (IF(SUM($AK$86:$AK$88) = 0, "", SUM($AK$86:$AK$88))))</f>
        <v/>
      </c>
      <c r="AL85" t="str">
        <f ca="1">IF(ISERROR(IF(SUM($AL$86:$AL$88) = 0, "", SUM($AL$86:$AL$88))), "", (IF(SUM($AL$86:$AL$88) = 0, "", SUM($AL$86:$AL$88))))</f>
        <v/>
      </c>
      <c r="AM85" t="str">
        <f ca="1">IF(ISERROR(IF(SUM($AM$86:$AM$88) = 0, "", SUM($AM$86:$AM$88))), "", (IF(SUM($AM$86:$AM$88) = 0, "", SUM($AM$86:$AM$88))))</f>
        <v/>
      </c>
      <c r="AN85" t="str">
        <f ca="1">IF(ISERROR(IF(SUM($AN$86:$AN$88) = 0, "", SUM($AN$86:$AN$88))), "", (IF(SUM($AN$86:$AN$88) = 0, "", SUM($AN$86:$AN$88))))</f>
        <v/>
      </c>
      <c r="AO85" t="str">
        <f ca="1">IF(ISERROR(IF(SUM($AO$86:$AO$88) = 0, "", SUM($AO$86:$AO$88))), "", (IF(SUM($AO$86:$AO$88) = 0, "", SUM($AO$86:$AO$88))))</f>
        <v/>
      </c>
      <c r="AP85" t="str">
        <f ca="1">IF(ISERROR(IF(SUM($AP$86:$AP$88) = 0, "", SUM($AP$86:$AP$88))), "", (IF(SUM($AP$86:$AP$88) = 0, "", SUM($AP$86:$AP$88))))</f>
        <v/>
      </c>
      <c r="AQ85" t="str">
        <f ca="1">IF(ISERROR(IF(SUM($AQ$86:$AQ$88) = 0, "", SUM($AQ$86:$AQ$88))), "", (IF(SUM($AQ$86:$AQ$88) = 0, "", SUM($AQ$86:$AQ$88))))</f>
        <v/>
      </c>
      <c r="AR85" t="str">
        <f ca="1">IF(ISERROR(IF(SUM($AR$86:$AR$88) = 0, "", SUM($AR$86:$AR$88))), "", (IF(SUM($AR$86:$AR$88) = 0, "", SUM($AR$86:$AR$88))))</f>
        <v/>
      </c>
      <c r="AS85" t="str">
        <f ca="1">IF(ISERROR(IF(SUM($AS$86:$AS$88) = 0, "", SUM($AS$86:$AS$88))), "", (IF(SUM($AS$86:$AS$88) = 0, "", SUM($AS$86:$AS$88))))</f>
        <v/>
      </c>
      <c r="AT85" t="str">
        <f>""</f>
        <v/>
      </c>
      <c r="AU85" t="str">
        <f>""</f>
        <v/>
      </c>
      <c r="AV85" t="str">
        <f>""</f>
        <v/>
      </c>
      <c r="AW85" t="str">
        <f>""</f>
        <v/>
      </c>
      <c r="AX85" t="str">
        <f>""</f>
        <v/>
      </c>
      <c r="AY85" t="str">
        <f>""</f>
        <v/>
      </c>
      <c r="AZ85" t="str">
        <f>""</f>
        <v/>
      </c>
      <c r="BA85" t="str">
        <f>""</f>
        <v/>
      </c>
      <c r="BB85" t="str">
        <f>""</f>
        <v/>
      </c>
      <c r="BC85" t="str">
        <f>""</f>
        <v/>
      </c>
      <c r="BD85" t="str">
        <f>""</f>
        <v/>
      </c>
      <c r="BE85" t="str">
        <f>""</f>
        <v/>
      </c>
      <c r="BF85" t="str">
        <f>""</f>
        <v/>
      </c>
      <c r="BG85" t="str">
        <f>""</f>
        <v/>
      </c>
      <c r="BH85" t="str">
        <f>""</f>
        <v/>
      </c>
      <c r="BI85" t="str">
        <f>""</f>
        <v/>
      </c>
      <c r="BJ85" t="str">
        <f>""</f>
        <v/>
      </c>
      <c r="BK85" t="str">
        <f>""</f>
        <v/>
      </c>
      <c r="BL85" t="str">
        <f>""</f>
        <v/>
      </c>
      <c r="BM85" t="str">
        <f>""</f>
        <v/>
      </c>
      <c r="BN85" t="str">
        <f>""</f>
        <v/>
      </c>
      <c r="BO85" t="str">
        <f>""</f>
        <v/>
      </c>
      <c r="BP85" t="str">
        <f>""</f>
        <v/>
      </c>
      <c r="BQ85" t="str">
        <f>""</f>
        <v/>
      </c>
      <c r="BR85" t="str">
        <f>""</f>
        <v/>
      </c>
      <c r="BS85" t="str">
        <f>""</f>
        <v/>
      </c>
      <c r="BT85" t="str">
        <f>""</f>
        <v/>
      </c>
      <c r="BU85" t="str">
        <f>""</f>
        <v/>
      </c>
      <c r="BV85" t="str">
        <f>""</f>
        <v/>
      </c>
      <c r="BW85" t="str">
        <f>""</f>
        <v/>
      </c>
      <c r="BX85" t="str">
        <f>""</f>
        <v/>
      </c>
      <c r="BY85" t="str">
        <f>""</f>
        <v/>
      </c>
      <c r="BZ85" t="str">
        <f>""</f>
        <v/>
      </c>
      <c r="CA85" t="str">
        <f>""</f>
        <v/>
      </c>
      <c r="CB85" t="str">
        <f>""</f>
        <v/>
      </c>
      <c r="CC85" t="str">
        <f>""</f>
        <v/>
      </c>
      <c r="CD85" t="str">
        <f>""</f>
        <v/>
      </c>
      <c r="CE85" t="str">
        <f>""</f>
        <v/>
      </c>
      <c r="CF85" t="str">
        <f>""</f>
        <v/>
      </c>
      <c r="CG85" t="str">
        <f>""</f>
        <v/>
      </c>
    </row>
    <row r="86" spans="1:85" x14ac:dyDescent="0.25">
      <c r="A86" t="str">
        <f>"        Mack"</f>
        <v xml:space="preserve">        Mack</v>
      </c>
      <c r="B86" t="str">
        <f>""</f>
        <v/>
      </c>
      <c r="E86" t="str">
        <f>"Expression"</f>
        <v>Expression</v>
      </c>
      <c r="F86" t="str">
        <f ca="1">IF(AND($B$294=1,LEN($F$223) * LEN($F$209)&gt;0),$F$223/$F$209*100,HLOOKUP(INDIRECT(ADDRESS(2,COLUMN())),OFFSET($AT$2,0,0,ROW()-1,40),ROW()-1,FALSE))</f>
        <v/>
      </c>
      <c r="G86" t="str">
        <f ca="1">IF(AND($B$294=1,LEN($G$223) * LEN($G$209)&gt;0),$G$223/$G$209*100,HLOOKUP(INDIRECT(ADDRESS(2,COLUMN())),OFFSET($AT$2,0,0,ROW()-1,40),ROW()-1,FALSE))</f>
        <v/>
      </c>
      <c r="H86" t="str">
        <f ca="1">IF(AND($B$294=1,LEN($H$223) * LEN($H$209)&gt;0),$H$223/$H$209*100,HLOOKUP(INDIRECT(ADDRESS(2,COLUMN())),OFFSET($AT$2,0,0,ROW()-1,40),ROW()-1,FALSE))</f>
        <v/>
      </c>
      <c r="I86" t="str">
        <f ca="1">IF(AND($B$294=1,LEN($I$223) * LEN($I$209)&gt;0),$I$223/$I$209*100,HLOOKUP(INDIRECT(ADDRESS(2,COLUMN())),OFFSET($AT$2,0,0,ROW()-1,40),ROW()-1,FALSE))</f>
        <v/>
      </c>
      <c r="J86" t="str">
        <f ca="1">IF(AND($B$294=1,LEN($J$223) * LEN($J$209)&gt;0),$J$223/$J$209*100,HLOOKUP(INDIRECT(ADDRESS(2,COLUMN())),OFFSET($AT$2,0,0,ROW()-1,40),ROW()-1,FALSE))</f>
        <v/>
      </c>
      <c r="K86" t="str">
        <f ca="1">IF(AND($B$294=1,LEN($K$223) * LEN($K$209)&gt;0),$K$223/$K$209*100,HLOOKUP(INDIRECT(ADDRESS(2,COLUMN())),OFFSET($AT$2,0,0,ROW()-1,40),ROW()-1,FALSE))</f>
        <v/>
      </c>
      <c r="L86" t="str">
        <f ca="1">IF(AND($B$294=1,LEN($L$223) * LEN($L$209)&gt;0),$L$223/$L$209*100,HLOOKUP(INDIRECT(ADDRESS(2,COLUMN())),OFFSET($AT$2,0,0,ROW()-1,40),ROW()-1,FALSE))</f>
        <v/>
      </c>
      <c r="M86" t="str">
        <f ca="1">IF(AND($B$294=1,LEN($M$223) * LEN($M$209)&gt;0),$M$223/$M$209*100,HLOOKUP(INDIRECT(ADDRESS(2,COLUMN())),OFFSET($AT$2,0,0,ROW()-1,40),ROW()-1,FALSE))</f>
        <v/>
      </c>
      <c r="N86" t="str">
        <f ca="1">IF(AND($B$294=1,LEN($N$223) * LEN($N$209)&gt;0),$N$223/$N$209*100,HLOOKUP(INDIRECT(ADDRESS(2,COLUMN())),OFFSET($AT$2,0,0,ROW()-1,40),ROW()-1,FALSE))</f>
        <v/>
      </c>
      <c r="O86" t="str">
        <f ca="1">IF(AND($B$294=1,LEN($O$223) * LEN($O$209)&gt;0),$O$223/$O$209*100,HLOOKUP(INDIRECT(ADDRESS(2,COLUMN())),OFFSET($AT$2,0,0,ROW()-1,40),ROW()-1,FALSE))</f>
        <v/>
      </c>
      <c r="P86" t="str">
        <f ca="1">IF(AND($B$294=1,LEN($P$223) * LEN($P$209)&gt;0),$P$223/$P$209*100,HLOOKUP(INDIRECT(ADDRESS(2,COLUMN())),OFFSET($AT$2,0,0,ROW()-1,40),ROW()-1,FALSE))</f>
        <v/>
      </c>
      <c r="Q86" t="str">
        <f ca="1">IF(AND($B$294=1,LEN($Q$223) * LEN($Q$209)&gt;0),$Q$223/$Q$209*100,HLOOKUP(INDIRECT(ADDRESS(2,COLUMN())),OFFSET($AT$2,0,0,ROW()-1,40),ROW()-1,FALSE))</f>
        <v/>
      </c>
      <c r="R86" t="str">
        <f ca="1">IF(AND($B$294=1,LEN($R$223) * LEN($R$209)&gt;0),$R$223/$R$209*100,HLOOKUP(INDIRECT(ADDRESS(2,COLUMN())),OFFSET($AT$2,0,0,ROW()-1,40),ROW()-1,FALSE))</f>
        <v/>
      </c>
      <c r="S86" t="str">
        <f ca="1">IF(AND($B$294=1,LEN($S$223) * LEN($S$209)&gt;0),$S$223/$S$209*100,HLOOKUP(INDIRECT(ADDRESS(2,COLUMN())),OFFSET($AT$2,0,0,ROW()-1,40),ROW()-1,FALSE))</f>
        <v/>
      </c>
      <c r="T86" t="str">
        <f ca="1">IF(AND($B$294=1,LEN($T$223) * LEN($T$209)&gt;0),$T$223/$T$209*100,HLOOKUP(INDIRECT(ADDRESS(2,COLUMN())),OFFSET($AT$2,0,0,ROW()-1,40),ROW()-1,FALSE))</f>
        <v/>
      </c>
      <c r="U86" t="str">
        <f ca="1">IF(AND($B$294=1,LEN($U$223) * LEN($U$209)&gt;0),$U$223/$U$209*100,HLOOKUP(INDIRECT(ADDRESS(2,COLUMN())),OFFSET($AT$2,0,0,ROW()-1,40),ROW()-1,FALSE))</f>
        <v/>
      </c>
      <c r="V86" t="str">
        <f ca="1">IF(AND($B$294=1,LEN($V$223) * LEN($V$209)&gt;0),$V$223/$V$209*100,HLOOKUP(INDIRECT(ADDRESS(2,COLUMN())),OFFSET($AT$2,0,0,ROW()-1,40),ROW()-1,FALSE))</f>
        <v/>
      </c>
      <c r="W86" t="str">
        <f ca="1">IF(AND($B$294=1,LEN($W$223) * LEN($W$209)&gt;0),$W$223/$W$209*100,HLOOKUP(INDIRECT(ADDRESS(2,COLUMN())),OFFSET($AT$2,0,0,ROW()-1,40),ROW()-1,FALSE))</f>
        <v/>
      </c>
      <c r="X86" t="str">
        <f ca="1">IF(AND($B$294=1,LEN($X$223) * LEN($X$209)&gt;0),$X$223/$X$209*100,HLOOKUP(INDIRECT(ADDRESS(2,COLUMN())),OFFSET($AT$2,0,0,ROW()-1,40),ROW()-1,FALSE))</f>
        <v/>
      </c>
      <c r="Y86" t="str">
        <f ca="1">IF(AND($B$294=1,LEN($Y$223) * LEN($Y$209)&gt;0),$Y$223/$Y$209*100,HLOOKUP(INDIRECT(ADDRESS(2,COLUMN())),OFFSET($AT$2,0,0,ROW()-1,40),ROW()-1,FALSE))</f>
        <v/>
      </c>
      <c r="Z86" t="str">
        <f ca="1">IF(AND($B$294=1,LEN($Z$223) * LEN($Z$209)&gt;0),$Z$223/$Z$209*100,HLOOKUP(INDIRECT(ADDRESS(2,COLUMN())),OFFSET($AT$2,0,0,ROW()-1,40),ROW()-1,FALSE))</f>
        <v/>
      </c>
      <c r="AA86" t="str">
        <f ca="1">IF(AND($B$294=1,LEN($AA$223) * LEN($AA$209)&gt;0),$AA$223/$AA$209*100,HLOOKUP(INDIRECT(ADDRESS(2,COLUMN())),OFFSET($AT$2,0,0,ROW()-1,40),ROW()-1,FALSE))</f>
        <v/>
      </c>
      <c r="AB86" t="str">
        <f ca="1">IF(AND($B$294=1,LEN($AB$223) * LEN($AB$209)&gt;0),$AB$223/$AB$209*100,HLOOKUP(INDIRECT(ADDRESS(2,COLUMN())),OFFSET($AT$2,0,0,ROW()-1,40),ROW()-1,FALSE))</f>
        <v/>
      </c>
      <c r="AC86" t="str">
        <f ca="1">IF(AND($B$294=1,LEN($AC$223) * LEN($AC$209)&gt;0),$AC$223/$AC$209*100,HLOOKUP(INDIRECT(ADDRESS(2,COLUMN())),OFFSET($AT$2,0,0,ROW()-1,40),ROW()-1,FALSE))</f>
        <v/>
      </c>
      <c r="AD86" t="str">
        <f ca="1">IF(AND($B$294=1,LEN($AD$223) * LEN($AD$209)&gt;0),$AD$223/$AD$209*100,HLOOKUP(INDIRECT(ADDRESS(2,COLUMN())),OFFSET($AT$2,0,0,ROW()-1,40),ROW()-1,FALSE))</f>
        <v/>
      </c>
      <c r="AE86" t="str">
        <f ca="1">IF(AND($B$294=1,LEN($AE$223) * LEN($AE$209)&gt;0),$AE$223/$AE$209*100,HLOOKUP(INDIRECT(ADDRESS(2,COLUMN())),OFFSET($AT$2,0,0,ROW()-1,40),ROW()-1,FALSE))</f>
        <v/>
      </c>
      <c r="AF86" t="str">
        <f ca="1">IF(AND($B$294=1,LEN($AF$223) * LEN($AF$209)&gt;0),$AF$223/$AF$209*100,HLOOKUP(INDIRECT(ADDRESS(2,COLUMN())),OFFSET($AT$2,0,0,ROW()-1,40),ROW()-1,FALSE))</f>
        <v/>
      </c>
      <c r="AG86" t="str">
        <f ca="1">IF(AND($B$294=1,LEN($AG$223) * LEN($AG$209)&gt;0),$AG$223/$AG$209*100,HLOOKUP(INDIRECT(ADDRESS(2,COLUMN())),OFFSET($AT$2,0,0,ROW()-1,40),ROW()-1,FALSE))</f>
        <v/>
      </c>
      <c r="AH86" t="str">
        <f ca="1">IF(AND($B$294=1,LEN($AH$223) * LEN($AH$209)&gt;0),$AH$223/$AH$209*100,HLOOKUP(INDIRECT(ADDRESS(2,COLUMN())),OFFSET($AT$2,0,0,ROW()-1,40),ROW()-1,FALSE))</f>
        <v/>
      </c>
      <c r="AI86" t="str">
        <f ca="1">IF(AND($B$294=1,LEN($AI$223) * LEN($AI$209)&gt;0),$AI$223/$AI$209*100,HLOOKUP(INDIRECT(ADDRESS(2,COLUMN())),OFFSET($AT$2,0,0,ROW()-1,40),ROW()-1,FALSE))</f>
        <v/>
      </c>
      <c r="AJ86" t="str">
        <f ca="1">IF(AND($B$294=1,LEN($AJ$223) * LEN($AJ$209)&gt;0),$AJ$223/$AJ$209*100,HLOOKUP(INDIRECT(ADDRESS(2,COLUMN())),OFFSET($AT$2,0,0,ROW()-1,40),ROW()-1,FALSE))</f>
        <v/>
      </c>
      <c r="AK86" t="str">
        <f ca="1">IF(AND($B$294=1,LEN($AK$223) * LEN($AK$209)&gt;0),$AK$223/$AK$209*100,HLOOKUP(INDIRECT(ADDRESS(2,COLUMN())),OFFSET($AT$2,0,0,ROW()-1,40),ROW()-1,FALSE))</f>
        <v/>
      </c>
      <c r="AL86" t="str">
        <f ca="1">IF(AND($B$294=1,LEN($AL$223) * LEN($AL$209)&gt;0),$AL$223/$AL$209*100,HLOOKUP(INDIRECT(ADDRESS(2,COLUMN())),OFFSET($AT$2,0,0,ROW()-1,40),ROW()-1,FALSE))</f>
        <v/>
      </c>
      <c r="AM86" t="str">
        <f ca="1">IF(AND($B$294=1,LEN($AM$223) * LEN($AM$209)&gt;0),$AM$223/$AM$209*100,HLOOKUP(INDIRECT(ADDRESS(2,COLUMN())),OFFSET($AT$2,0,0,ROW()-1,40),ROW()-1,FALSE))</f>
        <v/>
      </c>
      <c r="AN86" t="str">
        <f ca="1">IF(AND($B$294=1,LEN($AN$223) * LEN($AN$209)&gt;0),$AN$223/$AN$209*100,HLOOKUP(INDIRECT(ADDRESS(2,COLUMN())),OFFSET($AT$2,0,0,ROW()-1,40),ROW()-1,FALSE))</f>
        <v/>
      </c>
      <c r="AO86" t="str">
        <f ca="1">IF(AND($B$294=1,LEN($AO$223) * LEN($AO$209)&gt;0),$AO$223/$AO$209*100,HLOOKUP(INDIRECT(ADDRESS(2,COLUMN())),OFFSET($AT$2,0,0,ROW()-1,40),ROW()-1,FALSE))</f>
        <v/>
      </c>
      <c r="AP86" t="str">
        <f ca="1">IF(AND($B$294=1,LEN($AP$223) * LEN($AP$209)&gt;0),$AP$223/$AP$209*100,HLOOKUP(INDIRECT(ADDRESS(2,COLUMN())),OFFSET($AT$2,0,0,ROW()-1,40),ROW()-1,FALSE))</f>
        <v/>
      </c>
      <c r="AQ86" t="str">
        <f ca="1">IF(AND($B$294=1,LEN($AQ$223) * LEN($AQ$209)&gt;0),$AQ$223/$AQ$209*100,HLOOKUP(INDIRECT(ADDRESS(2,COLUMN())),OFFSET($AT$2,0,0,ROW()-1,40),ROW()-1,FALSE))</f>
        <v/>
      </c>
      <c r="AR86" t="str">
        <f ca="1">IF(AND($B$294=1,LEN($AR$223) * LEN($AR$209)&gt;0),$AR$223/$AR$209*100,HLOOKUP(INDIRECT(ADDRESS(2,COLUMN())),OFFSET($AT$2,0,0,ROW()-1,40),ROW()-1,FALSE))</f>
        <v/>
      </c>
      <c r="AS86" t="str">
        <f ca="1">IF(AND($B$294=1,LEN($AS$223) * LEN($AS$209)&gt;0),$AS$223/$AS$209*100,HLOOKUP(INDIRECT(ADDRESS(2,COLUMN())),OFFSET($AT$2,0,0,ROW()-1,40),ROW()-1,FALSE))</f>
        <v/>
      </c>
      <c r="AT86" t="str">
        <f>""</f>
        <v/>
      </c>
      <c r="AU86" t="str">
        <f>""</f>
        <v/>
      </c>
      <c r="AV86" t="str">
        <f>""</f>
        <v/>
      </c>
      <c r="AW86" t="str">
        <f>""</f>
        <v/>
      </c>
      <c r="AX86" t="str">
        <f>""</f>
        <v/>
      </c>
      <c r="AY86" t="str">
        <f>""</f>
        <v/>
      </c>
      <c r="AZ86" t="str">
        <f>""</f>
        <v/>
      </c>
      <c r="BA86" t="str">
        <f>""</f>
        <v/>
      </c>
      <c r="BB86" t="str">
        <f>""</f>
        <v/>
      </c>
      <c r="BC86" t="str">
        <f>""</f>
        <v/>
      </c>
      <c r="BD86" t="str">
        <f>""</f>
        <v/>
      </c>
      <c r="BE86" t="str">
        <f>""</f>
        <v/>
      </c>
      <c r="BF86" t="str">
        <f>""</f>
        <v/>
      </c>
      <c r="BG86" t="str">
        <f>""</f>
        <v/>
      </c>
      <c r="BH86" t="str">
        <f>""</f>
        <v/>
      </c>
      <c r="BI86" t="str">
        <f>""</f>
        <v/>
      </c>
      <c r="BJ86" t="str">
        <f>""</f>
        <v/>
      </c>
      <c r="BK86" t="str">
        <f>""</f>
        <v/>
      </c>
      <c r="BL86" t="str">
        <f>""</f>
        <v/>
      </c>
      <c r="BM86" t="str">
        <f>""</f>
        <v/>
      </c>
      <c r="BN86" t="str">
        <f>""</f>
        <v/>
      </c>
      <c r="BO86" t="str">
        <f>""</f>
        <v/>
      </c>
      <c r="BP86" t="str">
        <f>""</f>
        <v/>
      </c>
      <c r="BQ86" t="str">
        <f>""</f>
        <v/>
      </c>
      <c r="BR86" t="str">
        <f>""</f>
        <v/>
      </c>
      <c r="BS86" t="str">
        <f>""</f>
        <v/>
      </c>
      <c r="BT86" t="str">
        <f>""</f>
        <v/>
      </c>
      <c r="BU86" t="str">
        <f>""</f>
        <v/>
      </c>
      <c r="BV86" t="str">
        <f>""</f>
        <v/>
      </c>
      <c r="BW86" t="str">
        <f>""</f>
        <v/>
      </c>
      <c r="BX86" t="str">
        <f>""</f>
        <v/>
      </c>
      <c r="BY86" t="str">
        <f>""</f>
        <v/>
      </c>
      <c r="BZ86" t="str">
        <f>""</f>
        <v/>
      </c>
      <c r="CA86" t="str">
        <f>""</f>
        <v/>
      </c>
      <c r="CB86" t="str">
        <f>""</f>
        <v/>
      </c>
      <c r="CC86" t="str">
        <f>""</f>
        <v/>
      </c>
      <c r="CD86" t="str">
        <f>""</f>
        <v/>
      </c>
      <c r="CE86" t="str">
        <f>""</f>
        <v/>
      </c>
      <c r="CF86" t="str">
        <f>""</f>
        <v/>
      </c>
      <c r="CG86" t="str">
        <f>""</f>
        <v/>
      </c>
    </row>
    <row r="87" spans="1:85" x14ac:dyDescent="0.25">
      <c r="A87" t="str">
        <f>"        UD Truck"</f>
        <v xml:space="preserve">        UD Truck</v>
      </c>
      <c r="B87" t="str">
        <f>""</f>
        <v/>
      </c>
      <c r="E87" t="str">
        <f>"Expression"</f>
        <v>Expression</v>
      </c>
      <c r="F87" t="str">
        <f ca="1">IF(AND($B$294=1,LEN($F$224) * LEN($F$209)&gt;0),$F$224/$F$209*100,HLOOKUP(INDIRECT(ADDRESS(2,COLUMN())),OFFSET($AT$2,0,0,ROW()-1,40),ROW()-1,FALSE))</f>
        <v/>
      </c>
      <c r="G87" t="str">
        <f ca="1">IF(AND($B$294=1,LEN($G$224) * LEN($G$209)&gt;0),$G$224/$G$209*100,HLOOKUP(INDIRECT(ADDRESS(2,COLUMN())),OFFSET($AT$2,0,0,ROW()-1,40),ROW()-1,FALSE))</f>
        <v/>
      </c>
      <c r="H87" t="str">
        <f ca="1">IF(AND($B$294=1,LEN($H$224) * LEN($H$209)&gt;0),$H$224/$H$209*100,HLOOKUP(INDIRECT(ADDRESS(2,COLUMN())),OFFSET($AT$2,0,0,ROW()-1,40),ROW()-1,FALSE))</f>
        <v/>
      </c>
      <c r="I87" t="str">
        <f ca="1">IF(AND($B$294=1,LEN($I$224) * LEN($I$209)&gt;0),$I$224/$I$209*100,HLOOKUP(INDIRECT(ADDRESS(2,COLUMN())),OFFSET($AT$2,0,0,ROW()-1,40),ROW()-1,FALSE))</f>
        <v/>
      </c>
      <c r="J87" t="str">
        <f ca="1">IF(AND($B$294=1,LEN($J$224) * LEN($J$209)&gt;0),$J$224/$J$209*100,HLOOKUP(INDIRECT(ADDRESS(2,COLUMN())),OFFSET($AT$2,0,0,ROW()-1,40),ROW()-1,FALSE))</f>
        <v/>
      </c>
      <c r="K87" t="str">
        <f ca="1">IF(AND($B$294=1,LEN($K$224) * LEN($K$209)&gt;0),$K$224/$K$209*100,HLOOKUP(INDIRECT(ADDRESS(2,COLUMN())),OFFSET($AT$2,0,0,ROW()-1,40),ROW()-1,FALSE))</f>
        <v/>
      </c>
      <c r="L87" t="str">
        <f ca="1">IF(AND($B$294=1,LEN($L$224) * LEN($L$209)&gt;0),$L$224/$L$209*100,HLOOKUP(INDIRECT(ADDRESS(2,COLUMN())),OFFSET($AT$2,0,0,ROW()-1,40),ROW()-1,FALSE))</f>
        <v/>
      </c>
      <c r="M87" t="str">
        <f ca="1">IF(AND($B$294=1,LEN($M$224) * LEN($M$209)&gt;0),$M$224/$M$209*100,HLOOKUP(INDIRECT(ADDRESS(2,COLUMN())),OFFSET($AT$2,0,0,ROW()-1,40),ROW()-1,FALSE))</f>
        <v/>
      </c>
      <c r="N87" t="str">
        <f ca="1">IF(AND($B$294=1,LEN($N$224) * LEN($N$209)&gt;0),$N$224/$N$209*100,HLOOKUP(INDIRECT(ADDRESS(2,COLUMN())),OFFSET($AT$2,0,0,ROW()-1,40),ROW()-1,FALSE))</f>
        <v/>
      </c>
      <c r="O87" t="str">
        <f ca="1">IF(AND($B$294=1,LEN($O$224) * LEN($O$209)&gt;0),$O$224/$O$209*100,HLOOKUP(INDIRECT(ADDRESS(2,COLUMN())),OFFSET($AT$2,0,0,ROW()-1,40),ROW()-1,FALSE))</f>
        <v/>
      </c>
      <c r="P87" t="str">
        <f ca="1">IF(AND($B$294=1,LEN($P$224) * LEN($P$209)&gt;0),$P$224/$P$209*100,HLOOKUP(INDIRECT(ADDRESS(2,COLUMN())),OFFSET($AT$2,0,0,ROW()-1,40),ROW()-1,FALSE))</f>
        <v/>
      </c>
      <c r="Q87" t="str">
        <f ca="1">IF(AND($B$294=1,LEN($Q$224) * LEN($Q$209)&gt;0),$Q$224/$Q$209*100,HLOOKUP(INDIRECT(ADDRESS(2,COLUMN())),OFFSET($AT$2,0,0,ROW()-1,40),ROW()-1,FALSE))</f>
        <v/>
      </c>
      <c r="R87" t="str">
        <f ca="1">IF(AND($B$294=1,LEN($R$224) * LEN($R$209)&gt;0),$R$224/$R$209*100,HLOOKUP(INDIRECT(ADDRESS(2,COLUMN())),OFFSET($AT$2,0,0,ROW()-1,40),ROW()-1,FALSE))</f>
        <v/>
      </c>
      <c r="S87" t="str">
        <f ca="1">IF(AND($B$294=1,LEN($S$224) * LEN($S$209)&gt;0),$S$224/$S$209*100,HLOOKUP(INDIRECT(ADDRESS(2,COLUMN())),OFFSET($AT$2,0,0,ROW()-1,40),ROW()-1,FALSE))</f>
        <v/>
      </c>
      <c r="T87" t="str">
        <f ca="1">IF(AND($B$294=1,LEN($T$224) * LEN($T$209)&gt;0),$T$224/$T$209*100,HLOOKUP(INDIRECT(ADDRESS(2,COLUMN())),OFFSET($AT$2,0,0,ROW()-1,40),ROW()-1,FALSE))</f>
        <v/>
      </c>
      <c r="U87" t="str">
        <f ca="1">IF(AND($B$294=1,LEN($U$224) * LEN($U$209)&gt;0),$U$224/$U$209*100,HLOOKUP(INDIRECT(ADDRESS(2,COLUMN())),OFFSET($AT$2,0,0,ROW()-1,40),ROW()-1,FALSE))</f>
        <v/>
      </c>
      <c r="V87" t="str">
        <f ca="1">IF(AND($B$294=1,LEN($V$224) * LEN($V$209)&gt;0),$V$224/$V$209*100,HLOOKUP(INDIRECT(ADDRESS(2,COLUMN())),OFFSET($AT$2,0,0,ROW()-1,40),ROW()-1,FALSE))</f>
        <v/>
      </c>
      <c r="W87" t="str">
        <f ca="1">IF(AND($B$294=1,LEN($W$224) * LEN($W$209)&gt;0),$W$224/$W$209*100,HLOOKUP(INDIRECT(ADDRESS(2,COLUMN())),OFFSET($AT$2,0,0,ROW()-1,40),ROW()-1,FALSE))</f>
        <v/>
      </c>
      <c r="X87" t="str">
        <f ca="1">IF(AND($B$294=1,LEN($X$224) * LEN($X$209)&gt;0),$X$224/$X$209*100,HLOOKUP(INDIRECT(ADDRESS(2,COLUMN())),OFFSET($AT$2,0,0,ROW()-1,40),ROW()-1,FALSE))</f>
        <v/>
      </c>
      <c r="Y87" t="str">
        <f ca="1">IF(AND($B$294=1,LEN($Y$224) * LEN($Y$209)&gt;0),$Y$224/$Y$209*100,HLOOKUP(INDIRECT(ADDRESS(2,COLUMN())),OFFSET($AT$2,0,0,ROW()-1,40),ROW()-1,FALSE))</f>
        <v/>
      </c>
      <c r="Z87" t="str">
        <f ca="1">IF(AND($B$294=1,LEN($Z$224) * LEN($Z$209)&gt;0),$Z$224/$Z$209*100,HLOOKUP(INDIRECT(ADDRESS(2,COLUMN())),OFFSET($AT$2,0,0,ROW()-1,40),ROW()-1,FALSE))</f>
        <v/>
      </c>
      <c r="AA87" t="str">
        <f ca="1">IF(AND($B$294=1,LEN($AA$224) * LEN($AA$209)&gt;0),$AA$224/$AA$209*100,HLOOKUP(INDIRECT(ADDRESS(2,COLUMN())),OFFSET($AT$2,0,0,ROW()-1,40),ROW()-1,FALSE))</f>
        <v/>
      </c>
      <c r="AB87" t="str">
        <f ca="1">IF(AND($B$294=1,LEN($AB$224) * LEN($AB$209)&gt;0),$AB$224/$AB$209*100,HLOOKUP(INDIRECT(ADDRESS(2,COLUMN())),OFFSET($AT$2,0,0,ROW()-1,40),ROW()-1,FALSE))</f>
        <v/>
      </c>
      <c r="AC87" t="str">
        <f ca="1">IF(AND($B$294=1,LEN($AC$224) * LEN($AC$209)&gt;0),$AC$224/$AC$209*100,HLOOKUP(INDIRECT(ADDRESS(2,COLUMN())),OFFSET($AT$2,0,0,ROW()-1,40),ROW()-1,FALSE))</f>
        <v/>
      </c>
      <c r="AD87" t="str">
        <f ca="1">IF(AND($B$294=1,LEN($AD$224) * LEN($AD$209)&gt;0),$AD$224/$AD$209*100,HLOOKUP(INDIRECT(ADDRESS(2,COLUMN())),OFFSET($AT$2,0,0,ROW()-1,40),ROW()-1,FALSE))</f>
        <v/>
      </c>
      <c r="AE87" t="str">
        <f ca="1">IF(AND($B$294=1,LEN($AE$224) * LEN($AE$209)&gt;0),$AE$224/$AE$209*100,HLOOKUP(INDIRECT(ADDRESS(2,COLUMN())),OFFSET($AT$2,0,0,ROW()-1,40),ROW()-1,FALSE))</f>
        <v/>
      </c>
      <c r="AF87" t="str">
        <f ca="1">IF(AND($B$294=1,LEN($AF$224) * LEN($AF$209)&gt;0),$AF$224/$AF$209*100,HLOOKUP(INDIRECT(ADDRESS(2,COLUMN())),OFFSET($AT$2,0,0,ROW()-1,40),ROW()-1,FALSE))</f>
        <v/>
      </c>
      <c r="AG87" t="str">
        <f ca="1">IF(AND($B$294=1,LEN($AG$224) * LEN($AG$209)&gt;0),$AG$224/$AG$209*100,HLOOKUP(INDIRECT(ADDRESS(2,COLUMN())),OFFSET($AT$2,0,0,ROW()-1,40),ROW()-1,FALSE))</f>
        <v/>
      </c>
      <c r="AH87" t="str">
        <f ca="1">IF(AND($B$294=1,LEN($AH$224) * LEN($AH$209)&gt;0),$AH$224/$AH$209*100,HLOOKUP(INDIRECT(ADDRESS(2,COLUMN())),OFFSET($AT$2,0,0,ROW()-1,40),ROW()-1,FALSE))</f>
        <v/>
      </c>
      <c r="AI87" t="str">
        <f ca="1">IF(AND($B$294=1,LEN($AI$224) * LEN($AI$209)&gt;0),$AI$224/$AI$209*100,HLOOKUP(INDIRECT(ADDRESS(2,COLUMN())),OFFSET($AT$2,0,0,ROW()-1,40),ROW()-1,FALSE))</f>
        <v/>
      </c>
      <c r="AJ87" t="str">
        <f ca="1">IF(AND($B$294=1,LEN($AJ$224) * LEN($AJ$209)&gt;0),$AJ$224/$AJ$209*100,HLOOKUP(INDIRECT(ADDRESS(2,COLUMN())),OFFSET($AT$2,0,0,ROW()-1,40),ROW()-1,FALSE))</f>
        <v/>
      </c>
      <c r="AK87" t="str">
        <f ca="1">IF(AND($B$294=1,LEN($AK$224) * LEN($AK$209)&gt;0),$AK$224/$AK$209*100,HLOOKUP(INDIRECT(ADDRESS(2,COLUMN())),OFFSET($AT$2,0,0,ROW()-1,40),ROW()-1,FALSE))</f>
        <v/>
      </c>
      <c r="AL87" t="str">
        <f ca="1">IF(AND($B$294=1,LEN($AL$224) * LEN($AL$209)&gt;0),$AL$224/$AL$209*100,HLOOKUP(INDIRECT(ADDRESS(2,COLUMN())),OFFSET($AT$2,0,0,ROW()-1,40),ROW()-1,FALSE))</f>
        <v/>
      </c>
      <c r="AM87" t="str">
        <f ca="1">IF(AND($B$294=1,LEN($AM$224) * LEN($AM$209)&gt;0),$AM$224/$AM$209*100,HLOOKUP(INDIRECT(ADDRESS(2,COLUMN())),OFFSET($AT$2,0,0,ROW()-1,40),ROW()-1,FALSE))</f>
        <v/>
      </c>
      <c r="AN87" t="str">
        <f ca="1">IF(AND($B$294=1,LEN($AN$224) * LEN($AN$209)&gt;0),$AN$224/$AN$209*100,HLOOKUP(INDIRECT(ADDRESS(2,COLUMN())),OFFSET($AT$2,0,0,ROW()-1,40),ROW()-1,FALSE))</f>
        <v/>
      </c>
      <c r="AO87" t="str">
        <f ca="1">IF(AND($B$294=1,LEN($AO$224) * LEN($AO$209)&gt;0),$AO$224/$AO$209*100,HLOOKUP(INDIRECT(ADDRESS(2,COLUMN())),OFFSET($AT$2,0,0,ROW()-1,40),ROW()-1,FALSE))</f>
        <v/>
      </c>
      <c r="AP87" t="str">
        <f ca="1">IF(AND($B$294=1,LEN($AP$224) * LEN($AP$209)&gt;0),$AP$224/$AP$209*100,HLOOKUP(INDIRECT(ADDRESS(2,COLUMN())),OFFSET($AT$2,0,0,ROW()-1,40),ROW()-1,FALSE))</f>
        <v/>
      </c>
      <c r="AQ87" t="str">
        <f ca="1">IF(AND($B$294=1,LEN($AQ$224) * LEN($AQ$209)&gt;0),$AQ$224/$AQ$209*100,HLOOKUP(INDIRECT(ADDRESS(2,COLUMN())),OFFSET($AT$2,0,0,ROW()-1,40),ROW()-1,FALSE))</f>
        <v/>
      </c>
      <c r="AR87" t="str">
        <f ca="1">IF(AND($B$294=1,LEN($AR$224) * LEN($AR$209)&gt;0),$AR$224/$AR$209*100,HLOOKUP(INDIRECT(ADDRESS(2,COLUMN())),OFFSET($AT$2,0,0,ROW()-1,40),ROW()-1,FALSE))</f>
        <v/>
      </c>
      <c r="AS87" t="str">
        <f ca="1">IF(AND($B$294=1,LEN($AS$224) * LEN($AS$209)&gt;0),$AS$224/$AS$209*100,HLOOKUP(INDIRECT(ADDRESS(2,COLUMN())),OFFSET($AT$2,0,0,ROW()-1,40),ROW()-1,FALSE))</f>
        <v/>
      </c>
      <c r="AT87" t="str">
        <f>""</f>
        <v/>
      </c>
      <c r="AU87" t="str">
        <f>""</f>
        <v/>
      </c>
      <c r="AV87" t="str">
        <f>""</f>
        <v/>
      </c>
      <c r="AW87" t="str">
        <f>""</f>
        <v/>
      </c>
      <c r="AX87" t="str">
        <f>""</f>
        <v/>
      </c>
      <c r="AY87" t="str">
        <f>""</f>
        <v/>
      </c>
      <c r="AZ87" t="str">
        <f>""</f>
        <v/>
      </c>
      <c r="BA87" t="str">
        <f>""</f>
        <v/>
      </c>
      <c r="BB87" t="str">
        <f>""</f>
        <v/>
      </c>
      <c r="BC87" t="str">
        <f>""</f>
        <v/>
      </c>
      <c r="BD87" t="str">
        <f>""</f>
        <v/>
      </c>
      <c r="BE87" t="str">
        <f>""</f>
        <v/>
      </c>
      <c r="BF87" t="str">
        <f>""</f>
        <v/>
      </c>
      <c r="BG87" t="str">
        <f>""</f>
        <v/>
      </c>
      <c r="BH87" t="str">
        <f>""</f>
        <v/>
      </c>
      <c r="BI87" t="str">
        <f>""</f>
        <v/>
      </c>
      <c r="BJ87" t="str">
        <f>""</f>
        <v/>
      </c>
      <c r="BK87" t="str">
        <f>""</f>
        <v/>
      </c>
      <c r="BL87" t="str">
        <f>""</f>
        <v/>
      </c>
      <c r="BM87" t="str">
        <f>""</f>
        <v/>
      </c>
      <c r="BN87" t="str">
        <f>""</f>
        <v/>
      </c>
      <c r="BO87" t="str">
        <f>""</f>
        <v/>
      </c>
      <c r="BP87" t="str">
        <f>""</f>
        <v/>
      </c>
      <c r="BQ87" t="str">
        <f>""</f>
        <v/>
      </c>
      <c r="BR87" t="str">
        <f>""</f>
        <v/>
      </c>
      <c r="BS87" t="str">
        <f>""</f>
        <v/>
      </c>
      <c r="BT87" t="str">
        <f>""</f>
        <v/>
      </c>
      <c r="BU87" t="str">
        <f>""</f>
        <v/>
      </c>
      <c r="BV87" t="str">
        <f>""</f>
        <v/>
      </c>
      <c r="BW87" t="str">
        <f>""</f>
        <v/>
      </c>
      <c r="BX87" t="str">
        <f>""</f>
        <v/>
      </c>
      <c r="BY87" t="str">
        <f>""</f>
        <v/>
      </c>
      <c r="BZ87" t="str">
        <f>""</f>
        <v/>
      </c>
      <c r="CA87" t="str">
        <f>""</f>
        <v/>
      </c>
      <c r="CB87" t="str">
        <f>""</f>
        <v/>
      </c>
      <c r="CC87" t="str">
        <f>""</f>
        <v/>
      </c>
      <c r="CD87" t="str">
        <f>""</f>
        <v/>
      </c>
      <c r="CE87" t="str">
        <f>""</f>
        <v/>
      </c>
      <c r="CF87" t="str">
        <f>""</f>
        <v/>
      </c>
      <c r="CG87" t="str">
        <f>""</f>
        <v/>
      </c>
    </row>
    <row r="88" spans="1:85" x14ac:dyDescent="0.25">
      <c r="A88" t="str">
        <f>"        Volvo Truck"</f>
        <v xml:space="preserve">        Volvo Truck</v>
      </c>
      <c r="B88" t="str">
        <f>""</f>
        <v/>
      </c>
      <c r="E88" t="str">
        <f>"Expression"</f>
        <v>Expression</v>
      </c>
      <c r="F88" t="str">
        <f ca="1">IF(AND($B$294=1,LEN($F$225) * LEN($F$209)&gt;0),$F$225/$F$209*100,HLOOKUP(INDIRECT(ADDRESS(2,COLUMN())),OFFSET($AT$2,0,0,ROW()-1,40),ROW()-1,FALSE))</f>
        <v/>
      </c>
      <c r="G88" t="str">
        <f ca="1">IF(AND($B$294=1,LEN($G$225) * LEN($G$209)&gt;0),$G$225/$G$209*100,HLOOKUP(INDIRECT(ADDRESS(2,COLUMN())),OFFSET($AT$2,0,0,ROW()-1,40),ROW()-1,FALSE))</f>
        <v/>
      </c>
      <c r="H88" t="str">
        <f ca="1">IF(AND($B$294=1,LEN($H$225) * LEN($H$209)&gt;0),$H$225/$H$209*100,HLOOKUP(INDIRECT(ADDRESS(2,COLUMN())),OFFSET($AT$2,0,0,ROW()-1,40),ROW()-1,FALSE))</f>
        <v/>
      </c>
      <c r="I88" t="str">
        <f ca="1">IF(AND($B$294=1,LEN($I$225) * LEN($I$209)&gt;0),$I$225/$I$209*100,HLOOKUP(INDIRECT(ADDRESS(2,COLUMN())),OFFSET($AT$2,0,0,ROW()-1,40),ROW()-1,FALSE))</f>
        <v/>
      </c>
      <c r="J88" t="str">
        <f ca="1">IF(AND($B$294=1,LEN($J$225) * LEN($J$209)&gt;0),$J$225/$J$209*100,HLOOKUP(INDIRECT(ADDRESS(2,COLUMN())),OFFSET($AT$2,0,0,ROW()-1,40),ROW()-1,FALSE))</f>
        <v/>
      </c>
      <c r="K88" t="str">
        <f ca="1">IF(AND($B$294=1,LEN($K$225) * LEN($K$209)&gt;0),$K$225/$K$209*100,HLOOKUP(INDIRECT(ADDRESS(2,COLUMN())),OFFSET($AT$2,0,0,ROW()-1,40),ROW()-1,FALSE))</f>
        <v/>
      </c>
      <c r="L88" t="str">
        <f ca="1">IF(AND($B$294=1,LEN($L$225) * LEN($L$209)&gt;0),$L$225/$L$209*100,HLOOKUP(INDIRECT(ADDRESS(2,COLUMN())),OFFSET($AT$2,0,0,ROW()-1,40),ROW()-1,FALSE))</f>
        <v/>
      </c>
      <c r="M88" t="str">
        <f ca="1">IF(AND($B$294=1,LEN($M$225) * LEN($M$209)&gt;0),$M$225/$M$209*100,HLOOKUP(INDIRECT(ADDRESS(2,COLUMN())),OFFSET($AT$2,0,0,ROW()-1,40),ROW()-1,FALSE))</f>
        <v/>
      </c>
      <c r="N88" t="str">
        <f ca="1">IF(AND($B$294=1,LEN($N$225) * LEN($N$209)&gt;0),$N$225/$N$209*100,HLOOKUP(INDIRECT(ADDRESS(2,COLUMN())),OFFSET($AT$2,0,0,ROW()-1,40),ROW()-1,FALSE))</f>
        <v/>
      </c>
      <c r="O88" t="str">
        <f ca="1">IF(AND($B$294=1,LEN($O$225) * LEN($O$209)&gt;0),$O$225/$O$209*100,HLOOKUP(INDIRECT(ADDRESS(2,COLUMN())),OFFSET($AT$2,0,0,ROW()-1,40),ROW()-1,FALSE))</f>
        <v/>
      </c>
      <c r="P88" t="str">
        <f ca="1">IF(AND($B$294=1,LEN($P$225) * LEN($P$209)&gt;0),$P$225/$P$209*100,HLOOKUP(INDIRECT(ADDRESS(2,COLUMN())),OFFSET($AT$2,0,0,ROW()-1,40),ROW()-1,FALSE))</f>
        <v/>
      </c>
      <c r="Q88" t="str">
        <f ca="1">IF(AND($B$294=1,LEN($Q$225) * LEN($Q$209)&gt;0),$Q$225/$Q$209*100,HLOOKUP(INDIRECT(ADDRESS(2,COLUMN())),OFFSET($AT$2,0,0,ROW()-1,40),ROW()-1,FALSE))</f>
        <v/>
      </c>
      <c r="R88" t="str">
        <f ca="1">IF(AND($B$294=1,LEN($R$225) * LEN($R$209)&gt;0),$R$225/$R$209*100,HLOOKUP(INDIRECT(ADDRESS(2,COLUMN())),OFFSET($AT$2,0,0,ROW()-1,40),ROW()-1,FALSE))</f>
        <v/>
      </c>
      <c r="S88" t="str">
        <f ca="1">IF(AND($B$294=1,LEN($S$225) * LEN($S$209)&gt;0),$S$225/$S$209*100,HLOOKUP(INDIRECT(ADDRESS(2,COLUMN())),OFFSET($AT$2,0,0,ROW()-1,40),ROW()-1,FALSE))</f>
        <v/>
      </c>
      <c r="T88" t="str">
        <f ca="1">IF(AND($B$294=1,LEN($T$225) * LEN($T$209)&gt;0),$T$225/$T$209*100,HLOOKUP(INDIRECT(ADDRESS(2,COLUMN())),OFFSET($AT$2,0,0,ROW()-1,40),ROW()-1,FALSE))</f>
        <v/>
      </c>
      <c r="U88" t="str">
        <f ca="1">IF(AND($B$294=1,LEN($U$225) * LEN($U$209)&gt;0),$U$225/$U$209*100,HLOOKUP(INDIRECT(ADDRESS(2,COLUMN())),OFFSET($AT$2,0,0,ROW()-1,40),ROW()-1,FALSE))</f>
        <v/>
      </c>
      <c r="V88" t="str">
        <f ca="1">IF(AND($B$294=1,LEN($V$225) * LEN($V$209)&gt;0),$V$225/$V$209*100,HLOOKUP(INDIRECT(ADDRESS(2,COLUMN())),OFFSET($AT$2,0,0,ROW()-1,40),ROW()-1,FALSE))</f>
        <v/>
      </c>
      <c r="W88" t="str">
        <f ca="1">IF(AND($B$294=1,LEN($W$225) * LEN($W$209)&gt;0),$W$225/$W$209*100,HLOOKUP(INDIRECT(ADDRESS(2,COLUMN())),OFFSET($AT$2,0,0,ROW()-1,40),ROW()-1,FALSE))</f>
        <v/>
      </c>
      <c r="X88" t="str">
        <f ca="1">IF(AND($B$294=1,LEN($X$225) * LEN($X$209)&gt;0),$X$225/$X$209*100,HLOOKUP(INDIRECT(ADDRESS(2,COLUMN())),OFFSET($AT$2,0,0,ROW()-1,40),ROW()-1,FALSE))</f>
        <v/>
      </c>
      <c r="Y88" t="str">
        <f ca="1">IF(AND($B$294=1,LEN($Y$225) * LEN($Y$209)&gt;0),$Y$225/$Y$209*100,HLOOKUP(INDIRECT(ADDRESS(2,COLUMN())),OFFSET($AT$2,0,0,ROW()-1,40),ROW()-1,FALSE))</f>
        <v/>
      </c>
      <c r="Z88" t="str">
        <f ca="1">IF(AND($B$294=1,LEN($Z$225) * LEN($Z$209)&gt;0),$Z$225/$Z$209*100,HLOOKUP(INDIRECT(ADDRESS(2,COLUMN())),OFFSET($AT$2,0,0,ROW()-1,40),ROW()-1,FALSE))</f>
        <v/>
      </c>
      <c r="AA88" t="str">
        <f ca="1">IF(AND($B$294=1,LEN($AA$225) * LEN($AA$209)&gt;0),$AA$225/$AA$209*100,HLOOKUP(INDIRECT(ADDRESS(2,COLUMN())),OFFSET($AT$2,0,0,ROW()-1,40),ROW()-1,FALSE))</f>
        <v/>
      </c>
      <c r="AB88" t="str">
        <f ca="1">IF(AND($B$294=1,LEN($AB$225) * LEN($AB$209)&gt;0),$AB$225/$AB$209*100,HLOOKUP(INDIRECT(ADDRESS(2,COLUMN())),OFFSET($AT$2,0,0,ROW()-1,40),ROW()-1,FALSE))</f>
        <v/>
      </c>
      <c r="AC88" t="str">
        <f ca="1">IF(AND($B$294=1,LEN($AC$225) * LEN($AC$209)&gt;0),$AC$225/$AC$209*100,HLOOKUP(INDIRECT(ADDRESS(2,COLUMN())),OFFSET($AT$2,0,0,ROW()-1,40),ROW()-1,FALSE))</f>
        <v/>
      </c>
      <c r="AD88" t="str">
        <f ca="1">IF(AND($B$294=1,LEN($AD$225) * LEN($AD$209)&gt;0),$AD$225/$AD$209*100,HLOOKUP(INDIRECT(ADDRESS(2,COLUMN())),OFFSET($AT$2,0,0,ROW()-1,40),ROW()-1,FALSE))</f>
        <v/>
      </c>
      <c r="AE88" t="str">
        <f ca="1">IF(AND($B$294=1,LEN($AE$225) * LEN($AE$209)&gt;0),$AE$225/$AE$209*100,HLOOKUP(INDIRECT(ADDRESS(2,COLUMN())),OFFSET($AT$2,0,0,ROW()-1,40),ROW()-1,FALSE))</f>
        <v/>
      </c>
      <c r="AF88" t="str">
        <f ca="1">IF(AND($B$294=1,LEN($AF$225) * LEN($AF$209)&gt;0),$AF$225/$AF$209*100,HLOOKUP(INDIRECT(ADDRESS(2,COLUMN())),OFFSET($AT$2,0,0,ROW()-1,40),ROW()-1,FALSE))</f>
        <v/>
      </c>
      <c r="AG88" t="str">
        <f ca="1">IF(AND($B$294=1,LEN($AG$225) * LEN($AG$209)&gt;0),$AG$225/$AG$209*100,HLOOKUP(INDIRECT(ADDRESS(2,COLUMN())),OFFSET($AT$2,0,0,ROW()-1,40),ROW()-1,FALSE))</f>
        <v/>
      </c>
      <c r="AH88" t="str">
        <f ca="1">IF(AND($B$294=1,LEN($AH$225) * LEN($AH$209)&gt;0),$AH$225/$AH$209*100,HLOOKUP(INDIRECT(ADDRESS(2,COLUMN())),OFFSET($AT$2,0,0,ROW()-1,40),ROW()-1,FALSE))</f>
        <v/>
      </c>
      <c r="AI88" t="str">
        <f ca="1">IF(AND($B$294=1,LEN($AI$225) * LEN($AI$209)&gt;0),$AI$225/$AI$209*100,HLOOKUP(INDIRECT(ADDRESS(2,COLUMN())),OFFSET($AT$2,0,0,ROW()-1,40),ROW()-1,FALSE))</f>
        <v/>
      </c>
      <c r="AJ88" t="str">
        <f ca="1">IF(AND($B$294=1,LEN($AJ$225) * LEN($AJ$209)&gt;0),$AJ$225/$AJ$209*100,HLOOKUP(INDIRECT(ADDRESS(2,COLUMN())),OFFSET($AT$2,0,0,ROW()-1,40),ROW()-1,FALSE))</f>
        <v/>
      </c>
      <c r="AK88" t="str">
        <f ca="1">IF(AND($B$294=1,LEN($AK$225) * LEN($AK$209)&gt;0),$AK$225/$AK$209*100,HLOOKUP(INDIRECT(ADDRESS(2,COLUMN())),OFFSET($AT$2,0,0,ROW()-1,40),ROW()-1,FALSE))</f>
        <v/>
      </c>
      <c r="AL88" t="str">
        <f ca="1">IF(AND($B$294=1,LEN($AL$225) * LEN($AL$209)&gt;0),$AL$225/$AL$209*100,HLOOKUP(INDIRECT(ADDRESS(2,COLUMN())),OFFSET($AT$2,0,0,ROW()-1,40),ROW()-1,FALSE))</f>
        <v/>
      </c>
      <c r="AM88" t="str">
        <f ca="1">IF(AND($B$294=1,LEN($AM$225) * LEN($AM$209)&gt;0),$AM$225/$AM$209*100,HLOOKUP(INDIRECT(ADDRESS(2,COLUMN())),OFFSET($AT$2,0,0,ROW()-1,40),ROW()-1,FALSE))</f>
        <v/>
      </c>
      <c r="AN88" t="str">
        <f ca="1">IF(AND($B$294=1,LEN($AN$225) * LEN($AN$209)&gt;0),$AN$225/$AN$209*100,HLOOKUP(INDIRECT(ADDRESS(2,COLUMN())),OFFSET($AT$2,0,0,ROW()-1,40),ROW()-1,FALSE))</f>
        <v/>
      </c>
      <c r="AO88" t="str">
        <f ca="1">IF(AND($B$294=1,LEN($AO$225) * LEN($AO$209)&gt;0),$AO$225/$AO$209*100,HLOOKUP(INDIRECT(ADDRESS(2,COLUMN())),OFFSET($AT$2,0,0,ROW()-1,40),ROW()-1,FALSE))</f>
        <v/>
      </c>
      <c r="AP88" t="str">
        <f ca="1">IF(AND($B$294=1,LEN($AP$225) * LEN($AP$209)&gt;0),$AP$225/$AP$209*100,HLOOKUP(INDIRECT(ADDRESS(2,COLUMN())),OFFSET($AT$2,0,0,ROW()-1,40),ROW()-1,FALSE))</f>
        <v/>
      </c>
      <c r="AQ88" t="str">
        <f ca="1">IF(AND($B$294=1,LEN($AQ$225) * LEN($AQ$209)&gt;0),$AQ$225/$AQ$209*100,HLOOKUP(INDIRECT(ADDRESS(2,COLUMN())),OFFSET($AT$2,0,0,ROW()-1,40),ROW()-1,FALSE))</f>
        <v/>
      </c>
      <c r="AR88" t="str">
        <f ca="1">IF(AND($B$294=1,LEN($AR$225) * LEN($AR$209)&gt;0),$AR$225/$AR$209*100,HLOOKUP(INDIRECT(ADDRESS(2,COLUMN())),OFFSET($AT$2,0,0,ROW()-1,40),ROW()-1,FALSE))</f>
        <v/>
      </c>
      <c r="AS88" t="str">
        <f ca="1">IF(AND($B$294=1,LEN($AS$225) * LEN($AS$209)&gt;0),$AS$225/$AS$209*100,HLOOKUP(INDIRECT(ADDRESS(2,COLUMN())),OFFSET($AT$2,0,0,ROW()-1,40),ROW()-1,FALSE))</f>
        <v/>
      </c>
      <c r="AT88" t="str">
        <f>""</f>
        <v/>
      </c>
      <c r="AU88" t="str">
        <f>""</f>
        <v/>
      </c>
      <c r="AV88" t="str">
        <f>""</f>
        <v/>
      </c>
      <c r="AW88" t="str">
        <f>""</f>
        <v/>
      </c>
      <c r="AX88" t="str">
        <f>""</f>
        <v/>
      </c>
      <c r="AY88" t="str">
        <f>""</f>
        <v/>
      </c>
      <c r="AZ88" t="str">
        <f>""</f>
        <v/>
      </c>
      <c r="BA88" t="str">
        <f>""</f>
        <v/>
      </c>
      <c r="BB88" t="str">
        <f>""</f>
        <v/>
      </c>
      <c r="BC88" t="str">
        <f>""</f>
        <v/>
      </c>
      <c r="BD88" t="str">
        <f>""</f>
        <v/>
      </c>
      <c r="BE88" t="str">
        <f>""</f>
        <v/>
      </c>
      <c r="BF88" t="str">
        <f>""</f>
        <v/>
      </c>
      <c r="BG88" t="str">
        <f>""</f>
        <v/>
      </c>
      <c r="BH88" t="str">
        <f>""</f>
        <v/>
      </c>
      <c r="BI88" t="str">
        <f>""</f>
        <v/>
      </c>
      <c r="BJ88" t="str">
        <f>""</f>
        <v/>
      </c>
      <c r="BK88" t="str">
        <f>""</f>
        <v/>
      </c>
      <c r="BL88" t="str">
        <f>""</f>
        <v/>
      </c>
      <c r="BM88" t="str">
        <f>""</f>
        <v/>
      </c>
      <c r="BN88" t="str">
        <f>""</f>
        <v/>
      </c>
      <c r="BO88" t="str">
        <f>""</f>
        <v/>
      </c>
      <c r="BP88" t="str">
        <f>""</f>
        <v/>
      </c>
      <c r="BQ88" t="str">
        <f>""</f>
        <v/>
      </c>
      <c r="BR88" t="str">
        <f>""</f>
        <v/>
      </c>
      <c r="BS88" t="str">
        <f>""</f>
        <v/>
      </c>
      <c r="BT88" t="str">
        <f>""</f>
        <v/>
      </c>
      <c r="BU88" t="str">
        <f>""</f>
        <v/>
      </c>
      <c r="BV88" t="str">
        <f>""</f>
        <v/>
      </c>
      <c r="BW88" t="str">
        <f>""</f>
        <v/>
      </c>
      <c r="BX88" t="str">
        <f>""</f>
        <v/>
      </c>
      <c r="BY88" t="str">
        <f>""</f>
        <v/>
      </c>
      <c r="BZ88" t="str">
        <f>""</f>
        <v/>
      </c>
      <c r="CA88" t="str">
        <f>""</f>
        <v/>
      </c>
      <c r="CB88" t="str">
        <f>""</f>
        <v/>
      </c>
      <c r="CC88" t="str">
        <f>""</f>
        <v/>
      </c>
      <c r="CD88" t="str">
        <f>""</f>
        <v/>
      </c>
      <c r="CE88" t="str">
        <f>""</f>
        <v/>
      </c>
      <c r="CF88" t="str">
        <f>""</f>
        <v/>
      </c>
      <c r="CG88" t="str">
        <f>""</f>
        <v/>
      </c>
    </row>
    <row r="89" spans="1:85" x14ac:dyDescent="0.25">
      <c r="A89" t="str">
        <f>"    Isuzu"</f>
        <v xml:space="preserve">    Isuzu</v>
      </c>
      <c r="B89" t="str">
        <f>""</f>
        <v/>
      </c>
      <c r="E89" t="str">
        <f>"Expression"</f>
        <v>Expression</v>
      </c>
      <c r="F89" t="str">
        <f ca="1">IF(AND($B$294=1,LEN($F$226) * LEN($F$209)&gt;0),$F$226/$F$209*100,HLOOKUP(INDIRECT(ADDRESS(2,COLUMN())),OFFSET($AT$2,0,0,ROW()-1,40),ROW()-1,FALSE))</f>
        <v/>
      </c>
      <c r="G89">
        <f ca="1">IF(AND($B$294=1,LEN($G$226) * LEN($G$209)&gt;0),$G$226/$G$209*100,HLOOKUP(INDIRECT(ADDRESS(2,COLUMN())),OFFSET($AT$2,0,0,ROW()-1,40),ROW()-1,FALSE))</f>
        <v>0.34784159799999997</v>
      </c>
      <c r="H89">
        <f ca="1">IF(AND($B$294=1,LEN($H$226) * LEN($H$209)&gt;0),$H$226/$H$209*100,HLOOKUP(INDIRECT(ADDRESS(2,COLUMN())),OFFSET($AT$2,0,0,ROW()-1,40),ROW()-1,FALSE))</f>
        <v>0.190545988</v>
      </c>
      <c r="I89">
        <f ca="1">IF(AND($B$294=1,LEN($I$226) * LEN($I$209)&gt;0),$I$226/$I$209*100,HLOOKUP(INDIRECT(ADDRESS(2,COLUMN())),OFFSET($AT$2,0,0,ROW()-1,40),ROW()-1,FALSE))</f>
        <v>3.6029543999999997E-2</v>
      </c>
      <c r="J89">
        <f ca="1">IF(AND($B$294=1,LEN($J$226) * LEN($J$209)&gt;0),$J$226/$J$209*100,HLOOKUP(INDIRECT(ADDRESS(2,COLUMN())),OFFSET($AT$2,0,0,ROW()-1,40),ROW()-1,FALSE))</f>
        <v>0</v>
      </c>
      <c r="K89">
        <f ca="1">IF(AND($B$294=1,LEN($K$226) * LEN($K$209)&gt;0),$K$226/$K$209*100,HLOOKUP(INDIRECT(ADDRESS(2,COLUMN())),OFFSET($AT$2,0,0,ROW()-1,40),ROW()-1,FALSE))</f>
        <v>0</v>
      </c>
      <c r="L89">
        <f ca="1">IF(AND($B$294=1,LEN($L$226) * LEN($L$209)&gt;0),$L$226/$L$209*100,HLOOKUP(INDIRECT(ADDRESS(2,COLUMN())),OFFSET($AT$2,0,0,ROW()-1,40),ROW()-1,FALSE))</f>
        <v>0</v>
      </c>
      <c r="M89">
        <f ca="1">IF(AND($B$294=1,LEN($M$226) * LEN($M$209)&gt;0),$M$226/$M$209*100,HLOOKUP(INDIRECT(ADDRESS(2,COLUMN())),OFFSET($AT$2,0,0,ROW()-1,40),ROW()-1,FALSE))</f>
        <v>0</v>
      </c>
      <c r="N89">
        <f ca="1">IF(AND($B$294=1,LEN($N$226) * LEN($N$209)&gt;0),$N$226/$N$209*100,HLOOKUP(INDIRECT(ADDRESS(2,COLUMN())),OFFSET($AT$2,0,0,ROW()-1,40),ROW()-1,FALSE))</f>
        <v>0</v>
      </c>
      <c r="O89">
        <f ca="1">IF(AND($B$294=1,LEN($O$226) * LEN($O$209)&gt;0),$O$226/$O$209*100,HLOOKUP(INDIRECT(ADDRESS(2,COLUMN())),OFFSET($AT$2,0,0,ROW()-1,40),ROW()-1,FALSE))</f>
        <v>0</v>
      </c>
      <c r="P89">
        <f ca="1">IF(AND($B$294=1,LEN($P$226) * LEN($P$209)&gt;0),$P$226/$P$209*100,HLOOKUP(INDIRECT(ADDRESS(2,COLUMN())),OFFSET($AT$2,0,0,ROW()-1,40),ROW()-1,FALSE))</f>
        <v>0.35931217399999998</v>
      </c>
      <c r="Q89">
        <f ca="1">IF(AND($B$294=1,LEN($Q$226) * LEN($Q$209)&gt;0),$Q$226/$Q$209*100,HLOOKUP(INDIRECT(ADDRESS(2,COLUMN())),OFFSET($AT$2,0,0,ROW()-1,40),ROW()-1,FALSE))</f>
        <v>0.363820111</v>
      </c>
      <c r="R89">
        <f ca="1">IF(AND($B$294=1,LEN($R$226) * LEN($R$209)&gt;0),$R$226/$R$209*100,HLOOKUP(INDIRECT(ADDRESS(2,COLUMN())),OFFSET($AT$2,0,0,ROW()-1,40),ROW()-1,FALSE))</f>
        <v>0.17748715500000001</v>
      </c>
      <c r="S89">
        <f ca="1">IF(AND($B$294=1,LEN($S$226) * LEN($S$209)&gt;0),$S$226/$S$209*100,HLOOKUP(INDIRECT(ADDRESS(2,COLUMN())),OFFSET($AT$2,0,0,ROW()-1,40),ROW()-1,FALSE))</f>
        <v>0.270087778</v>
      </c>
      <c r="T89">
        <f ca="1">IF(AND($B$294=1,LEN($T$226) * LEN($T$209)&gt;0),$T$226/$T$209*100,HLOOKUP(INDIRECT(ADDRESS(2,COLUMN())),OFFSET($AT$2,0,0,ROW()-1,40),ROW()-1,FALSE))</f>
        <v>0.30620467400000001</v>
      </c>
      <c r="U89">
        <f ca="1">IF(AND($B$294=1,LEN($U$226) * LEN($U$209)&gt;0),$U$226/$U$209*100,HLOOKUP(INDIRECT(ADDRESS(2,COLUMN())),OFFSET($AT$2,0,0,ROW()-1,40),ROW()-1,FALSE))</f>
        <v>0.28140885999999998</v>
      </c>
      <c r="V89">
        <f ca="1">IF(AND($B$294=1,LEN($V$226) * LEN($V$209)&gt;0),$V$226/$V$209*100,HLOOKUP(INDIRECT(ADDRESS(2,COLUMN())),OFFSET($AT$2,0,0,ROW()-1,40),ROW()-1,FALSE))</f>
        <v>0.222717149</v>
      </c>
      <c r="W89">
        <f ca="1">IF(AND($B$294=1,LEN($W$226) * LEN($W$209)&gt;0),$W$226/$W$209*100,HLOOKUP(INDIRECT(ADDRESS(2,COLUMN())),OFFSET($AT$2,0,0,ROW()-1,40),ROW()-1,FALSE))</f>
        <v>0.28398680799999998</v>
      </c>
      <c r="X89">
        <f ca="1">IF(AND($B$294=1,LEN($X$226) * LEN($X$209)&gt;0),$X$226/$X$209*100,HLOOKUP(INDIRECT(ADDRESS(2,COLUMN())),OFFSET($AT$2,0,0,ROW()-1,40),ROW()-1,FALSE))</f>
        <v>0.291828794</v>
      </c>
      <c r="Y89">
        <f ca="1">IF(AND($B$294=1,LEN($Y$226) * LEN($Y$209)&gt;0),$Y$226/$Y$209*100,HLOOKUP(INDIRECT(ADDRESS(2,COLUMN())),OFFSET($AT$2,0,0,ROW()-1,40),ROW()-1,FALSE))</f>
        <v>0.16007317600000001</v>
      </c>
      <c r="Z89">
        <f ca="1">IF(AND($B$294=1,LEN($Z$226) * LEN($Z$209)&gt;0),$Z$226/$Z$209*100,HLOOKUP(INDIRECT(ADDRESS(2,COLUMN())),OFFSET($AT$2,0,0,ROW()-1,40),ROW()-1,FALSE))</f>
        <v>0.25064900200000001</v>
      </c>
      <c r="AA89">
        <f ca="1">IF(AND($B$294=1,LEN($AA$226) * LEN($AA$209)&gt;0),$AA$226/$AA$209*100,HLOOKUP(INDIRECT(ADDRESS(2,COLUMN())),OFFSET($AT$2,0,0,ROW()-1,40),ROW()-1,FALSE))</f>
        <v>0.23366859700000001</v>
      </c>
      <c r="AB89" t="str">
        <f ca="1">IF(AND($B$294=1,LEN($AB$226) * LEN($AB$209)&gt;0),$AB$226/$AB$209*100,HLOOKUP(INDIRECT(ADDRESS(2,COLUMN())),OFFSET($AT$2,0,0,ROW()-1,40),ROW()-1,FALSE))</f>
        <v/>
      </c>
      <c r="AC89" t="str">
        <f ca="1">IF(AND($B$294=1,LEN($AC$226) * LEN($AC$209)&gt;0),$AC$226/$AC$209*100,HLOOKUP(INDIRECT(ADDRESS(2,COLUMN())),OFFSET($AT$2,0,0,ROW()-1,40),ROW()-1,FALSE))</f>
        <v/>
      </c>
      <c r="AD89" t="str">
        <f ca="1">IF(AND($B$294=1,LEN($AD$226) * LEN($AD$209)&gt;0),$AD$226/$AD$209*100,HLOOKUP(INDIRECT(ADDRESS(2,COLUMN())),OFFSET($AT$2,0,0,ROW()-1,40),ROW()-1,FALSE))</f>
        <v/>
      </c>
      <c r="AE89" t="str">
        <f ca="1">IF(AND($B$294=1,LEN($AE$226) * LEN($AE$209)&gt;0),$AE$226/$AE$209*100,HLOOKUP(INDIRECT(ADDRESS(2,COLUMN())),OFFSET($AT$2,0,0,ROW()-1,40),ROW()-1,FALSE))</f>
        <v/>
      </c>
      <c r="AF89" t="str">
        <f ca="1">IF(AND($B$294=1,LEN($AF$226) * LEN($AF$209)&gt;0),$AF$226/$AF$209*100,HLOOKUP(INDIRECT(ADDRESS(2,COLUMN())),OFFSET($AT$2,0,0,ROW()-1,40),ROW()-1,FALSE))</f>
        <v/>
      </c>
      <c r="AG89" t="str">
        <f ca="1">IF(AND($B$294=1,LEN($AG$226) * LEN($AG$209)&gt;0),$AG$226/$AG$209*100,HLOOKUP(INDIRECT(ADDRESS(2,COLUMN())),OFFSET($AT$2,0,0,ROW()-1,40),ROW()-1,FALSE))</f>
        <v/>
      </c>
      <c r="AH89" t="str">
        <f ca="1">IF(AND($B$294=1,LEN($AH$226) * LEN($AH$209)&gt;0),$AH$226/$AH$209*100,HLOOKUP(INDIRECT(ADDRESS(2,COLUMN())),OFFSET($AT$2,0,0,ROW()-1,40),ROW()-1,FALSE))</f>
        <v/>
      </c>
      <c r="AI89" t="str">
        <f ca="1">IF(AND($B$294=1,LEN($AI$226) * LEN($AI$209)&gt;0),$AI$226/$AI$209*100,HLOOKUP(INDIRECT(ADDRESS(2,COLUMN())),OFFSET($AT$2,0,0,ROW()-1,40),ROW()-1,FALSE))</f>
        <v/>
      </c>
      <c r="AJ89" t="str">
        <f ca="1">IF(AND($B$294=1,LEN($AJ$226) * LEN($AJ$209)&gt;0),$AJ$226/$AJ$209*100,HLOOKUP(INDIRECT(ADDRESS(2,COLUMN())),OFFSET($AT$2,0,0,ROW()-1,40),ROW()-1,FALSE))</f>
        <v/>
      </c>
      <c r="AK89" t="str">
        <f ca="1">IF(AND($B$294=1,LEN($AK$226) * LEN($AK$209)&gt;0),$AK$226/$AK$209*100,HLOOKUP(INDIRECT(ADDRESS(2,COLUMN())),OFFSET($AT$2,0,0,ROW()-1,40),ROW()-1,FALSE))</f>
        <v/>
      </c>
      <c r="AL89" t="str">
        <f ca="1">IF(AND($B$294=1,LEN($AL$226) * LEN($AL$209)&gt;0),$AL$226/$AL$209*100,HLOOKUP(INDIRECT(ADDRESS(2,COLUMN())),OFFSET($AT$2,0,0,ROW()-1,40),ROW()-1,FALSE))</f>
        <v/>
      </c>
      <c r="AM89" t="str">
        <f ca="1">IF(AND($B$294=1,LEN($AM$226) * LEN($AM$209)&gt;0),$AM$226/$AM$209*100,HLOOKUP(INDIRECT(ADDRESS(2,COLUMN())),OFFSET($AT$2,0,0,ROW()-1,40),ROW()-1,FALSE))</f>
        <v/>
      </c>
      <c r="AN89" t="str">
        <f ca="1">IF(AND($B$294=1,LEN($AN$226) * LEN($AN$209)&gt;0),$AN$226/$AN$209*100,HLOOKUP(INDIRECT(ADDRESS(2,COLUMN())),OFFSET($AT$2,0,0,ROW()-1,40),ROW()-1,FALSE))</f>
        <v/>
      </c>
      <c r="AO89" t="str">
        <f ca="1">IF(AND($B$294=1,LEN($AO$226) * LEN($AO$209)&gt;0),$AO$226/$AO$209*100,HLOOKUP(INDIRECT(ADDRESS(2,COLUMN())),OFFSET($AT$2,0,0,ROW()-1,40),ROW()-1,FALSE))</f>
        <v/>
      </c>
      <c r="AP89" t="str">
        <f ca="1">IF(AND($B$294=1,LEN($AP$226) * LEN($AP$209)&gt;0),$AP$226/$AP$209*100,HLOOKUP(INDIRECT(ADDRESS(2,COLUMN())),OFFSET($AT$2,0,0,ROW()-1,40),ROW()-1,FALSE))</f>
        <v/>
      </c>
      <c r="AQ89" t="str">
        <f ca="1">IF(AND($B$294=1,LEN($AQ$226) * LEN($AQ$209)&gt;0),$AQ$226/$AQ$209*100,HLOOKUP(INDIRECT(ADDRESS(2,COLUMN())),OFFSET($AT$2,0,0,ROW()-1,40),ROW()-1,FALSE))</f>
        <v/>
      </c>
      <c r="AR89" t="str">
        <f ca="1">IF(AND($B$294=1,LEN($AR$226) * LEN($AR$209)&gt;0),$AR$226/$AR$209*100,HLOOKUP(INDIRECT(ADDRESS(2,COLUMN())),OFFSET($AT$2,0,0,ROW()-1,40),ROW()-1,FALSE))</f>
        <v/>
      </c>
      <c r="AS89" t="str">
        <f ca="1">IF(AND($B$294=1,LEN($AS$226) * LEN($AS$209)&gt;0),$AS$226/$AS$209*100,HLOOKUP(INDIRECT(ADDRESS(2,COLUMN())),OFFSET($AT$2,0,0,ROW()-1,40),ROW()-1,FALSE))</f>
        <v/>
      </c>
      <c r="AT89" t="str">
        <f>""</f>
        <v/>
      </c>
      <c r="AU89">
        <f>0.347841598</f>
        <v>0.34784159799999997</v>
      </c>
      <c r="AV89">
        <f>0.190545988</f>
        <v>0.190545988</v>
      </c>
      <c r="AW89">
        <f>0.036029544</f>
        <v>3.6029543999999997E-2</v>
      </c>
      <c r="AX89">
        <f>0</f>
        <v>0</v>
      </c>
      <c r="AY89">
        <f>0</f>
        <v>0</v>
      </c>
      <c r="AZ89">
        <f>0</f>
        <v>0</v>
      </c>
      <c r="BA89">
        <f>0</f>
        <v>0</v>
      </c>
      <c r="BB89">
        <f>0</f>
        <v>0</v>
      </c>
      <c r="BC89">
        <f>0</f>
        <v>0</v>
      </c>
      <c r="BD89">
        <f>0.359312174</f>
        <v>0.35931217399999998</v>
      </c>
      <c r="BE89">
        <f>0.363820111</f>
        <v>0.363820111</v>
      </c>
      <c r="BF89">
        <f>0.177487155</f>
        <v>0.17748715500000001</v>
      </c>
      <c r="BG89">
        <f>0.270087778</f>
        <v>0.270087778</v>
      </c>
      <c r="BH89">
        <f>0.306204674</f>
        <v>0.30620467400000001</v>
      </c>
      <c r="BI89">
        <f>0.28140886</f>
        <v>0.28140885999999998</v>
      </c>
      <c r="BJ89">
        <f>0.222717149</f>
        <v>0.222717149</v>
      </c>
      <c r="BK89">
        <f>0.283986808</f>
        <v>0.28398680799999998</v>
      </c>
      <c r="BL89">
        <f>0.291828794</f>
        <v>0.291828794</v>
      </c>
      <c r="BM89">
        <f>0.160073176</f>
        <v>0.16007317600000001</v>
      </c>
      <c r="BN89">
        <f>0.250649002</f>
        <v>0.25064900200000001</v>
      </c>
      <c r="BO89">
        <f>0.233668597</f>
        <v>0.23366859700000001</v>
      </c>
      <c r="BP89" t="str">
        <f>""</f>
        <v/>
      </c>
      <c r="BQ89" t="str">
        <f>""</f>
        <v/>
      </c>
      <c r="BR89" t="str">
        <f>""</f>
        <v/>
      </c>
      <c r="BS89" t="str">
        <f>""</f>
        <v/>
      </c>
      <c r="BT89" t="str">
        <f>""</f>
        <v/>
      </c>
      <c r="BU89" t="str">
        <f>""</f>
        <v/>
      </c>
      <c r="BV89" t="str">
        <f>""</f>
        <v/>
      </c>
      <c r="BW89" t="str">
        <f>""</f>
        <v/>
      </c>
      <c r="BX89" t="str">
        <f>""</f>
        <v/>
      </c>
      <c r="BY89" t="str">
        <f>""</f>
        <v/>
      </c>
      <c r="BZ89" t="str">
        <f>""</f>
        <v/>
      </c>
      <c r="CA89" t="str">
        <f>""</f>
        <v/>
      </c>
      <c r="CB89" t="str">
        <f>""</f>
        <v/>
      </c>
      <c r="CC89" t="str">
        <f>""</f>
        <v/>
      </c>
      <c r="CD89" t="str">
        <f>""</f>
        <v/>
      </c>
      <c r="CE89" t="str">
        <f>""</f>
        <v/>
      </c>
      <c r="CF89" t="str">
        <f>""</f>
        <v/>
      </c>
      <c r="CG89" t="str">
        <f>""</f>
        <v/>
      </c>
    </row>
    <row r="90" spans="1:85" x14ac:dyDescent="0.25">
      <c r="A90" t="str">
        <f>"    Dina Camiones"</f>
        <v xml:space="preserve">    Dina Camiones</v>
      </c>
      <c r="B90" t="str">
        <f>""</f>
        <v/>
      </c>
      <c r="E90" t="str">
        <f>"Expression"</f>
        <v>Expression</v>
      </c>
      <c r="F90" t="str">
        <f ca="1">IF(AND($B$294=1,LEN($F$227) * LEN($F$209)&gt;0),$F$227/$F$209*100,HLOOKUP(INDIRECT(ADDRESS(2,COLUMN())),OFFSET($AT$2,0,0,ROW()-1,40),ROW()-1,FALSE))</f>
        <v/>
      </c>
      <c r="G90" t="str">
        <f ca="1">IF(AND($B$294=1,LEN($G$227) * LEN($G$209)&gt;0),$G$227/$G$209*100,HLOOKUP(INDIRECT(ADDRESS(2,COLUMN())),OFFSET($AT$2,0,0,ROW()-1,40),ROW()-1,FALSE))</f>
        <v/>
      </c>
      <c r="H90" t="str">
        <f ca="1">IF(AND($B$294=1,LEN($H$227) * LEN($H$209)&gt;0),$H$227/$H$209*100,HLOOKUP(INDIRECT(ADDRESS(2,COLUMN())),OFFSET($AT$2,0,0,ROW()-1,40),ROW()-1,FALSE))</f>
        <v/>
      </c>
      <c r="I90" t="str">
        <f ca="1">IF(AND($B$294=1,LEN($I$227) * LEN($I$209)&gt;0),$I$227/$I$209*100,HLOOKUP(INDIRECT(ADDRESS(2,COLUMN())),OFFSET($AT$2,0,0,ROW()-1,40),ROW()-1,FALSE))</f>
        <v/>
      </c>
      <c r="J90" t="str">
        <f ca="1">IF(AND($B$294=1,LEN($J$227) * LEN($J$209)&gt;0),$J$227/$J$209*100,HLOOKUP(INDIRECT(ADDRESS(2,COLUMN())),OFFSET($AT$2,0,0,ROW()-1,40),ROW()-1,FALSE))</f>
        <v/>
      </c>
      <c r="K90" t="str">
        <f ca="1">IF(AND($B$294=1,LEN($K$227) * LEN($K$209)&gt;0),$K$227/$K$209*100,HLOOKUP(INDIRECT(ADDRESS(2,COLUMN())),OFFSET($AT$2,0,0,ROW()-1,40),ROW()-1,FALSE))</f>
        <v/>
      </c>
      <c r="L90" t="str">
        <f ca="1">IF(AND($B$294=1,LEN($L$227) * LEN($L$209)&gt;0),$L$227/$L$209*100,HLOOKUP(INDIRECT(ADDRESS(2,COLUMN())),OFFSET($AT$2,0,0,ROW()-1,40),ROW()-1,FALSE))</f>
        <v/>
      </c>
      <c r="M90" t="str">
        <f ca="1">IF(AND($B$294=1,LEN($M$227) * LEN($M$209)&gt;0),$M$227/$M$209*100,HLOOKUP(INDIRECT(ADDRESS(2,COLUMN())),OFFSET($AT$2,0,0,ROW()-1,40),ROW()-1,FALSE))</f>
        <v/>
      </c>
      <c r="N90" t="str">
        <f ca="1">IF(AND($B$294=1,LEN($N$227) * LEN($N$209)&gt;0),$N$227/$N$209*100,HLOOKUP(INDIRECT(ADDRESS(2,COLUMN())),OFFSET($AT$2,0,0,ROW()-1,40),ROW()-1,FALSE))</f>
        <v/>
      </c>
      <c r="O90" t="str">
        <f ca="1">IF(AND($B$294=1,LEN($O$227) * LEN($O$209)&gt;0),$O$227/$O$209*100,HLOOKUP(INDIRECT(ADDRESS(2,COLUMN())),OFFSET($AT$2,0,0,ROW()-1,40),ROW()-1,FALSE))</f>
        <v/>
      </c>
      <c r="P90">
        <f ca="1">IF(AND($B$294=1,LEN($P$227) * LEN($P$209)&gt;0),$P$227/$P$209*100,HLOOKUP(INDIRECT(ADDRESS(2,COLUMN())),OFFSET($AT$2,0,0,ROW()-1,40),ROW()-1,FALSE))</f>
        <v>0.11977072499999999</v>
      </c>
      <c r="Q90">
        <f ca="1">IF(AND($B$294=1,LEN($Q$227) * LEN($Q$209)&gt;0),$Q$227/$Q$209*100,HLOOKUP(INDIRECT(ADDRESS(2,COLUMN())),OFFSET($AT$2,0,0,ROW()-1,40),ROW()-1,FALSE))</f>
        <v>0.12127337000000001</v>
      </c>
      <c r="R90">
        <f ca="1">IF(AND($B$294=1,LEN($R$227) * LEN($R$209)&gt;0),$R$227/$R$209*100,HLOOKUP(INDIRECT(ADDRESS(2,COLUMN())),OFFSET($AT$2,0,0,ROW()-1,40),ROW()-1,FALSE))</f>
        <v>9.3414291999999996E-2</v>
      </c>
      <c r="S90">
        <f ca="1">IF(AND($B$294=1,LEN($S$227) * LEN($S$209)&gt;0),$S$227/$S$209*100,HLOOKUP(INDIRECT(ADDRESS(2,COLUMN())),OFFSET($AT$2,0,0,ROW()-1,40),ROW()-1,FALSE))</f>
        <v>8.4402431E-2</v>
      </c>
      <c r="T90">
        <f ca="1">IF(AND($B$294=1,LEN($T$227) * LEN($T$209)&gt;0),$T$227/$T$209*100,HLOOKUP(INDIRECT(ADDRESS(2,COLUMN())),OFFSET($AT$2,0,0,ROW()-1,40),ROW()-1,FALSE))</f>
        <v>0.112812248</v>
      </c>
      <c r="U90">
        <f ca="1">IF(AND($B$294=1,LEN($U$227) * LEN($U$209)&gt;0),$U$227/$U$209*100,HLOOKUP(INDIRECT(ADDRESS(2,COLUMN())),OFFSET($AT$2,0,0,ROW()-1,40),ROW()-1,FALSE))</f>
        <v>0.10893246199999999</v>
      </c>
      <c r="V90">
        <f ca="1">IF(AND($B$294=1,LEN($V$227) * LEN($V$209)&gt;0),$V$227/$V$209*100,HLOOKUP(INDIRECT(ADDRESS(2,COLUMN())),OFFSET($AT$2,0,0,ROW()-1,40),ROW()-1,FALSE))</f>
        <v>0.128490663</v>
      </c>
      <c r="W90">
        <f ca="1">IF(AND($B$294=1,LEN($W$227) * LEN($W$209)&gt;0),$W$227/$W$209*100,HLOOKUP(INDIRECT(ADDRESS(2,COLUMN())),OFFSET($AT$2,0,0,ROW()-1,40),ROW()-1,FALSE))</f>
        <v>9.1608648000000001E-2</v>
      </c>
      <c r="X90">
        <f ca="1">IF(AND($B$294=1,LEN($X$227) * LEN($X$209)&gt;0),$X$227/$X$209*100,HLOOKUP(INDIRECT(ADDRESS(2,COLUMN())),OFFSET($AT$2,0,0,ROW()-1,40),ROW()-1,FALSE))</f>
        <v>7.9589671000000001E-2</v>
      </c>
      <c r="Y90">
        <f ca="1">IF(AND($B$294=1,LEN($Y$227) * LEN($Y$209)&gt;0),$Y$227/$Y$209*100,HLOOKUP(INDIRECT(ADDRESS(2,COLUMN())),OFFSET($AT$2,0,0,ROW()-1,40),ROW()-1,FALSE))</f>
        <v>9.9092919000000002E-2</v>
      </c>
      <c r="Z90">
        <f ca="1">IF(AND($B$294=1,LEN($Z$227) * LEN($Z$209)&gt;0),$Z$227/$Z$209*100,HLOOKUP(INDIRECT(ADDRESS(2,COLUMN())),OFFSET($AT$2,0,0,ROW()-1,40),ROW()-1,FALSE))</f>
        <v>7.1614000999999997E-2</v>
      </c>
      <c r="AA90">
        <f ca="1">IF(AND($B$294=1,LEN($AA$227) * LEN($AA$209)&gt;0),$AA$227/$AA$209*100,HLOOKUP(INDIRECT(ADDRESS(2,COLUMN())),OFFSET($AT$2,0,0,ROW()-1,40),ROW()-1,FALSE))</f>
        <v>6.0957024999999998E-2</v>
      </c>
      <c r="AB90">
        <f ca="1">IF(AND($B$294=1,LEN($AB$227) * LEN($AB$209)&gt;0),$AB$227/$AB$209*100,HLOOKUP(INDIRECT(ADDRESS(2,COLUMN())),OFFSET($AT$2,0,0,ROW()-1,40),ROW()-1,FALSE))</f>
        <v>0.44835316400000003</v>
      </c>
      <c r="AC90">
        <f ca="1">IF(AND($B$294=1,LEN($AC$227) * LEN($AC$209)&gt;0),$AC$227/$AC$209*100,HLOOKUP(INDIRECT(ADDRESS(2,COLUMN())),OFFSET($AT$2,0,0,ROW()-1,40),ROW()-1,FALSE))</f>
        <v>0.39821750299999997</v>
      </c>
      <c r="AD90">
        <f ca="1">IF(AND($B$294=1,LEN($AD$227) * LEN($AD$209)&gt;0),$AD$227/$AD$209*100,HLOOKUP(INDIRECT(ADDRESS(2,COLUMN())),OFFSET($AT$2,0,0,ROW()-1,40),ROW()-1,FALSE))</f>
        <v>0.32445923500000001</v>
      </c>
      <c r="AE90">
        <f ca="1">IF(AND($B$294=1,LEN($AE$227) * LEN($AE$209)&gt;0),$AE$227/$AE$209*100,HLOOKUP(INDIRECT(ADDRESS(2,COLUMN())),OFFSET($AT$2,0,0,ROW()-1,40),ROW()-1,FALSE))</f>
        <v>0.33614972300000001</v>
      </c>
      <c r="AF90">
        <f ca="1">IF(AND($B$294=1,LEN($AF$227) * LEN($AF$209)&gt;0),$AF$227/$AF$209*100,HLOOKUP(INDIRECT(ADDRESS(2,COLUMN())),OFFSET($AT$2,0,0,ROW()-1,40),ROW()-1,FALSE))</f>
        <v>0.330829757</v>
      </c>
      <c r="AG90">
        <f ca="1">IF(AND($B$294=1,LEN($AG$227) * LEN($AG$209)&gt;0),$AG$227/$AG$209*100,HLOOKUP(INDIRECT(ADDRESS(2,COLUMN())),OFFSET($AT$2,0,0,ROW()-1,40),ROW()-1,FALSE))</f>
        <v>0.32337004000000003</v>
      </c>
      <c r="AH90">
        <f ca="1">IF(AND($B$294=1,LEN($AH$227) * LEN($AH$209)&gt;0),$AH$227/$AH$209*100,HLOOKUP(INDIRECT(ADDRESS(2,COLUMN())),OFFSET($AT$2,0,0,ROW()-1,40),ROW()-1,FALSE))</f>
        <v>0.30742204699999998</v>
      </c>
      <c r="AI90">
        <f ca="1">IF(AND($B$294=1,LEN($AI$227) * LEN($AI$209)&gt;0),$AI$227/$AI$209*100,HLOOKUP(INDIRECT(ADDRESS(2,COLUMN())),OFFSET($AT$2,0,0,ROW()-1,40),ROW()-1,FALSE))</f>
        <v>0.34828495999999998</v>
      </c>
      <c r="AJ90">
        <f ca="1">IF(AND($B$294=1,LEN($AJ$227) * LEN($AJ$209)&gt;0),$AJ$227/$AJ$209*100,HLOOKUP(INDIRECT(ADDRESS(2,COLUMN())),OFFSET($AT$2,0,0,ROW()-1,40),ROW()-1,FALSE))</f>
        <v>0.31108881100000002</v>
      </c>
      <c r="AK90">
        <f ca="1">IF(AND($B$294=1,LEN($AK$227) * LEN($AK$209)&gt;0),$AK$227/$AK$209*100,HLOOKUP(INDIRECT(ADDRESS(2,COLUMN())),OFFSET($AT$2,0,0,ROW()-1,40),ROW()-1,FALSE))</f>
        <v>0.35069261800000001</v>
      </c>
      <c r="AL90">
        <f ca="1">IF(AND($B$294=1,LEN($AL$227) * LEN($AL$209)&gt;0),$AL$227/$AL$209*100,HLOOKUP(INDIRECT(ADDRESS(2,COLUMN())),OFFSET($AT$2,0,0,ROW()-1,40),ROW()-1,FALSE))</f>
        <v>0.42035398200000001</v>
      </c>
      <c r="AM90">
        <f ca="1">IF(AND($B$294=1,LEN($AM$227) * LEN($AM$209)&gt;0),$AM$227/$AM$209*100,HLOOKUP(INDIRECT(ADDRESS(2,COLUMN())),OFFSET($AT$2,0,0,ROW()-1,40),ROW()-1,FALSE))</f>
        <v>0.43511367299999998</v>
      </c>
      <c r="AN90">
        <f ca="1">IF(AND($B$294=1,LEN($AN$227) * LEN($AN$209)&gt;0),$AN$227/$AN$209*100,HLOOKUP(INDIRECT(ADDRESS(2,COLUMN())),OFFSET($AT$2,0,0,ROW()-1,40),ROW()-1,FALSE))</f>
        <v>0.159900506</v>
      </c>
      <c r="AO90">
        <f ca="1">IF(AND($B$294=1,LEN($AO$227) * LEN($AO$209)&gt;0),$AO$227/$AO$209*100,HLOOKUP(INDIRECT(ADDRESS(2,COLUMN())),OFFSET($AT$2,0,0,ROW()-1,40),ROW()-1,FALSE))</f>
        <v>0.200476131</v>
      </c>
      <c r="AP90">
        <f ca="1">IF(AND($B$294=1,LEN($AP$227) * LEN($AP$209)&gt;0),$AP$227/$AP$209*100,HLOOKUP(INDIRECT(ADDRESS(2,COLUMN())),OFFSET($AT$2,0,0,ROW()-1,40),ROW()-1,FALSE))</f>
        <v>0.15026296</v>
      </c>
      <c r="AQ90">
        <f ca="1">IF(AND($B$294=1,LEN($AQ$227) * LEN($AQ$209)&gt;0),$AQ$227/$AQ$209*100,HLOOKUP(INDIRECT(ADDRESS(2,COLUMN())),OFFSET($AT$2,0,0,ROW()-1,40),ROW()-1,FALSE))</f>
        <v>1.1999625009999999</v>
      </c>
      <c r="AR90">
        <f ca="1">IF(AND($B$294=1,LEN($AR$227) * LEN($AR$209)&gt;0),$AR$227/$AR$209*100,HLOOKUP(INDIRECT(ADDRESS(2,COLUMN())),OFFSET($AT$2,0,0,ROW()-1,40),ROW()-1,FALSE))</f>
        <v>0.29213256799999998</v>
      </c>
      <c r="AS90">
        <f ca="1">IF(AND($B$294=1,LEN($AS$227) * LEN($AS$209)&gt;0),$AS$227/$AS$209*100,HLOOKUP(INDIRECT(ADDRESS(2,COLUMN())),OFFSET($AT$2,0,0,ROW()-1,40),ROW()-1,FALSE))</f>
        <v>8.0811708999999995E-2</v>
      </c>
      <c r="AT90" t="str">
        <f>""</f>
        <v/>
      </c>
      <c r="AU90" t="str">
        <f>""</f>
        <v/>
      </c>
      <c r="AV90" t="str">
        <f>""</f>
        <v/>
      </c>
      <c r="AW90" t="str">
        <f>""</f>
        <v/>
      </c>
      <c r="AX90" t="str">
        <f>""</f>
        <v/>
      </c>
      <c r="AY90" t="str">
        <f>""</f>
        <v/>
      </c>
      <c r="AZ90" t="str">
        <f>""</f>
        <v/>
      </c>
      <c r="BA90" t="str">
        <f>""</f>
        <v/>
      </c>
      <c r="BB90" t="str">
        <f>""</f>
        <v/>
      </c>
      <c r="BC90" t="str">
        <f>""</f>
        <v/>
      </c>
      <c r="BD90">
        <f>0.119770725</f>
        <v>0.11977072499999999</v>
      </c>
      <c r="BE90">
        <f>0.12127337</f>
        <v>0.12127337000000001</v>
      </c>
      <c r="BF90">
        <f>0.093414292</f>
        <v>9.3414291999999996E-2</v>
      </c>
      <c r="BG90">
        <f>0.084402431</f>
        <v>8.4402431E-2</v>
      </c>
      <c r="BH90">
        <f>0.112812248</f>
        <v>0.112812248</v>
      </c>
      <c r="BI90">
        <f>0.108932462</f>
        <v>0.10893246199999999</v>
      </c>
      <c r="BJ90">
        <f>0.128490663</f>
        <v>0.128490663</v>
      </c>
      <c r="BK90">
        <f>0.091608648</f>
        <v>9.1608648000000001E-2</v>
      </c>
      <c r="BL90">
        <f>0.079589671</f>
        <v>7.9589671000000001E-2</v>
      </c>
      <c r="BM90">
        <f>0.099092919</f>
        <v>9.9092919000000002E-2</v>
      </c>
      <c r="BN90">
        <f>0.071614001</f>
        <v>7.1614000999999997E-2</v>
      </c>
      <c r="BO90">
        <f>0.060957025</f>
        <v>6.0957024999999998E-2</v>
      </c>
      <c r="BP90">
        <f>0.448353164</f>
        <v>0.44835316400000003</v>
      </c>
      <c r="BQ90">
        <f>0.398217503</f>
        <v>0.39821750299999997</v>
      </c>
      <c r="BR90">
        <f>0.324459235</f>
        <v>0.32445923500000001</v>
      </c>
      <c r="BS90">
        <f>0.336149723</f>
        <v>0.33614972300000001</v>
      </c>
      <c r="BT90">
        <f>0.330829757</f>
        <v>0.330829757</v>
      </c>
      <c r="BU90">
        <f>0.32337004</f>
        <v>0.32337004000000003</v>
      </c>
      <c r="BV90">
        <f>0.307422047</f>
        <v>0.30742204699999998</v>
      </c>
      <c r="BW90">
        <f>0.34828496</f>
        <v>0.34828495999999998</v>
      </c>
      <c r="BX90">
        <f>0.311088811</f>
        <v>0.31108881100000002</v>
      </c>
      <c r="BY90">
        <f>0.350692618</f>
        <v>0.35069261800000001</v>
      </c>
      <c r="BZ90">
        <f>0.420353982</f>
        <v>0.42035398200000001</v>
      </c>
      <c r="CA90">
        <f>0.435113673</f>
        <v>0.43511367299999998</v>
      </c>
      <c r="CB90">
        <f>0.159900506</f>
        <v>0.159900506</v>
      </c>
      <c r="CC90">
        <f>0.200476131</f>
        <v>0.200476131</v>
      </c>
      <c r="CD90">
        <f>0.15026296</f>
        <v>0.15026296</v>
      </c>
      <c r="CE90">
        <f>1.199962501</f>
        <v>1.1999625009999999</v>
      </c>
      <c r="CF90">
        <f>0.292132568</f>
        <v>0.29213256799999998</v>
      </c>
      <c r="CG90">
        <f>0.080811709</f>
        <v>8.0811708999999995E-2</v>
      </c>
    </row>
    <row r="91" spans="1:85" x14ac:dyDescent="0.25">
      <c r="A91" t="str">
        <f>"    General Motors"</f>
        <v xml:space="preserve">    General Motors</v>
      </c>
      <c r="B91" t="str">
        <f>"MTLQQ US Equity"</f>
        <v>MTLQQ US Equity</v>
      </c>
      <c r="E91" t="str">
        <f>"Sum"</f>
        <v>Sum</v>
      </c>
      <c r="F91" t="str">
        <f ca="1">IF(ISERROR(IF(SUM($F$92:$F$93) = 0, "", SUM($F$92:$F$93))), "", (IF(SUM($F$92:$F$93) = 0, "", SUM($F$92:$F$93))))</f>
        <v/>
      </c>
      <c r="G91" t="str">
        <f ca="1">IF(ISERROR(IF(SUM($G$92:$G$93) = 0, "", SUM($G$92:$G$93))), "", (IF(SUM($G$92:$G$93) = 0, "", SUM($G$92:$G$93))))</f>
        <v/>
      </c>
      <c r="H91" t="str">
        <f ca="1">IF(ISERROR(IF(SUM($H$92:$H$93) = 0, "", SUM($H$92:$H$93))), "", (IF(SUM($H$92:$H$93) = 0, "", SUM($H$92:$H$93))))</f>
        <v/>
      </c>
      <c r="I91" t="str">
        <f ca="1">IF(ISERROR(IF(SUM($I$92:$I$93) = 0, "", SUM($I$92:$I$93))), "", (IF(SUM($I$92:$I$93) = 0, "", SUM($I$92:$I$93))))</f>
        <v/>
      </c>
      <c r="J91" t="str">
        <f ca="1">IF(ISERROR(IF(SUM($J$92:$J$93) = 0, "", SUM($J$92:$J$93))), "", (IF(SUM($J$92:$J$93) = 0, "", SUM($J$92:$J$93))))</f>
        <v/>
      </c>
      <c r="K91" t="str">
        <f ca="1">IF(ISERROR(IF(SUM($K$92:$K$93) = 0, "", SUM($K$92:$K$93))), "", (IF(SUM($K$92:$K$93) = 0, "", SUM($K$92:$K$93))))</f>
        <v/>
      </c>
      <c r="L91" t="str">
        <f ca="1">IF(ISERROR(IF(SUM($L$92:$L$93) = 0, "", SUM($L$92:$L$93))), "", (IF(SUM($L$92:$L$93) = 0, "", SUM($L$92:$L$93))))</f>
        <v/>
      </c>
      <c r="M91" t="str">
        <f ca="1">IF(ISERROR(IF(SUM($M$92:$M$93) = 0, "", SUM($M$92:$M$93))), "", (IF(SUM($M$92:$M$93) = 0, "", SUM($M$92:$M$93))))</f>
        <v/>
      </c>
      <c r="N91" t="str">
        <f ca="1">IF(ISERROR(IF(SUM($N$92:$N$93) = 0, "", SUM($N$92:$N$93))), "", (IF(SUM($N$92:$N$93) = 0, "", SUM($N$92:$N$93))))</f>
        <v/>
      </c>
      <c r="O91" t="str">
        <f ca="1">IF(ISERROR(IF(SUM($O$92:$O$93) = 0, "", SUM($O$92:$O$93))), "", (IF(SUM($O$92:$O$93) = 0, "", SUM($O$92:$O$93))))</f>
        <v/>
      </c>
      <c r="P91" t="str">
        <f ca="1">IF(ISERROR(IF(SUM($P$92:$P$93) = 0, "", SUM($P$92:$P$93))), "", (IF(SUM($P$92:$P$93) = 0, "", SUM($P$92:$P$93))))</f>
        <v/>
      </c>
      <c r="Q91" t="str">
        <f ca="1">IF(ISERROR(IF(SUM($Q$92:$Q$93) = 0, "", SUM($Q$92:$Q$93))), "", (IF(SUM($Q$92:$Q$93) = 0, "", SUM($Q$92:$Q$93))))</f>
        <v/>
      </c>
      <c r="R91" t="str">
        <f ca="1">IF(ISERROR(IF(SUM($R$92:$R$93) = 0, "", SUM($R$92:$R$93))), "", (IF(SUM($R$92:$R$93) = 0, "", SUM($R$92:$R$93))))</f>
        <v/>
      </c>
      <c r="S91" t="str">
        <f ca="1">IF(ISERROR(IF(SUM($S$92:$S$93) = 0, "", SUM($S$92:$S$93))), "", (IF(SUM($S$92:$S$93) = 0, "", SUM($S$92:$S$93))))</f>
        <v/>
      </c>
      <c r="T91" t="str">
        <f ca="1">IF(ISERROR(IF(SUM($T$92:$T$93) = 0, "", SUM($T$92:$T$93))), "", (IF(SUM($T$92:$T$93) = 0, "", SUM($T$92:$T$93))))</f>
        <v/>
      </c>
      <c r="U91" t="str">
        <f ca="1">IF(ISERROR(IF(SUM($U$92:$U$93) = 0, "", SUM($U$92:$U$93))), "", (IF(SUM($U$92:$U$93) = 0, "", SUM($U$92:$U$93))))</f>
        <v/>
      </c>
      <c r="V91" t="str">
        <f ca="1">IF(ISERROR(IF(SUM($V$92:$V$93) = 0, "", SUM($V$92:$V$93))), "", (IF(SUM($V$92:$V$93) = 0, "", SUM($V$92:$V$93))))</f>
        <v/>
      </c>
      <c r="W91" t="str">
        <f ca="1">IF(ISERROR(IF(SUM($W$92:$W$93) = 0, "", SUM($W$92:$W$93))), "", (IF(SUM($W$92:$W$93) = 0, "", SUM($W$92:$W$93))))</f>
        <v/>
      </c>
      <c r="X91" t="str">
        <f ca="1">IF(ISERROR(IF(SUM($X$92:$X$93) = 0, "", SUM($X$92:$X$93))), "", (IF(SUM($X$92:$X$93) = 0, "", SUM($X$92:$X$93))))</f>
        <v/>
      </c>
      <c r="Y91" t="str">
        <f ca="1">IF(ISERROR(IF(SUM($Y$92:$Y$93) = 0, "", SUM($Y$92:$Y$93))), "", (IF(SUM($Y$92:$Y$93) = 0, "", SUM($Y$92:$Y$93))))</f>
        <v/>
      </c>
      <c r="Z91" t="str">
        <f ca="1">IF(ISERROR(IF(SUM($Z$92:$Z$93) = 0, "", SUM($Z$92:$Z$93))), "", (IF(SUM($Z$92:$Z$93) = 0, "", SUM($Z$92:$Z$93))))</f>
        <v/>
      </c>
      <c r="AA91" t="str">
        <f ca="1">IF(ISERROR(IF(SUM($AA$92:$AA$93) = 0, "", SUM($AA$92:$AA$93))), "", (IF(SUM($AA$92:$AA$93) = 0, "", SUM($AA$92:$AA$93))))</f>
        <v/>
      </c>
      <c r="AB91" t="str">
        <f ca="1">IF(ISERROR(IF(SUM($AB$92:$AB$93) = 0, "", SUM($AB$92:$AB$93))), "", (IF(SUM($AB$92:$AB$93) = 0, "", SUM($AB$92:$AB$93))))</f>
        <v/>
      </c>
      <c r="AC91" t="str">
        <f ca="1">IF(ISERROR(IF(SUM($AC$92:$AC$93) = 0, "", SUM($AC$92:$AC$93))), "", (IF(SUM($AC$92:$AC$93) = 0, "", SUM($AC$92:$AC$93))))</f>
        <v/>
      </c>
      <c r="AD91" t="str">
        <f ca="1">IF(ISERROR(IF(SUM($AD$92:$AD$93) = 0, "", SUM($AD$92:$AD$93))), "", (IF(SUM($AD$92:$AD$93) = 0, "", SUM($AD$92:$AD$93))))</f>
        <v/>
      </c>
      <c r="AE91" t="str">
        <f ca="1">IF(ISERROR(IF(SUM($AE$92:$AE$93) = 0, "", SUM($AE$92:$AE$93))), "", (IF(SUM($AE$92:$AE$93) = 0, "", SUM($AE$92:$AE$93))))</f>
        <v/>
      </c>
      <c r="AF91" t="str">
        <f ca="1">IF(ISERROR(IF(SUM($AF$92:$AF$93) = 0, "", SUM($AF$92:$AF$93))), "", (IF(SUM($AF$92:$AF$93) = 0, "", SUM($AF$92:$AF$93))))</f>
        <v/>
      </c>
      <c r="AG91" t="str">
        <f ca="1">IF(ISERROR(IF(SUM($AG$92:$AG$93) = 0, "", SUM($AG$92:$AG$93))), "", (IF(SUM($AG$92:$AG$93) = 0, "", SUM($AG$92:$AG$93))))</f>
        <v/>
      </c>
      <c r="AH91" t="str">
        <f ca="1">IF(ISERROR(IF(SUM($AH$92:$AH$93) = 0, "", SUM($AH$92:$AH$93))), "", (IF(SUM($AH$92:$AH$93) = 0, "", SUM($AH$92:$AH$93))))</f>
        <v/>
      </c>
      <c r="AI91" t="str">
        <f ca="1">IF(ISERROR(IF(SUM($AI$92:$AI$93) = 0, "", SUM($AI$92:$AI$93))), "", (IF(SUM($AI$92:$AI$93) = 0, "", SUM($AI$92:$AI$93))))</f>
        <v/>
      </c>
      <c r="AJ91" t="str">
        <f ca="1">IF(ISERROR(IF(SUM($AJ$92:$AJ$93) = 0, "", SUM($AJ$92:$AJ$93))), "", (IF(SUM($AJ$92:$AJ$93) = 0, "", SUM($AJ$92:$AJ$93))))</f>
        <v/>
      </c>
      <c r="AK91" t="str">
        <f ca="1">IF(ISERROR(IF(SUM($AK$92:$AK$93) = 0, "", SUM($AK$92:$AK$93))), "", (IF(SUM($AK$92:$AK$93) = 0, "", SUM($AK$92:$AK$93))))</f>
        <v/>
      </c>
      <c r="AL91" t="str">
        <f ca="1">IF(ISERROR(IF(SUM($AL$92:$AL$93) = 0, "", SUM($AL$92:$AL$93))), "", (IF(SUM($AL$92:$AL$93) = 0, "", SUM($AL$92:$AL$93))))</f>
        <v/>
      </c>
      <c r="AM91" t="str">
        <f ca="1">IF(ISERROR(IF(SUM($AM$92:$AM$93) = 0, "", SUM($AM$92:$AM$93))), "", (IF(SUM($AM$92:$AM$93) = 0, "", SUM($AM$92:$AM$93))))</f>
        <v/>
      </c>
      <c r="AN91" t="str">
        <f ca="1">IF(ISERROR(IF(SUM($AN$92:$AN$93) = 0, "", SUM($AN$92:$AN$93))), "", (IF(SUM($AN$92:$AN$93) = 0, "", SUM($AN$92:$AN$93))))</f>
        <v/>
      </c>
      <c r="AO91" t="str">
        <f ca="1">IF(ISERROR(IF(SUM($AO$92:$AO$93) = 0, "", SUM($AO$92:$AO$93))), "", (IF(SUM($AO$92:$AO$93) = 0, "", SUM($AO$92:$AO$93))))</f>
        <v/>
      </c>
      <c r="AP91" t="str">
        <f ca="1">IF(ISERROR(IF(SUM($AP$92:$AP$93) = 0, "", SUM($AP$92:$AP$93))), "", (IF(SUM($AP$92:$AP$93) = 0, "", SUM($AP$92:$AP$93))))</f>
        <v/>
      </c>
      <c r="AQ91" t="str">
        <f ca="1">IF(ISERROR(IF(SUM($AQ$92:$AQ$93) = 0, "", SUM($AQ$92:$AQ$93))), "", (IF(SUM($AQ$92:$AQ$93) = 0, "", SUM($AQ$92:$AQ$93))))</f>
        <v/>
      </c>
      <c r="AR91" t="str">
        <f ca="1">IF(ISERROR(IF(SUM($AR$92:$AR$93) = 0, "", SUM($AR$92:$AR$93))), "", (IF(SUM($AR$92:$AR$93) = 0, "", SUM($AR$92:$AR$93))))</f>
        <v/>
      </c>
      <c r="AS91" t="str">
        <f ca="1">IF(ISERROR(IF(SUM($AS$92:$AS$93) = 0, "", SUM($AS$92:$AS$93))), "", (IF(SUM($AS$92:$AS$93) = 0, "", SUM($AS$92:$AS$93))))</f>
        <v/>
      </c>
      <c r="AT91" t="str">
        <f>""</f>
        <v/>
      </c>
      <c r="AU91" t="str">
        <f>""</f>
        <v/>
      </c>
      <c r="AV91" t="str">
        <f>""</f>
        <v/>
      </c>
      <c r="AW91" t="str">
        <f>""</f>
        <v/>
      </c>
      <c r="AX91" t="str">
        <f>""</f>
        <v/>
      </c>
      <c r="AY91" t="str">
        <f>""</f>
        <v/>
      </c>
      <c r="AZ91" t="str">
        <f>""</f>
        <v/>
      </c>
      <c r="BA91" t="str">
        <f>""</f>
        <v/>
      </c>
      <c r="BB91" t="str">
        <f>""</f>
        <v/>
      </c>
      <c r="BC91" t="str">
        <f>""</f>
        <v/>
      </c>
      <c r="BD91" t="str">
        <f>""</f>
        <v/>
      </c>
      <c r="BE91" t="str">
        <f>""</f>
        <v/>
      </c>
      <c r="BF91" t="str">
        <f>""</f>
        <v/>
      </c>
      <c r="BG91" t="str">
        <f>""</f>
        <v/>
      </c>
      <c r="BH91" t="str">
        <f>""</f>
        <v/>
      </c>
      <c r="BI91" t="str">
        <f>""</f>
        <v/>
      </c>
      <c r="BJ91" t="str">
        <f>""</f>
        <v/>
      </c>
      <c r="BK91" t="str">
        <f>""</f>
        <v/>
      </c>
      <c r="BL91" t="str">
        <f>""</f>
        <v/>
      </c>
      <c r="BM91" t="str">
        <f>""</f>
        <v/>
      </c>
      <c r="BN91" t="str">
        <f>""</f>
        <v/>
      </c>
      <c r="BO91" t="str">
        <f>""</f>
        <v/>
      </c>
      <c r="BP91" t="str">
        <f>""</f>
        <v/>
      </c>
      <c r="BQ91" t="str">
        <f>""</f>
        <v/>
      </c>
      <c r="BR91" t="str">
        <f>""</f>
        <v/>
      </c>
      <c r="BS91" t="str">
        <f>""</f>
        <v/>
      </c>
      <c r="BT91" t="str">
        <f>""</f>
        <v/>
      </c>
      <c r="BU91" t="str">
        <f>""</f>
        <v/>
      </c>
      <c r="BV91" t="str">
        <f>""</f>
        <v/>
      </c>
      <c r="BW91" t="str">
        <f>""</f>
        <v/>
      </c>
      <c r="BX91" t="str">
        <f>""</f>
        <v/>
      </c>
      <c r="BY91" t="str">
        <f>""</f>
        <v/>
      </c>
      <c r="BZ91" t="str">
        <f>""</f>
        <v/>
      </c>
      <c r="CA91" t="str">
        <f>""</f>
        <v/>
      </c>
      <c r="CB91" t="str">
        <f>""</f>
        <v/>
      </c>
      <c r="CC91" t="str">
        <f>""</f>
        <v/>
      </c>
      <c r="CD91" t="str">
        <f>""</f>
        <v/>
      </c>
      <c r="CE91" t="str">
        <f>""</f>
        <v/>
      </c>
      <c r="CF91" t="str">
        <f>""</f>
        <v/>
      </c>
      <c r="CG91" t="str">
        <f>""</f>
        <v/>
      </c>
    </row>
    <row r="92" spans="1:85" x14ac:dyDescent="0.25">
      <c r="A92" t="str">
        <f>"        GMC"</f>
        <v xml:space="preserve">        GMC</v>
      </c>
      <c r="B92" t="str">
        <f>"MTLQQ US Equity"</f>
        <v>MTLQQ US Equity</v>
      </c>
      <c r="E92" t="str">
        <f>"Expression"</f>
        <v>Expression</v>
      </c>
      <c r="F92" t="str">
        <f ca="1">IF(AND($B$294=1,LEN($F$228) * LEN($F$209)&gt;0),$F$228/$F$209*100,HLOOKUP(INDIRECT(ADDRESS(2,COLUMN())),OFFSET($AT$2,0,0,ROW()-1,40),ROW()-1,FALSE))</f>
        <v/>
      </c>
      <c r="G92" t="str">
        <f ca="1">IF(AND($B$294=1,LEN($G$228) * LEN($G$209)&gt;0),$G$228/$G$209*100,HLOOKUP(INDIRECT(ADDRESS(2,COLUMN())),OFFSET($AT$2,0,0,ROW()-1,40),ROW()-1,FALSE))</f>
        <v/>
      </c>
      <c r="H92" t="str">
        <f ca="1">IF(AND($B$294=1,LEN($H$228) * LEN($H$209)&gt;0),$H$228/$H$209*100,HLOOKUP(INDIRECT(ADDRESS(2,COLUMN())),OFFSET($AT$2,0,0,ROW()-1,40),ROW()-1,FALSE))</f>
        <v/>
      </c>
      <c r="I92" t="str">
        <f ca="1">IF(AND($B$294=1,LEN($I$228) * LEN($I$209)&gt;0),$I$228/$I$209*100,HLOOKUP(INDIRECT(ADDRESS(2,COLUMN())),OFFSET($AT$2,0,0,ROW()-1,40),ROW()-1,FALSE))</f>
        <v/>
      </c>
      <c r="J92" t="str">
        <f ca="1">IF(AND($B$294=1,LEN($J$228) * LEN($J$209)&gt;0),$J$228/$J$209*100,HLOOKUP(INDIRECT(ADDRESS(2,COLUMN())),OFFSET($AT$2,0,0,ROW()-1,40),ROW()-1,FALSE))</f>
        <v/>
      </c>
      <c r="K92" t="str">
        <f ca="1">IF(AND($B$294=1,LEN($K$228) * LEN($K$209)&gt;0),$K$228/$K$209*100,HLOOKUP(INDIRECT(ADDRESS(2,COLUMN())),OFFSET($AT$2,0,0,ROW()-1,40),ROW()-1,FALSE))</f>
        <v/>
      </c>
      <c r="L92" t="str">
        <f ca="1">IF(AND($B$294=1,LEN($L$228) * LEN($L$209)&gt;0),$L$228/$L$209*100,HLOOKUP(INDIRECT(ADDRESS(2,COLUMN())),OFFSET($AT$2,0,0,ROW()-1,40),ROW()-1,FALSE))</f>
        <v/>
      </c>
      <c r="M92" t="str">
        <f ca="1">IF(AND($B$294=1,LEN($M$228) * LEN($M$209)&gt;0),$M$228/$M$209*100,HLOOKUP(INDIRECT(ADDRESS(2,COLUMN())),OFFSET($AT$2,0,0,ROW()-1,40),ROW()-1,FALSE))</f>
        <v/>
      </c>
      <c r="N92" t="str">
        <f ca="1">IF(AND($B$294=1,LEN($N$228) * LEN($N$209)&gt;0),$N$228/$N$209*100,HLOOKUP(INDIRECT(ADDRESS(2,COLUMN())),OFFSET($AT$2,0,0,ROW()-1,40),ROW()-1,FALSE))</f>
        <v/>
      </c>
      <c r="O92" t="str">
        <f ca="1">IF(AND($B$294=1,LEN($O$228) * LEN($O$209)&gt;0),$O$228/$O$209*100,HLOOKUP(INDIRECT(ADDRESS(2,COLUMN())),OFFSET($AT$2,0,0,ROW()-1,40),ROW()-1,FALSE))</f>
        <v/>
      </c>
      <c r="P92" t="str">
        <f ca="1">IF(AND($B$294=1,LEN($P$228) * LEN($P$209)&gt;0),$P$228/$P$209*100,HLOOKUP(INDIRECT(ADDRESS(2,COLUMN())),OFFSET($AT$2,0,0,ROW()-1,40),ROW()-1,FALSE))</f>
        <v/>
      </c>
      <c r="Q92" t="str">
        <f ca="1">IF(AND($B$294=1,LEN($Q$228) * LEN($Q$209)&gt;0),$Q$228/$Q$209*100,HLOOKUP(INDIRECT(ADDRESS(2,COLUMN())),OFFSET($AT$2,0,0,ROW()-1,40),ROW()-1,FALSE))</f>
        <v/>
      </c>
      <c r="R92" t="str">
        <f ca="1">IF(AND($B$294=1,LEN($R$228) * LEN($R$209)&gt;0),$R$228/$R$209*100,HLOOKUP(INDIRECT(ADDRESS(2,COLUMN())),OFFSET($AT$2,0,0,ROW()-1,40),ROW()-1,FALSE))</f>
        <v/>
      </c>
      <c r="S92" t="str">
        <f ca="1">IF(AND($B$294=1,LEN($S$228) * LEN($S$209)&gt;0),$S$228/$S$209*100,HLOOKUP(INDIRECT(ADDRESS(2,COLUMN())),OFFSET($AT$2,0,0,ROW()-1,40),ROW()-1,FALSE))</f>
        <v/>
      </c>
      <c r="T92" t="str">
        <f ca="1">IF(AND($B$294=1,LEN($T$228) * LEN($T$209)&gt;0),$T$228/$T$209*100,HLOOKUP(INDIRECT(ADDRESS(2,COLUMN())),OFFSET($AT$2,0,0,ROW()-1,40),ROW()-1,FALSE))</f>
        <v/>
      </c>
      <c r="U92" t="str">
        <f ca="1">IF(AND($B$294=1,LEN($U$228) * LEN($U$209)&gt;0),$U$228/$U$209*100,HLOOKUP(INDIRECT(ADDRESS(2,COLUMN())),OFFSET($AT$2,0,0,ROW()-1,40),ROW()-1,FALSE))</f>
        <v/>
      </c>
      <c r="V92" t="str">
        <f ca="1">IF(AND($B$294=1,LEN($V$228) * LEN($V$209)&gt;0),$V$228/$V$209*100,HLOOKUP(INDIRECT(ADDRESS(2,COLUMN())),OFFSET($AT$2,0,0,ROW()-1,40),ROW()-1,FALSE))</f>
        <v/>
      </c>
      <c r="W92" t="str">
        <f ca="1">IF(AND($B$294=1,LEN($W$228) * LEN($W$209)&gt;0),$W$228/$W$209*100,HLOOKUP(INDIRECT(ADDRESS(2,COLUMN())),OFFSET($AT$2,0,0,ROW()-1,40),ROW()-1,FALSE))</f>
        <v/>
      </c>
      <c r="X92" t="str">
        <f ca="1">IF(AND($B$294=1,LEN($X$228) * LEN($X$209)&gt;0),$X$228/$X$209*100,HLOOKUP(INDIRECT(ADDRESS(2,COLUMN())),OFFSET($AT$2,0,0,ROW()-1,40),ROW()-1,FALSE))</f>
        <v/>
      </c>
      <c r="Y92" t="str">
        <f ca="1">IF(AND($B$294=1,LEN($Y$228) * LEN($Y$209)&gt;0),$Y$228/$Y$209*100,HLOOKUP(INDIRECT(ADDRESS(2,COLUMN())),OFFSET($AT$2,0,0,ROW()-1,40),ROW()-1,FALSE))</f>
        <v/>
      </c>
      <c r="Z92" t="str">
        <f ca="1">IF(AND($B$294=1,LEN($Z$228) * LEN($Z$209)&gt;0),$Z$228/$Z$209*100,HLOOKUP(INDIRECT(ADDRESS(2,COLUMN())),OFFSET($AT$2,0,0,ROW()-1,40),ROW()-1,FALSE))</f>
        <v/>
      </c>
      <c r="AA92" t="str">
        <f ca="1">IF(AND($B$294=1,LEN($AA$228) * LEN($AA$209)&gt;0),$AA$228/$AA$209*100,HLOOKUP(INDIRECT(ADDRESS(2,COLUMN())),OFFSET($AT$2,0,0,ROW()-1,40),ROW()-1,FALSE))</f>
        <v/>
      </c>
      <c r="AB92" t="str">
        <f ca="1">IF(AND($B$294=1,LEN($AB$228) * LEN($AB$209)&gt;0),$AB$228/$AB$209*100,HLOOKUP(INDIRECT(ADDRESS(2,COLUMN())),OFFSET($AT$2,0,0,ROW()-1,40),ROW()-1,FALSE))</f>
        <v/>
      </c>
      <c r="AC92" t="str">
        <f ca="1">IF(AND($B$294=1,LEN($AC$228) * LEN($AC$209)&gt;0),$AC$228/$AC$209*100,HLOOKUP(INDIRECT(ADDRESS(2,COLUMN())),OFFSET($AT$2,0,0,ROW()-1,40),ROW()-1,FALSE))</f>
        <v/>
      </c>
      <c r="AD92" t="str">
        <f ca="1">IF(AND($B$294=1,LEN($AD$228) * LEN($AD$209)&gt;0),$AD$228/$AD$209*100,HLOOKUP(INDIRECT(ADDRESS(2,COLUMN())),OFFSET($AT$2,0,0,ROW()-1,40),ROW()-1,FALSE))</f>
        <v/>
      </c>
      <c r="AE92" t="str">
        <f ca="1">IF(AND($B$294=1,LEN($AE$228) * LEN($AE$209)&gt;0),$AE$228/$AE$209*100,HLOOKUP(INDIRECT(ADDRESS(2,COLUMN())),OFFSET($AT$2,0,0,ROW()-1,40),ROW()-1,FALSE))</f>
        <v/>
      </c>
      <c r="AF92" t="str">
        <f ca="1">IF(AND($B$294=1,LEN($AF$228) * LEN($AF$209)&gt;0),$AF$228/$AF$209*100,HLOOKUP(INDIRECT(ADDRESS(2,COLUMN())),OFFSET($AT$2,0,0,ROW()-1,40),ROW()-1,FALSE))</f>
        <v/>
      </c>
      <c r="AG92" t="str">
        <f ca="1">IF(AND($B$294=1,LEN($AG$228) * LEN($AG$209)&gt;0),$AG$228/$AG$209*100,HLOOKUP(INDIRECT(ADDRESS(2,COLUMN())),OFFSET($AT$2,0,0,ROW()-1,40),ROW()-1,FALSE))</f>
        <v/>
      </c>
      <c r="AH92" t="str">
        <f ca="1">IF(AND($B$294=1,LEN($AH$228) * LEN($AH$209)&gt;0),$AH$228/$AH$209*100,HLOOKUP(INDIRECT(ADDRESS(2,COLUMN())),OFFSET($AT$2,0,0,ROW()-1,40),ROW()-1,FALSE))</f>
        <v/>
      </c>
      <c r="AI92" t="str">
        <f ca="1">IF(AND($B$294=1,LEN($AI$228) * LEN($AI$209)&gt;0),$AI$228/$AI$209*100,HLOOKUP(INDIRECT(ADDRESS(2,COLUMN())),OFFSET($AT$2,0,0,ROW()-1,40),ROW()-1,FALSE))</f>
        <v/>
      </c>
      <c r="AJ92" t="str">
        <f ca="1">IF(AND($B$294=1,LEN($AJ$228) * LEN($AJ$209)&gt;0),$AJ$228/$AJ$209*100,HLOOKUP(INDIRECT(ADDRESS(2,COLUMN())),OFFSET($AT$2,0,0,ROW()-1,40),ROW()-1,FALSE))</f>
        <v/>
      </c>
      <c r="AK92" t="str">
        <f ca="1">IF(AND($B$294=1,LEN($AK$228) * LEN($AK$209)&gt;0),$AK$228/$AK$209*100,HLOOKUP(INDIRECT(ADDRESS(2,COLUMN())),OFFSET($AT$2,0,0,ROW()-1,40),ROW()-1,FALSE))</f>
        <v/>
      </c>
      <c r="AL92" t="str">
        <f ca="1">IF(AND($B$294=1,LEN($AL$228) * LEN($AL$209)&gt;0),$AL$228/$AL$209*100,HLOOKUP(INDIRECT(ADDRESS(2,COLUMN())),OFFSET($AT$2,0,0,ROW()-1,40),ROW()-1,FALSE))</f>
        <v/>
      </c>
      <c r="AM92" t="str">
        <f ca="1">IF(AND($B$294=1,LEN($AM$228) * LEN($AM$209)&gt;0),$AM$228/$AM$209*100,HLOOKUP(INDIRECT(ADDRESS(2,COLUMN())),OFFSET($AT$2,0,0,ROW()-1,40),ROW()-1,FALSE))</f>
        <v/>
      </c>
      <c r="AN92" t="str">
        <f ca="1">IF(AND($B$294=1,LEN($AN$228) * LEN($AN$209)&gt;0),$AN$228/$AN$209*100,HLOOKUP(INDIRECT(ADDRESS(2,COLUMN())),OFFSET($AT$2,0,0,ROW()-1,40),ROW()-1,FALSE))</f>
        <v/>
      </c>
      <c r="AO92" t="str">
        <f ca="1">IF(AND($B$294=1,LEN($AO$228) * LEN($AO$209)&gt;0),$AO$228/$AO$209*100,HLOOKUP(INDIRECT(ADDRESS(2,COLUMN())),OFFSET($AT$2,0,0,ROW()-1,40),ROW()-1,FALSE))</f>
        <v/>
      </c>
      <c r="AP92" t="str">
        <f ca="1">IF(AND($B$294=1,LEN($AP$228) * LEN($AP$209)&gt;0),$AP$228/$AP$209*100,HLOOKUP(INDIRECT(ADDRESS(2,COLUMN())),OFFSET($AT$2,0,0,ROW()-1,40),ROW()-1,FALSE))</f>
        <v/>
      </c>
      <c r="AQ92" t="str">
        <f ca="1">IF(AND($B$294=1,LEN($AQ$228) * LEN($AQ$209)&gt;0),$AQ$228/$AQ$209*100,HLOOKUP(INDIRECT(ADDRESS(2,COLUMN())),OFFSET($AT$2,0,0,ROW()-1,40),ROW()-1,FALSE))</f>
        <v/>
      </c>
      <c r="AR92" t="str">
        <f ca="1">IF(AND($B$294=1,LEN($AR$228) * LEN($AR$209)&gt;0),$AR$228/$AR$209*100,HLOOKUP(INDIRECT(ADDRESS(2,COLUMN())),OFFSET($AT$2,0,0,ROW()-1,40),ROW()-1,FALSE))</f>
        <v/>
      </c>
      <c r="AS92" t="str">
        <f ca="1">IF(AND($B$294=1,LEN($AS$228) * LEN($AS$209)&gt;0),$AS$228/$AS$209*100,HLOOKUP(INDIRECT(ADDRESS(2,COLUMN())),OFFSET($AT$2,0,0,ROW()-1,40),ROW()-1,FALSE))</f>
        <v/>
      </c>
      <c r="AT92" t="str">
        <f>""</f>
        <v/>
      </c>
      <c r="AU92" t="str">
        <f>""</f>
        <v/>
      </c>
      <c r="AV92" t="str">
        <f>""</f>
        <v/>
      </c>
      <c r="AW92" t="str">
        <f>""</f>
        <v/>
      </c>
      <c r="AX92" t="str">
        <f>""</f>
        <v/>
      </c>
      <c r="AY92" t="str">
        <f>""</f>
        <v/>
      </c>
      <c r="AZ92" t="str">
        <f>""</f>
        <v/>
      </c>
      <c r="BA92" t="str">
        <f>""</f>
        <v/>
      </c>
      <c r="BB92" t="str">
        <f>""</f>
        <v/>
      </c>
      <c r="BC92" t="str">
        <f>""</f>
        <v/>
      </c>
      <c r="BD92" t="str">
        <f>""</f>
        <v/>
      </c>
      <c r="BE92" t="str">
        <f>""</f>
        <v/>
      </c>
      <c r="BF92" t="str">
        <f>""</f>
        <v/>
      </c>
      <c r="BG92" t="str">
        <f>""</f>
        <v/>
      </c>
      <c r="BH92" t="str">
        <f>""</f>
        <v/>
      </c>
      <c r="BI92" t="str">
        <f>""</f>
        <v/>
      </c>
      <c r="BJ92" t="str">
        <f>""</f>
        <v/>
      </c>
      <c r="BK92" t="str">
        <f>""</f>
        <v/>
      </c>
      <c r="BL92" t="str">
        <f>""</f>
        <v/>
      </c>
      <c r="BM92" t="str">
        <f>""</f>
        <v/>
      </c>
      <c r="BN92" t="str">
        <f>""</f>
        <v/>
      </c>
      <c r="BO92" t="str">
        <f>""</f>
        <v/>
      </c>
      <c r="BP92" t="str">
        <f>""</f>
        <v/>
      </c>
      <c r="BQ92" t="str">
        <f>""</f>
        <v/>
      </c>
      <c r="BR92" t="str">
        <f>""</f>
        <v/>
      </c>
      <c r="BS92" t="str">
        <f>""</f>
        <v/>
      </c>
      <c r="BT92" t="str">
        <f>""</f>
        <v/>
      </c>
      <c r="BU92" t="str">
        <f>""</f>
        <v/>
      </c>
      <c r="BV92" t="str">
        <f>""</f>
        <v/>
      </c>
      <c r="BW92" t="str">
        <f>""</f>
        <v/>
      </c>
      <c r="BX92" t="str">
        <f>""</f>
        <v/>
      </c>
      <c r="BY92" t="str">
        <f>""</f>
        <v/>
      </c>
      <c r="BZ92" t="str">
        <f>""</f>
        <v/>
      </c>
      <c r="CA92" t="str">
        <f>""</f>
        <v/>
      </c>
      <c r="CB92" t="str">
        <f>""</f>
        <v/>
      </c>
      <c r="CC92" t="str">
        <f>""</f>
        <v/>
      </c>
      <c r="CD92" t="str">
        <f>""</f>
        <v/>
      </c>
      <c r="CE92" t="str">
        <f>""</f>
        <v/>
      </c>
      <c r="CF92" t="str">
        <f>""</f>
        <v/>
      </c>
      <c r="CG92" t="str">
        <f>""</f>
        <v/>
      </c>
    </row>
    <row r="93" spans="1:85" x14ac:dyDescent="0.25">
      <c r="A93" t="str">
        <f>"        Chevrolet"</f>
        <v xml:space="preserve">        Chevrolet</v>
      </c>
      <c r="B93" t="str">
        <f>"MTLQQ US Equity"</f>
        <v>MTLQQ US Equity</v>
      </c>
      <c r="E93" t="str">
        <f>"Expression"</f>
        <v>Expression</v>
      </c>
      <c r="F93" t="str">
        <f ca="1">IF(AND($B$294=1,LEN($F$229) * LEN($F$209)&gt;0),$F$229/$F$209*100,HLOOKUP(INDIRECT(ADDRESS(2,COLUMN())),OFFSET($AT$2,0,0,ROW()-1,40),ROW()-1,FALSE))</f>
        <v/>
      </c>
      <c r="G93" t="str">
        <f ca="1">IF(AND($B$294=1,LEN($G$229) * LEN($G$209)&gt;0),$G$229/$G$209*100,HLOOKUP(INDIRECT(ADDRESS(2,COLUMN())),OFFSET($AT$2,0,0,ROW()-1,40),ROW()-1,FALSE))</f>
        <v/>
      </c>
      <c r="H93" t="str">
        <f ca="1">IF(AND($B$294=1,LEN($H$229) * LEN($H$209)&gt;0),$H$229/$H$209*100,HLOOKUP(INDIRECT(ADDRESS(2,COLUMN())),OFFSET($AT$2,0,0,ROW()-1,40),ROW()-1,FALSE))</f>
        <v/>
      </c>
      <c r="I93" t="str">
        <f ca="1">IF(AND($B$294=1,LEN($I$229) * LEN($I$209)&gt;0),$I$229/$I$209*100,HLOOKUP(INDIRECT(ADDRESS(2,COLUMN())),OFFSET($AT$2,0,0,ROW()-1,40),ROW()-1,FALSE))</f>
        <v/>
      </c>
      <c r="J93" t="str">
        <f ca="1">IF(AND($B$294=1,LEN($J$229) * LEN($J$209)&gt;0),$J$229/$J$209*100,HLOOKUP(INDIRECT(ADDRESS(2,COLUMN())),OFFSET($AT$2,0,0,ROW()-1,40),ROW()-1,FALSE))</f>
        <v/>
      </c>
      <c r="K93" t="str">
        <f ca="1">IF(AND($B$294=1,LEN($K$229) * LEN($K$209)&gt;0),$K$229/$K$209*100,HLOOKUP(INDIRECT(ADDRESS(2,COLUMN())),OFFSET($AT$2,0,0,ROW()-1,40),ROW()-1,FALSE))</f>
        <v/>
      </c>
      <c r="L93" t="str">
        <f ca="1">IF(AND($B$294=1,LEN($L$229) * LEN($L$209)&gt;0),$L$229/$L$209*100,HLOOKUP(INDIRECT(ADDRESS(2,COLUMN())),OFFSET($AT$2,0,0,ROW()-1,40),ROW()-1,FALSE))</f>
        <v/>
      </c>
      <c r="M93" t="str">
        <f ca="1">IF(AND($B$294=1,LEN($M$229) * LEN($M$209)&gt;0),$M$229/$M$209*100,HLOOKUP(INDIRECT(ADDRESS(2,COLUMN())),OFFSET($AT$2,0,0,ROW()-1,40),ROW()-1,FALSE))</f>
        <v/>
      </c>
      <c r="N93" t="str">
        <f ca="1">IF(AND($B$294=1,LEN($N$229) * LEN($N$209)&gt;0),$N$229/$N$209*100,HLOOKUP(INDIRECT(ADDRESS(2,COLUMN())),OFFSET($AT$2,0,0,ROW()-1,40),ROW()-1,FALSE))</f>
        <v/>
      </c>
      <c r="O93" t="str">
        <f ca="1">IF(AND($B$294=1,LEN($O$229) * LEN($O$209)&gt;0),$O$229/$O$209*100,HLOOKUP(INDIRECT(ADDRESS(2,COLUMN())),OFFSET($AT$2,0,0,ROW()-1,40),ROW()-1,FALSE))</f>
        <v/>
      </c>
      <c r="P93" t="str">
        <f ca="1">IF(AND($B$294=1,LEN($P$229) * LEN($P$209)&gt;0),$P$229/$P$209*100,HLOOKUP(INDIRECT(ADDRESS(2,COLUMN())),OFFSET($AT$2,0,0,ROW()-1,40),ROW()-1,FALSE))</f>
        <v/>
      </c>
      <c r="Q93" t="str">
        <f ca="1">IF(AND($B$294=1,LEN($Q$229) * LEN($Q$209)&gt;0),$Q$229/$Q$209*100,HLOOKUP(INDIRECT(ADDRESS(2,COLUMN())),OFFSET($AT$2,0,0,ROW()-1,40),ROW()-1,FALSE))</f>
        <v/>
      </c>
      <c r="R93" t="str">
        <f ca="1">IF(AND($B$294=1,LEN($R$229) * LEN($R$209)&gt;0),$R$229/$R$209*100,HLOOKUP(INDIRECT(ADDRESS(2,COLUMN())),OFFSET($AT$2,0,0,ROW()-1,40),ROW()-1,FALSE))</f>
        <v/>
      </c>
      <c r="S93" t="str">
        <f ca="1">IF(AND($B$294=1,LEN($S$229) * LEN($S$209)&gt;0),$S$229/$S$209*100,HLOOKUP(INDIRECT(ADDRESS(2,COLUMN())),OFFSET($AT$2,0,0,ROW()-1,40),ROW()-1,FALSE))</f>
        <v/>
      </c>
      <c r="T93" t="str">
        <f ca="1">IF(AND($B$294=1,LEN($T$229) * LEN($T$209)&gt;0),$T$229/$T$209*100,HLOOKUP(INDIRECT(ADDRESS(2,COLUMN())),OFFSET($AT$2,0,0,ROW()-1,40),ROW()-1,FALSE))</f>
        <v/>
      </c>
      <c r="U93" t="str">
        <f ca="1">IF(AND($B$294=1,LEN($U$229) * LEN($U$209)&gt;0),$U$229/$U$209*100,HLOOKUP(INDIRECT(ADDRESS(2,COLUMN())),OFFSET($AT$2,0,0,ROW()-1,40),ROW()-1,FALSE))</f>
        <v/>
      </c>
      <c r="V93" t="str">
        <f ca="1">IF(AND($B$294=1,LEN($V$229) * LEN($V$209)&gt;0),$V$229/$V$209*100,HLOOKUP(INDIRECT(ADDRESS(2,COLUMN())),OFFSET($AT$2,0,0,ROW()-1,40),ROW()-1,FALSE))</f>
        <v/>
      </c>
      <c r="W93" t="str">
        <f ca="1">IF(AND($B$294=1,LEN($W$229) * LEN($W$209)&gt;0),$W$229/$W$209*100,HLOOKUP(INDIRECT(ADDRESS(2,COLUMN())),OFFSET($AT$2,0,0,ROW()-1,40),ROW()-1,FALSE))</f>
        <v/>
      </c>
      <c r="X93" t="str">
        <f ca="1">IF(AND($B$294=1,LEN($X$229) * LEN($X$209)&gt;0),$X$229/$X$209*100,HLOOKUP(INDIRECT(ADDRESS(2,COLUMN())),OFFSET($AT$2,0,0,ROW()-1,40),ROW()-1,FALSE))</f>
        <v/>
      </c>
      <c r="Y93" t="str">
        <f ca="1">IF(AND($B$294=1,LEN($Y$229) * LEN($Y$209)&gt;0),$Y$229/$Y$209*100,HLOOKUP(INDIRECT(ADDRESS(2,COLUMN())),OFFSET($AT$2,0,0,ROW()-1,40),ROW()-1,FALSE))</f>
        <v/>
      </c>
      <c r="Z93" t="str">
        <f ca="1">IF(AND($B$294=1,LEN($Z$229) * LEN($Z$209)&gt;0),$Z$229/$Z$209*100,HLOOKUP(INDIRECT(ADDRESS(2,COLUMN())),OFFSET($AT$2,0,0,ROW()-1,40),ROW()-1,FALSE))</f>
        <v/>
      </c>
      <c r="AA93" t="str">
        <f ca="1">IF(AND($B$294=1,LEN($AA$229) * LEN($AA$209)&gt;0),$AA$229/$AA$209*100,HLOOKUP(INDIRECT(ADDRESS(2,COLUMN())),OFFSET($AT$2,0,0,ROW()-1,40),ROW()-1,FALSE))</f>
        <v/>
      </c>
      <c r="AB93" t="str">
        <f ca="1">IF(AND($B$294=1,LEN($AB$229) * LEN($AB$209)&gt;0),$AB$229/$AB$209*100,HLOOKUP(INDIRECT(ADDRESS(2,COLUMN())),OFFSET($AT$2,0,0,ROW()-1,40),ROW()-1,FALSE))</f>
        <v/>
      </c>
      <c r="AC93" t="str">
        <f ca="1">IF(AND($B$294=1,LEN($AC$229) * LEN($AC$209)&gt;0),$AC$229/$AC$209*100,HLOOKUP(INDIRECT(ADDRESS(2,COLUMN())),OFFSET($AT$2,0,0,ROW()-1,40),ROW()-1,FALSE))</f>
        <v/>
      </c>
      <c r="AD93" t="str">
        <f ca="1">IF(AND($B$294=1,LEN($AD$229) * LEN($AD$209)&gt;0),$AD$229/$AD$209*100,HLOOKUP(INDIRECT(ADDRESS(2,COLUMN())),OFFSET($AT$2,0,0,ROW()-1,40),ROW()-1,FALSE))</f>
        <v/>
      </c>
      <c r="AE93" t="str">
        <f ca="1">IF(AND($B$294=1,LEN($AE$229) * LEN($AE$209)&gt;0),$AE$229/$AE$209*100,HLOOKUP(INDIRECT(ADDRESS(2,COLUMN())),OFFSET($AT$2,0,0,ROW()-1,40),ROW()-1,FALSE))</f>
        <v/>
      </c>
      <c r="AF93" t="str">
        <f ca="1">IF(AND($B$294=1,LEN($AF$229) * LEN($AF$209)&gt;0),$AF$229/$AF$209*100,HLOOKUP(INDIRECT(ADDRESS(2,COLUMN())),OFFSET($AT$2,0,0,ROW()-1,40),ROW()-1,FALSE))</f>
        <v/>
      </c>
      <c r="AG93" t="str">
        <f ca="1">IF(AND($B$294=1,LEN($AG$229) * LEN($AG$209)&gt;0),$AG$229/$AG$209*100,HLOOKUP(INDIRECT(ADDRESS(2,COLUMN())),OFFSET($AT$2,0,0,ROW()-1,40),ROW()-1,FALSE))</f>
        <v/>
      </c>
      <c r="AH93" t="str">
        <f ca="1">IF(AND($B$294=1,LEN($AH$229) * LEN($AH$209)&gt;0),$AH$229/$AH$209*100,HLOOKUP(INDIRECT(ADDRESS(2,COLUMN())),OFFSET($AT$2,0,0,ROW()-1,40),ROW()-1,FALSE))</f>
        <v/>
      </c>
      <c r="AI93" t="str">
        <f ca="1">IF(AND($B$294=1,LEN($AI$229) * LEN($AI$209)&gt;0),$AI$229/$AI$209*100,HLOOKUP(INDIRECT(ADDRESS(2,COLUMN())),OFFSET($AT$2,0,0,ROW()-1,40),ROW()-1,FALSE))</f>
        <v/>
      </c>
      <c r="AJ93" t="str">
        <f ca="1">IF(AND($B$294=1,LEN($AJ$229) * LEN($AJ$209)&gt;0),$AJ$229/$AJ$209*100,HLOOKUP(INDIRECT(ADDRESS(2,COLUMN())),OFFSET($AT$2,0,0,ROW()-1,40),ROW()-1,FALSE))</f>
        <v/>
      </c>
      <c r="AK93" t="str">
        <f ca="1">IF(AND($B$294=1,LEN($AK$229) * LEN($AK$209)&gt;0),$AK$229/$AK$209*100,HLOOKUP(INDIRECT(ADDRESS(2,COLUMN())),OFFSET($AT$2,0,0,ROW()-1,40),ROW()-1,FALSE))</f>
        <v/>
      </c>
      <c r="AL93" t="str">
        <f ca="1">IF(AND($B$294=1,LEN($AL$229) * LEN($AL$209)&gt;0),$AL$229/$AL$209*100,HLOOKUP(INDIRECT(ADDRESS(2,COLUMN())),OFFSET($AT$2,0,0,ROW()-1,40),ROW()-1,FALSE))</f>
        <v/>
      </c>
      <c r="AM93" t="str">
        <f ca="1">IF(AND($B$294=1,LEN($AM$229) * LEN($AM$209)&gt;0),$AM$229/$AM$209*100,HLOOKUP(INDIRECT(ADDRESS(2,COLUMN())),OFFSET($AT$2,0,0,ROW()-1,40),ROW()-1,FALSE))</f>
        <v/>
      </c>
      <c r="AN93" t="str">
        <f ca="1">IF(AND($B$294=1,LEN($AN$229) * LEN($AN$209)&gt;0),$AN$229/$AN$209*100,HLOOKUP(INDIRECT(ADDRESS(2,COLUMN())),OFFSET($AT$2,0,0,ROW()-1,40),ROW()-1,FALSE))</f>
        <v/>
      </c>
      <c r="AO93" t="str">
        <f ca="1">IF(AND($B$294=1,LEN($AO$229) * LEN($AO$209)&gt;0),$AO$229/$AO$209*100,HLOOKUP(INDIRECT(ADDRESS(2,COLUMN())),OFFSET($AT$2,0,0,ROW()-1,40),ROW()-1,FALSE))</f>
        <v/>
      </c>
      <c r="AP93" t="str">
        <f ca="1">IF(AND($B$294=1,LEN($AP$229) * LEN($AP$209)&gt;0),$AP$229/$AP$209*100,HLOOKUP(INDIRECT(ADDRESS(2,COLUMN())),OFFSET($AT$2,0,0,ROW()-1,40),ROW()-1,FALSE))</f>
        <v/>
      </c>
      <c r="AQ93" t="str">
        <f ca="1">IF(AND($B$294=1,LEN($AQ$229) * LEN($AQ$209)&gt;0),$AQ$229/$AQ$209*100,HLOOKUP(INDIRECT(ADDRESS(2,COLUMN())),OFFSET($AT$2,0,0,ROW()-1,40),ROW()-1,FALSE))</f>
        <v/>
      </c>
      <c r="AR93" t="str">
        <f ca="1">IF(AND($B$294=1,LEN($AR$229) * LEN($AR$209)&gt;0),$AR$229/$AR$209*100,HLOOKUP(INDIRECT(ADDRESS(2,COLUMN())),OFFSET($AT$2,0,0,ROW()-1,40),ROW()-1,FALSE))</f>
        <v/>
      </c>
      <c r="AS93" t="str">
        <f ca="1">IF(AND($B$294=1,LEN($AS$229) * LEN($AS$209)&gt;0),$AS$229/$AS$209*100,HLOOKUP(INDIRECT(ADDRESS(2,COLUMN())),OFFSET($AT$2,0,0,ROW()-1,40),ROW()-1,FALSE))</f>
        <v/>
      </c>
      <c r="AT93" t="str">
        <f>""</f>
        <v/>
      </c>
      <c r="AU93" t="str">
        <f>""</f>
        <v/>
      </c>
      <c r="AV93" t="str">
        <f>""</f>
        <v/>
      </c>
      <c r="AW93" t="str">
        <f>""</f>
        <v/>
      </c>
      <c r="AX93" t="str">
        <f>""</f>
        <v/>
      </c>
      <c r="AY93" t="str">
        <f>""</f>
        <v/>
      </c>
      <c r="AZ93" t="str">
        <f>""</f>
        <v/>
      </c>
      <c r="BA93" t="str">
        <f>""</f>
        <v/>
      </c>
      <c r="BB93" t="str">
        <f>""</f>
        <v/>
      </c>
      <c r="BC93" t="str">
        <f>""</f>
        <v/>
      </c>
      <c r="BD93" t="str">
        <f>""</f>
        <v/>
      </c>
      <c r="BE93" t="str">
        <f>""</f>
        <v/>
      </c>
      <c r="BF93" t="str">
        <f>""</f>
        <v/>
      </c>
      <c r="BG93" t="str">
        <f>""</f>
        <v/>
      </c>
      <c r="BH93" t="str">
        <f>""</f>
        <v/>
      </c>
      <c r="BI93" t="str">
        <f>""</f>
        <v/>
      </c>
      <c r="BJ93" t="str">
        <f>""</f>
        <v/>
      </c>
      <c r="BK93" t="str">
        <f>""</f>
        <v/>
      </c>
      <c r="BL93" t="str">
        <f>""</f>
        <v/>
      </c>
      <c r="BM93" t="str">
        <f>""</f>
        <v/>
      </c>
      <c r="BN93" t="str">
        <f>""</f>
        <v/>
      </c>
      <c r="BO93" t="str">
        <f>""</f>
        <v/>
      </c>
      <c r="BP93" t="str">
        <f>""</f>
        <v/>
      </c>
      <c r="BQ93" t="str">
        <f>""</f>
        <v/>
      </c>
      <c r="BR93" t="str">
        <f>""</f>
        <v/>
      </c>
      <c r="BS93" t="str">
        <f>""</f>
        <v/>
      </c>
      <c r="BT93" t="str">
        <f>""</f>
        <v/>
      </c>
      <c r="BU93" t="str">
        <f>""</f>
        <v/>
      </c>
      <c r="BV93" t="str">
        <f>""</f>
        <v/>
      </c>
      <c r="BW93" t="str">
        <f>""</f>
        <v/>
      </c>
      <c r="BX93" t="str">
        <f>""</f>
        <v/>
      </c>
      <c r="BY93" t="str">
        <f>""</f>
        <v/>
      </c>
      <c r="BZ93" t="str">
        <f>""</f>
        <v/>
      </c>
      <c r="CA93" t="str">
        <f>""</f>
        <v/>
      </c>
      <c r="CB93" t="str">
        <f>""</f>
        <v/>
      </c>
      <c r="CC93" t="str">
        <f>""</f>
        <v/>
      </c>
      <c r="CD93" t="str">
        <f>""</f>
        <v/>
      </c>
      <c r="CE93" t="str">
        <f>""</f>
        <v/>
      </c>
      <c r="CF93" t="str">
        <f>""</f>
        <v/>
      </c>
      <c r="CG93" t="str">
        <f>""</f>
        <v/>
      </c>
    </row>
    <row r="94" spans="1:85" x14ac:dyDescent="0.25">
      <c r="A94" t="str">
        <f>"    Scania"</f>
        <v xml:space="preserve">    Scania</v>
      </c>
      <c r="B94" t="str">
        <f>""</f>
        <v/>
      </c>
      <c r="E94" t="str">
        <f>"Expression"</f>
        <v>Expression</v>
      </c>
      <c r="F94" t="str">
        <f ca="1">IF(AND($B$294=1,LEN($F$230) * LEN($F$209)&gt;0),$F$230/$F$209*100,HLOOKUP(INDIRECT(ADDRESS(2,COLUMN())),OFFSET($AT$2,0,0,ROW()-1,40),ROW()-1,FALSE))</f>
        <v/>
      </c>
      <c r="G94" t="str">
        <f ca="1">IF(AND($B$294=1,LEN($G$230) * LEN($G$209)&gt;0),$G$230/$G$209*100,HLOOKUP(INDIRECT(ADDRESS(2,COLUMN())),OFFSET($AT$2,0,0,ROW()-1,40),ROW()-1,FALSE))</f>
        <v/>
      </c>
      <c r="H94" t="str">
        <f ca="1">IF(AND($B$294=1,LEN($H$230) * LEN($H$209)&gt;0),$H$230/$H$209*100,HLOOKUP(INDIRECT(ADDRESS(2,COLUMN())),OFFSET($AT$2,0,0,ROW()-1,40),ROW()-1,FALSE))</f>
        <v/>
      </c>
      <c r="I94" t="str">
        <f ca="1">IF(AND($B$294=1,LEN($I$230) * LEN($I$209)&gt;0),$I$230/$I$209*100,HLOOKUP(INDIRECT(ADDRESS(2,COLUMN())),OFFSET($AT$2,0,0,ROW()-1,40),ROW()-1,FALSE))</f>
        <v/>
      </c>
      <c r="J94" t="str">
        <f ca="1">IF(AND($B$294=1,LEN($J$230) * LEN($J$209)&gt;0),$J$230/$J$209*100,HLOOKUP(INDIRECT(ADDRESS(2,COLUMN())),OFFSET($AT$2,0,0,ROW()-1,40),ROW()-1,FALSE))</f>
        <v/>
      </c>
      <c r="K94" t="str">
        <f ca="1">IF(AND($B$294=1,LEN($K$230) * LEN($K$209)&gt;0),$K$230/$K$209*100,HLOOKUP(INDIRECT(ADDRESS(2,COLUMN())),OFFSET($AT$2,0,0,ROW()-1,40),ROW()-1,FALSE))</f>
        <v/>
      </c>
      <c r="L94" t="str">
        <f ca="1">IF(AND($B$294=1,LEN($L$230) * LEN($L$209)&gt;0),$L$230/$L$209*100,HLOOKUP(INDIRECT(ADDRESS(2,COLUMN())),OFFSET($AT$2,0,0,ROW()-1,40),ROW()-1,FALSE))</f>
        <v/>
      </c>
      <c r="M94" t="str">
        <f ca="1">IF(AND($B$294=1,LEN($M$230) * LEN($M$209)&gt;0),$M$230/$M$209*100,HLOOKUP(INDIRECT(ADDRESS(2,COLUMN())),OFFSET($AT$2,0,0,ROW()-1,40),ROW()-1,FALSE))</f>
        <v/>
      </c>
      <c r="N94" t="str">
        <f ca="1">IF(AND($B$294=1,LEN($N$230) * LEN($N$209)&gt;0),$N$230/$N$209*100,HLOOKUP(INDIRECT(ADDRESS(2,COLUMN())),OFFSET($AT$2,0,0,ROW()-1,40),ROW()-1,FALSE))</f>
        <v/>
      </c>
      <c r="O94" t="str">
        <f ca="1">IF(AND($B$294=1,LEN($O$230) * LEN($O$209)&gt;0),$O$230/$O$209*100,HLOOKUP(INDIRECT(ADDRESS(2,COLUMN())),OFFSET($AT$2,0,0,ROW()-1,40),ROW()-1,FALSE))</f>
        <v/>
      </c>
      <c r="P94" t="str">
        <f ca="1">IF(AND($B$294=1,LEN($P$230) * LEN($P$209)&gt;0),$P$230/$P$209*100,HLOOKUP(INDIRECT(ADDRESS(2,COLUMN())),OFFSET($AT$2,0,0,ROW()-1,40),ROW()-1,FALSE))</f>
        <v/>
      </c>
      <c r="Q94" t="str">
        <f ca="1">IF(AND($B$294=1,LEN($Q$230) * LEN($Q$209)&gt;0),$Q$230/$Q$209*100,HLOOKUP(INDIRECT(ADDRESS(2,COLUMN())),OFFSET($AT$2,0,0,ROW()-1,40),ROW()-1,FALSE))</f>
        <v/>
      </c>
      <c r="R94" t="str">
        <f ca="1">IF(AND($B$294=1,LEN($R$230) * LEN($R$209)&gt;0),$R$230/$R$209*100,HLOOKUP(INDIRECT(ADDRESS(2,COLUMN())),OFFSET($AT$2,0,0,ROW()-1,40),ROW()-1,FALSE))</f>
        <v/>
      </c>
      <c r="S94" t="str">
        <f ca="1">IF(AND($B$294=1,LEN($S$230) * LEN($S$209)&gt;0),$S$230/$S$209*100,HLOOKUP(INDIRECT(ADDRESS(2,COLUMN())),OFFSET($AT$2,0,0,ROW()-1,40),ROW()-1,FALSE))</f>
        <v/>
      </c>
      <c r="T94" t="str">
        <f ca="1">IF(AND($B$294=1,LEN($T$230) * LEN($T$209)&gt;0),$T$230/$T$209*100,HLOOKUP(INDIRECT(ADDRESS(2,COLUMN())),OFFSET($AT$2,0,0,ROW()-1,40),ROW()-1,FALSE))</f>
        <v/>
      </c>
      <c r="U94" t="str">
        <f ca="1">IF(AND($B$294=1,LEN($U$230) * LEN($U$209)&gt;0),$U$230/$U$209*100,HLOOKUP(INDIRECT(ADDRESS(2,COLUMN())),OFFSET($AT$2,0,0,ROW()-1,40),ROW()-1,FALSE))</f>
        <v/>
      </c>
      <c r="V94" t="str">
        <f ca="1">IF(AND($B$294=1,LEN($V$230) * LEN($V$209)&gt;0),$V$230/$V$209*100,HLOOKUP(INDIRECT(ADDRESS(2,COLUMN())),OFFSET($AT$2,0,0,ROW()-1,40),ROW()-1,FALSE))</f>
        <v/>
      </c>
      <c r="W94" t="str">
        <f ca="1">IF(AND($B$294=1,LEN($W$230) * LEN($W$209)&gt;0),$W$230/$W$209*100,HLOOKUP(INDIRECT(ADDRESS(2,COLUMN())),OFFSET($AT$2,0,0,ROW()-1,40),ROW()-1,FALSE))</f>
        <v/>
      </c>
      <c r="X94" t="str">
        <f ca="1">IF(AND($B$294=1,LEN($X$230) * LEN($X$209)&gt;0),$X$230/$X$209*100,HLOOKUP(INDIRECT(ADDRESS(2,COLUMN())),OFFSET($AT$2,0,0,ROW()-1,40),ROW()-1,FALSE))</f>
        <v/>
      </c>
      <c r="Y94" t="str">
        <f ca="1">IF(AND($B$294=1,LEN($Y$230) * LEN($Y$209)&gt;0),$Y$230/$Y$209*100,HLOOKUP(INDIRECT(ADDRESS(2,COLUMN())),OFFSET($AT$2,0,0,ROW()-1,40),ROW()-1,FALSE))</f>
        <v/>
      </c>
      <c r="Z94" t="str">
        <f ca="1">IF(AND($B$294=1,LEN($Z$230) * LEN($Z$209)&gt;0),$Z$230/$Z$209*100,HLOOKUP(INDIRECT(ADDRESS(2,COLUMN())),OFFSET($AT$2,0,0,ROW()-1,40),ROW()-1,FALSE))</f>
        <v/>
      </c>
      <c r="AA94" t="str">
        <f ca="1">IF(AND($B$294=1,LEN($AA$230) * LEN($AA$209)&gt;0),$AA$230/$AA$209*100,HLOOKUP(INDIRECT(ADDRESS(2,COLUMN())),OFFSET($AT$2,0,0,ROW()-1,40),ROW()-1,FALSE))</f>
        <v/>
      </c>
      <c r="AB94" t="str">
        <f ca="1">IF(AND($B$294=1,LEN($AB$230) * LEN($AB$209)&gt;0),$AB$230/$AB$209*100,HLOOKUP(INDIRECT(ADDRESS(2,COLUMN())),OFFSET($AT$2,0,0,ROW()-1,40),ROW()-1,FALSE))</f>
        <v/>
      </c>
      <c r="AC94" t="str">
        <f ca="1">IF(AND($B$294=1,LEN($AC$230) * LEN($AC$209)&gt;0),$AC$230/$AC$209*100,HLOOKUP(INDIRECT(ADDRESS(2,COLUMN())),OFFSET($AT$2,0,0,ROW()-1,40),ROW()-1,FALSE))</f>
        <v/>
      </c>
      <c r="AD94" t="str">
        <f ca="1">IF(AND($B$294=1,LEN($AD$230) * LEN($AD$209)&gt;0),$AD$230/$AD$209*100,HLOOKUP(INDIRECT(ADDRESS(2,COLUMN())),OFFSET($AT$2,0,0,ROW()-1,40),ROW()-1,FALSE))</f>
        <v/>
      </c>
      <c r="AE94" t="str">
        <f ca="1">IF(AND($B$294=1,LEN($AE$230) * LEN($AE$209)&gt;0),$AE$230/$AE$209*100,HLOOKUP(INDIRECT(ADDRESS(2,COLUMN())),OFFSET($AT$2,0,0,ROW()-1,40),ROW()-1,FALSE))</f>
        <v/>
      </c>
      <c r="AF94" t="str">
        <f ca="1">IF(AND($B$294=1,LEN($AF$230) * LEN($AF$209)&gt;0),$AF$230/$AF$209*100,HLOOKUP(INDIRECT(ADDRESS(2,COLUMN())),OFFSET($AT$2,0,0,ROW()-1,40),ROW()-1,FALSE))</f>
        <v/>
      </c>
      <c r="AG94" t="str">
        <f ca="1">IF(AND($B$294=1,LEN($AG$230) * LEN($AG$209)&gt;0),$AG$230/$AG$209*100,HLOOKUP(INDIRECT(ADDRESS(2,COLUMN())),OFFSET($AT$2,0,0,ROW()-1,40),ROW()-1,FALSE))</f>
        <v/>
      </c>
      <c r="AH94" t="str">
        <f ca="1">IF(AND($B$294=1,LEN($AH$230) * LEN($AH$209)&gt;0),$AH$230/$AH$209*100,HLOOKUP(INDIRECT(ADDRESS(2,COLUMN())),OFFSET($AT$2,0,0,ROW()-1,40),ROW()-1,FALSE))</f>
        <v/>
      </c>
      <c r="AI94" t="str">
        <f ca="1">IF(AND($B$294=1,LEN($AI$230) * LEN($AI$209)&gt;0),$AI$230/$AI$209*100,HLOOKUP(INDIRECT(ADDRESS(2,COLUMN())),OFFSET($AT$2,0,0,ROW()-1,40),ROW()-1,FALSE))</f>
        <v/>
      </c>
      <c r="AJ94" t="str">
        <f ca="1">IF(AND($B$294=1,LEN($AJ$230) * LEN($AJ$209)&gt;0),$AJ$230/$AJ$209*100,HLOOKUP(INDIRECT(ADDRESS(2,COLUMN())),OFFSET($AT$2,0,0,ROW()-1,40),ROW()-1,FALSE))</f>
        <v/>
      </c>
      <c r="AK94" t="str">
        <f ca="1">IF(AND($B$294=1,LEN($AK$230) * LEN($AK$209)&gt;0),$AK$230/$AK$209*100,HLOOKUP(INDIRECT(ADDRESS(2,COLUMN())),OFFSET($AT$2,0,0,ROW()-1,40),ROW()-1,FALSE))</f>
        <v/>
      </c>
      <c r="AL94" t="str">
        <f ca="1">IF(AND($B$294=1,LEN($AL$230) * LEN($AL$209)&gt;0),$AL$230/$AL$209*100,HLOOKUP(INDIRECT(ADDRESS(2,COLUMN())),OFFSET($AT$2,0,0,ROW()-1,40),ROW()-1,FALSE))</f>
        <v/>
      </c>
      <c r="AM94" t="str">
        <f ca="1">IF(AND($B$294=1,LEN($AM$230) * LEN($AM$209)&gt;0),$AM$230/$AM$209*100,HLOOKUP(INDIRECT(ADDRESS(2,COLUMN())),OFFSET($AT$2,0,0,ROW()-1,40),ROW()-1,FALSE))</f>
        <v/>
      </c>
      <c r="AN94" t="str">
        <f ca="1">IF(AND($B$294=1,LEN($AN$230) * LEN($AN$209)&gt;0),$AN$230/$AN$209*100,HLOOKUP(INDIRECT(ADDRESS(2,COLUMN())),OFFSET($AT$2,0,0,ROW()-1,40),ROW()-1,FALSE))</f>
        <v/>
      </c>
      <c r="AO94" t="str">
        <f ca="1">IF(AND($B$294=1,LEN($AO$230) * LEN($AO$209)&gt;0),$AO$230/$AO$209*100,HLOOKUP(INDIRECT(ADDRESS(2,COLUMN())),OFFSET($AT$2,0,0,ROW()-1,40),ROW()-1,FALSE))</f>
        <v/>
      </c>
      <c r="AP94" t="str">
        <f ca="1">IF(AND($B$294=1,LEN($AP$230) * LEN($AP$209)&gt;0),$AP$230/$AP$209*100,HLOOKUP(INDIRECT(ADDRESS(2,COLUMN())),OFFSET($AT$2,0,0,ROW()-1,40),ROW()-1,FALSE))</f>
        <v/>
      </c>
      <c r="AQ94" t="str">
        <f ca="1">IF(AND($B$294=1,LEN($AQ$230) * LEN($AQ$209)&gt;0),$AQ$230/$AQ$209*100,HLOOKUP(INDIRECT(ADDRESS(2,COLUMN())),OFFSET($AT$2,0,0,ROW()-1,40),ROW()-1,FALSE))</f>
        <v/>
      </c>
      <c r="AR94" t="str">
        <f ca="1">IF(AND($B$294=1,LEN($AR$230) * LEN($AR$209)&gt;0),$AR$230/$AR$209*100,HLOOKUP(INDIRECT(ADDRESS(2,COLUMN())),OFFSET($AT$2,0,0,ROW()-1,40),ROW()-1,FALSE))</f>
        <v/>
      </c>
      <c r="AS94" t="str">
        <f ca="1">IF(AND($B$294=1,LEN($AS$230) * LEN($AS$209)&gt;0),$AS$230/$AS$209*100,HLOOKUP(INDIRECT(ADDRESS(2,COLUMN())),OFFSET($AT$2,0,0,ROW()-1,40),ROW()-1,FALSE))</f>
        <v/>
      </c>
      <c r="AT94" t="str">
        <f>""</f>
        <v/>
      </c>
      <c r="AU94" t="str">
        <f>""</f>
        <v/>
      </c>
      <c r="AV94" t="str">
        <f>""</f>
        <v/>
      </c>
      <c r="AW94" t="str">
        <f>""</f>
        <v/>
      </c>
      <c r="AX94" t="str">
        <f>""</f>
        <v/>
      </c>
      <c r="AY94" t="str">
        <f>""</f>
        <v/>
      </c>
      <c r="AZ94" t="str">
        <f>""</f>
        <v/>
      </c>
      <c r="BA94" t="str">
        <f>""</f>
        <v/>
      </c>
      <c r="BB94" t="str">
        <f>""</f>
        <v/>
      </c>
      <c r="BC94" t="str">
        <f>""</f>
        <v/>
      </c>
      <c r="BD94" t="str">
        <f>""</f>
        <v/>
      </c>
      <c r="BE94" t="str">
        <f>""</f>
        <v/>
      </c>
      <c r="BF94" t="str">
        <f>""</f>
        <v/>
      </c>
      <c r="BG94" t="str">
        <f>""</f>
        <v/>
      </c>
      <c r="BH94" t="str">
        <f>""</f>
        <v/>
      </c>
      <c r="BI94" t="str">
        <f>""</f>
        <v/>
      </c>
      <c r="BJ94" t="str">
        <f>""</f>
        <v/>
      </c>
      <c r="BK94" t="str">
        <f>""</f>
        <v/>
      </c>
      <c r="BL94" t="str">
        <f>""</f>
        <v/>
      </c>
      <c r="BM94" t="str">
        <f>""</f>
        <v/>
      </c>
      <c r="BN94" t="str">
        <f>""</f>
        <v/>
      </c>
      <c r="BO94" t="str">
        <f>""</f>
        <v/>
      </c>
      <c r="BP94" t="str">
        <f>""</f>
        <v/>
      </c>
      <c r="BQ94" t="str">
        <f>""</f>
        <v/>
      </c>
      <c r="BR94" t="str">
        <f>""</f>
        <v/>
      </c>
      <c r="BS94" t="str">
        <f>""</f>
        <v/>
      </c>
      <c r="BT94" t="str">
        <f>""</f>
        <v/>
      </c>
      <c r="BU94" t="str">
        <f>""</f>
        <v/>
      </c>
      <c r="BV94" t="str">
        <f>""</f>
        <v/>
      </c>
      <c r="BW94" t="str">
        <f>""</f>
        <v/>
      </c>
      <c r="BX94" t="str">
        <f>""</f>
        <v/>
      </c>
      <c r="BY94" t="str">
        <f>""</f>
        <v/>
      </c>
      <c r="BZ94" t="str">
        <f>""</f>
        <v/>
      </c>
      <c r="CA94" t="str">
        <f>""</f>
        <v/>
      </c>
      <c r="CB94" t="str">
        <f>""</f>
        <v/>
      </c>
      <c r="CC94" t="str">
        <f>""</f>
        <v/>
      </c>
      <c r="CD94" t="str">
        <f>""</f>
        <v/>
      </c>
      <c r="CE94" t="str">
        <f>""</f>
        <v/>
      </c>
      <c r="CF94" t="str">
        <f>""</f>
        <v/>
      </c>
      <c r="CG94" t="str">
        <f>""</f>
        <v/>
      </c>
    </row>
    <row r="95" spans="1:85" x14ac:dyDescent="0.25">
      <c r="A95" t="str">
        <f>"    MAN"</f>
        <v xml:space="preserve">    MAN</v>
      </c>
      <c r="B95" t="str">
        <f>"VOW GR Equity"</f>
        <v>VOW GR Equity</v>
      </c>
      <c r="E95" t="str">
        <f>"Sum"</f>
        <v>Sum</v>
      </c>
      <c r="F95" t="str">
        <f ca="1">IF(ISERROR(IF(SUM($F$96:$F$97) = 0, "", SUM($F$96:$F$97))), "", (IF(SUM($F$96:$F$97) = 0, "", SUM($F$96:$F$97))))</f>
        <v/>
      </c>
      <c r="G95" t="str">
        <f ca="1">IF(ISERROR(IF(SUM($G$96:$G$97) = 0, "", SUM($G$96:$G$97))), "", (IF(SUM($G$96:$G$97) = 0, "", SUM($G$96:$G$97))))</f>
        <v/>
      </c>
      <c r="H95" t="str">
        <f ca="1">IF(ISERROR(IF(SUM($H$96:$H$97) = 0, "", SUM($H$96:$H$97))), "", (IF(SUM($H$96:$H$97) = 0, "", SUM($H$96:$H$97))))</f>
        <v/>
      </c>
      <c r="I95" t="str">
        <f ca="1">IF(ISERROR(IF(SUM($I$96:$I$97) = 0, "", SUM($I$96:$I$97))), "", (IF(SUM($I$96:$I$97) = 0, "", SUM($I$96:$I$97))))</f>
        <v/>
      </c>
      <c r="J95" t="str">
        <f ca="1">IF(ISERROR(IF(SUM($J$96:$J$97) = 0, "", SUM($J$96:$J$97))), "", (IF(SUM($J$96:$J$97) = 0, "", SUM($J$96:$J$97))))</f>
        <v/>
      </c>
      <c r="K95" t="str">
        <f ca="1">IF(ISERROR(IF(SUM($K$96:$K$97) = 0, "", SUM($K$96:$K$97))), "", (IF(SUM($K$96:$K$97) = 0, "", SUM($K$96:$K$97))))</f>
        <v/>
      </c>
      <c r="L95" t="str">
        <f ca="1">IF(ISERROR(IF(SUM($L$96:$L$97) = 0, "", SUM($L$96:$L$97))), "", (IF(SUM($L$96:$L$97) = 0, "", SUM($L$96:$L$97))))</f>
        <v/>
      </c>
      <c r="M95" t="str">
        <f ca="1">IF(ISERROR(IF(SUM($M$96:$M$97) = 0, "", SUM($M$96:$M$97))), "", (IF(SUM($M$96:$M$97) = 0, "", SUM($M$96:$M$97))))</f>
        <v/>
      </c>
      <c r="N95" t="str">
        <f ca="1">IF(ISERROR(IF(SUM($N$96:$N$97) = 0, "", SUM($N$96:$N$97))), "", (IF(SUM($N$96:$N$97) = 0, "", SUM($N$96:$N$97))))</f>
        <v/>
      </c>
      <c r="O95" t="str">
        <f ca="1">IF(ISERROR(IF(SUM($O$96:$O$97) = 0, "", SUM($O$96:$O$97))), "", (IF(SUM($O$96:$O$97) = 0, "", SUM($O$96:$O$97))))</f>
        <v/>
      </c>
      <c r="P95">
        <f ca="1">IF(ISERROR(IF(SUM($P$96:$P$97) = 0, "", SUM($P$96:$P$97))), "", (IF(SUM($P$96:$P$97) = 0, "", SUM($P$96:$P$97))))</f>
        <v>0.65018393399999996</v>
      </c>
      <c r="Q95">
        <f ca="1">IF(ISERROR(IF(SUM($Q$96:$Q$97) = 0, "", SUM($Q$96:$Q$97))), "", (IF(SUM($Q$96:$Q$97) = 0, "", SUM($Q$96:$Q$97))))</f>
        <v>0.57604850900000004</v>
      </c>
      <c r="R95">
        <f ca="1">IF(ISERROR(IF(SUM($R$96:$R$97) = 0, "", SUM($R$96:$R$97))), "", (IF(SUM($R$96:$R$97) = 0, "", SUM($R$96:$R$97))))</f>
        <v>0.48575432000000002</v>
      </c>
      <c r="S95">
        <f ca="1">IF(ISERROR(IF(SUM($S$96:$S$97) = 0, "", SUM($S$96:$S$97))), "", (IF(SUM($S$96:$S$97) = 0, "", SUM($S$96:$S$97))))</f>
        <v>0.42201215399999997</v>
      </c>
      <c r="T95">
        <f ca="1">IF(ISERROR(IF(SUM($T$96:$T$97) = 0, "", SUM($T$96:$T$97))), "", (IF(SUM($T$96:$T$97) = 0, "", SUM($T$96:$T$97))))</f>
        <v>0.32232070899999998</v>
      </c>
      <c r="U95">
        <f ca="1">IF(ISERROR(IF(SUM($U$96:$U$97) = 0, "", SUM($U$96:$U$97))), "", (IF(SUM($U$96:$U$97) = 0, "", SUM($U$96:$U$97))))</f>
        <v>0.30864197500000001</v>
      </c>
      <c r="V95">
        <f ca="1">IF(ISERROR(IF(SUM($V$96:$V$97) = 0, "", SUM($V$96:$V$97))), "", (IF(SUM($V$96:$V$97) = 0, "", SUM($V$96:$V$97))))</f>
        <v>0.33407572400000002</v>
      </c>
      <c r="W95">
        <f ca="1">IF(ISERROR(IF(SUM($W$96:$W$97) = 0, "", SUM($W$96:$W$97))), "", (IF(SUM($W$96:$W$97) = 0, "", SUM($W$96:$W$97))))</f>
        <v>0.42139978</v>
      </c>
      <c r="X95">
        <f ca="1">IF(ISERROR(IF(SUM($X$96:$X$97) = 0, "", SUM($X$96:$X$97))), "", (IF(SUM($X$96:$X$97) = 0, "", SUM($X$96:$X$97))))</f>
        <v>0.389105058</v>
      </c>
      <c r="Y95">
        <f ca="1">IF(ISERROR(IF(SUM($Y$96:$Y$97) = 0, "", SUM($Y$96:$Y$97))), "", (IF(SUM($Y$96:$Y$97) = 0, "", SUM($Y$96:$Y$97))))</f>
        <v>0.29727875599999998</v>
      </c>
      <c r="Z95">
        <f ca="1">IF(ISERROR(IF(SUM($Z$96:$Z$97) = 0, "", SUM($Z$96:$Z$97))), "", (IF(SUM($Z$96:$Z$97) = 0, "", SUM($Z$96:$Z$97))))</f>
        <v>0.26855250200000003</v>
      </c>
      <c r="AA95">
        <f ca="1">IF(ISERROR(IF(SUM($AA$96:$AA$97) = 0, "", SUM($AA$96:$AA$97))), "", (IF(SUM($AA$96:$AA$97) = 0, "", SUM($AA$96:$AA$97))))</f>
        <v>0.44701818599999998</v>
      </c>
      <c r="AB95">
        <f ca="1">IF(ISERROR(IF(SUM($AB$96:$AB$97) = 0, "", SUM($AB$96:$AB$97))), "", (IF(SUM($AB$96:$AB$97) = 0, "", SUM($AB$96:$AB$97))))</f>
        <v>0.638041042</v>
      </c>
      <c r="AC95">
        <f ca="1">IF(ISERROR(IF(SUM($AC$96:$AC$97) = 0, "", SUM($AC$96:$AC$97))), "", (IF(SUM($AC$96:$AC$97) = 0, "", SUM($AC$96:$AC$97))))</f>
        <v>0.55940077799999999</v>
      </c>
      <c r="AD95">
        <f ca="1">IF(ISERROR(IF(SUM($AD$96:$AD$97) = 0, "", SUM($AD$96:$AD$97))), "", (IF(SUM($AD$96:$AD$97) = 0, "", SUM($AD$96:$AD$97))))</f>
        <v>0.45757071599999999</v>
      </c>
      <c r="AE95">
        <f ca="1">IF(ISERROR(IF(SUM($AE$96:$AE$97) = 0, "", SUM($AE$96:$AE$97))), "", (IF(SUM($AE$96:$AE$97) = 0, "", SUM($AE$96:$AE$97))))</f>
        <v>0.47242663800000001</v>
      </c>
      <c r="AF95">
        <f ca="1">IF(ISERROR(IF(SUM($AF$96:$AF$97) = 0, "", SUM($AF$96:$AF$97))), "", (IF(SUM($AF$96:$AF$97) = 0, "", SUM($AF$96:$AF$97))))</f>
        <v>0.46494992899999998</v>
      </c>
      <c r="AG95">
        <f ca="1">IF(ISERROR(IF(SUM($AG$96:$AG$97) = 0, "", SUM($AG$96:$AG$97))), "", (IF(SUM($AG$96:$AG$97) = 0, "", SUM($AG$96:$AG$97))))</f>
        <v>0.45446600199999998</v>
      </c>
      <c r="AH95">
        <f ca="1">IF(ISERROR(IF(SUM($AH$96:$AH$97) = 0, "", SUM($AH$96:$AH$97))), "", (IF(SUM($AH$96:$AH$97) = 0, "", SUM($AH$96:$AH$97))))</f>
        <v>0.43917435199999999</v>
      </c>
      <c r="AI95">
        <f ca="1">IF(ISERROR(IF(SUM($AI$96:$AI$97) = 0, "", SUM($AI$96:$AI$97))), "", (IF(SUM($AI$96:$AI$97) = 0, "", SUM($AI$96:$AI$97))))</f>
        <v>0.48548812699999999</v>
      </c>
      <c r="AJ95">
        <f ca="1">IF(ISERROR(IF(SUM($AJ$96:$AJ$97) = 0, "", SUM($AJ$96:$AJ$97))), "", (IF(SUM($AJ$96:$AJ$97) = 0, "", SUM($AJ$96:$AJ$97))))</f>
        <v>0.441545409</v>
      </c>
      <c r="AK95">
        <f ca="1">IF(ISERROR(IF(SUM($AK$96:$AK$97) = 0, "", SUM($AK$96:$AK$97))), "", (IF(SUM($AK$96:$AK$97) = 0, "", SUM($AK$96:$AK$97))))</f>
        <v>0.49973698100000002</v>
      </c>
      <c r="AL95">
        <f ca="1">IF(ISERROR(IF(SUM($AL$96:$AL$97) = 0, "", SUM($AL$96:$AL$97))), "", (IF(SUM($AL$96:$AL$97) = 0, "", SUM($AL$96:$AL$97))))</f>
        <v>0.59734513300000003</v>
      </c>
      <c r="AM95">
        <f ca="1">IF(ISERROR(IF(SUM($AM$96:$AM$97) = 0, "", SUM($AM$96:$AM$97))), "", (IF(SUM($AM$96:$AM$97) = 0, "", SUM($AM$96:$AM$97))))</f>
        <v>0.62003698500000004</v>
      </c>
      <c r="AN95">
        <f ca="1">IF(ISERROR(IF(SUM($AN$96:$AN$97) = 0, "", SUM($AN$96:$AN$97))), "", (IF(SUM($AN$96:$AN$97) = 0, "", SUM($AN$96:$AN$97))))</f>
        <v>0.657368748</v>
      </c>
      <c r="AO95">
        <f ca="1">IF(ISERROR(IF(SUM($AO$96:$AO$97) = 0, "", SUM($AO$96:$AO$97))), "", (IF(SUM($AO$96:$AO$97) = 0, "", SUM($AO$96:$AO$97))))</f>
        <v>0.90214258899999999</v>
      </c>
      <c r="AP95">
        <f ca="1">IF(ISERROR(IF(SUM($AP$96:$AP$97) = 0, "", SUM($AP$96:$AP$97))), "", (IF(SUM($AP$96:$AP$97) = 0, "", SUM($AP$96:$AP$97))))</f>
        <v>0.70435762599999996</v>
      </c>
      <c r="AQ95">
        <f ca="1">IF(ISERROR(IF(SUM($AQ$96:$AQ$97) = 0, "", SUM($AQ$96:$AQ$97))), "", (IF(SUM($AQ$96:$AQ$97) = 0, "", SUM($AQ$96:$AQ$97))))</f>
        <v>0.26249179700000003</v>
      </c>
      <c r="AR95">
        <f ca="1">IF(ISERROR(IF(SUM($AR$96:$AR$97) = 0, "", SUM($AR$96:$AR$97))), "", (IF(SUM($AR$96:$AR$97) = 0, "", SUM($AR$96:$AR$97))))</f>
        <v>0.26191195699999997</v>
      </c>
      <c r="AS95">
        <f ca="1">IF(ISERROR(IF(SUM($AS$96:$AS$97) = 0, "", SUM($AS$96:$AS$97))), "", (IF(SUM($AS$96:$AS$97) = 0, "", SUM($AS$96:$AS$97))))</f>
        <v>0.17060249599999999</v>
      </c>
      <c r="AT95" t="str">
        <f>""</f>
        <v/>
      </c>
      <c r="AU95" t="str">
        <f>""</f>
        <v/>
      </c>
      <c r="AV95" t="str">
        <f>""</f>
        <v/>
      </c>
      <c r="AW95" t="str">
        <f>""</f>
        <v/>
      </c>
      <c r="AX95" t="str">
        <f>""</f>
        <v/>
      </c>
      <c r="AY95" t="str">
        <f>""</f>
        <v/>
      </c>
      <c r="AZ95" t="str">
        <f>""</f>
        <v/>
      </c>
      <c r="BA95" t="str">
        <f>""</f>
        <v/>
      </c>
      <c r="BB95" t="str">
        <f>""</f>
        <v/>
      </c>
      <c r="BC95" t="str">
        <f>""</f>
        <v/>
      </c>
      <c r="BD95">
        <f>0.650183934</f>
        <v>0.65018393399999996</v>
      </c>
      <c r="BE95">
        <f>0.576048509</f>
        <v>0.57604850900000004</v>
      </c>
      <c r="BF95">
        <f>0.48575432</f>
        <v>0.48575432000000002</v>
      </c>
      <c r="BG95">
        <f>0.422012154</f>
        <v>0.42201215399999997</v>
      </c>
      <c r="BH95">
        <f>0.322320709</f>
        <v>0.32232070899999998</v>
      </c>
      <c r="BI95">
        <f>0.308641975</f>
        <v>0.30864197500000001</v>
      </c>
      <c r="BJ95">
        <f>0.334075724</f>
        <v>0.33407572400000002</v>
      </c>
      <c r="BK95">
        <f>0.42139978</f>
        <v>0.42139978</v>
      </c>
      <c r="BL95">
        <f>0.389105058</f>
        <v>0.389105058</v>
      </c>
      <c r="BM95">
        <f>0.297278756</f>
        <v>0.29727875599999998</v>
      </c>
      <c r="BN95">
        <f>0.268552502</f>
        <v>0.26855250200000003</v>
      </c>
      <c r="BO95">
        <f>0.447018186</f>
        <v>0.44701818599999998</v>
      </c>
      <c r="BP95">
        <f>0.638041042</f>
        <v>0.638041042</v>
      </c>
      <c r="BQ95">
        <f>0.559400778</f>
        <v>0.55940077799999999</v>
      </c>
      <c r="BR95">
        <f>0.457570716</f>
        <v>0.45757071599999999</v>
      </c>
      <c r="BS95">
        <f>0.472426638</f>
        <v>0.47242663800000001</v>
      </c>
      <c r="BT95">
        <f>0.464949929</f>
        <v>0.46494992899999998</v>
      </c>
      <c r="BU95">
        <f>0.454466002</f>
        <v>0.45446600199999998</v>
      </c>
      <c r="BV95">
        <f>0.439174352</f>
        <v>0.43917435199999999</v>
      </c>
      <c r="BW95">
        <f>0.485488127</f>
        <v>0.48548812699999999</v>
      </c>
      <c r="BX95">
        <f>0.441545409</f>
        <v>0.441545409</v>
      </c>
      <c r="BY95">
        <f>0.499736981</f>
        <v>0.49973698100000002</v>
      </c>
      <c r="BZ95">
        <f>0.597345133</f>
        <v>0.59734513300000003</v>
      </c>
      <c r="CA95">
        <f>0.620036985</f>
        <v>0.62003698500000004</v>
      </c>
      <c r="CB95">
        <f>0.657368748</f>
        <v>0.657368748</v>
      </c>
      <c r="CC95">
        <f>0.902142589</f>
        <v>0.90214258899999999</v>
      </c>
      <c r="CD95">
        <f>0.704357626</f>
        <v>0.70435762599999996</v>
      </c>
      <c r="CE95">
        <f>0.262491797</f>
        <v>0.26249179700000003</v>
      </c>
      <c r="CF95">
        <f>0.261911957</f>
        <v>0.26191195699999997</v>
      </c>
      <c r="CG95">
        <f>0.170602496</f>
        <v>0.17060249599999999</v>
      </c>
    </row>
    <row r="96" spans="1:85" x14ac:dyDescent="0.25">
      <c r="A96" t="str">
        <f>"        MAN"</f>
        <v xml:space="preserve">        MAN</v>
      </c>
      <c r="B96" t="str">
        <f>"VOW GR Equity"</f>
        <v>VOW GR Equity</v>
      </c>
      <c r="E96" t="str">
        <f>"Expression"</f>
        <v>Expression</v>
      </c>
      <c r="F96" t="str">
        <f ca="1">IF(AND($B$294=1,LEN($F$231) * LEN($F$209)&gt;0),$F$231/$F$209*100,HLOOKUP(INDIRECT(ADDRESS(2,COLUMN())),OFFSET($AT$2,0,0,ROW()-1,40),ROW()-1,FALSE))</f>
        <v/>
      </c>
      <c r="G96" t="str">
        <f ca="1">IF(AND($B$294=1,LEN($G$231) * LEN($G$209)&gt;0),$G$231/$G$209*100,HLOOKUP(INDIRECT(ADDRESS(2,COLUMN())),OFFSET($AT$2,0,0,ROW()-1,40),ROW()-1,FALSE))</f>
        <v/>
      </c>
      <c r="H96" t="str">
        <f ca="1">IF(AND($B$294=1,LEN($H$231) * LEN($H$209)&gt;0),$H$231/$H$209*100,HLOOKUP(INDIRECT(ADDRESS(2,COLUMN())),OFFSET($AT$2,0,0,ROW()-1,40),ROW()-1,FALSE))</f>
        <v/>
      </c>
      <c r="I96" t="str">
        <f ca="1">IF(AND($B$294=1,LEN($I$231) * LEN($I$209)&gt;0),$I$231/$I$209*100,HLOOKUP(INDIRECT(ADDRESS(2,COLUMN())),OFFSET($AT$2,0,0,ROW()-1,40),ROW()-1,FALSE))</f>
        <v/>
      </c>
      <c r="J96" t="str">
        <f ca="1">IF(AND($B$294=1,LEN($J$231) * LEN($J$209)&gt;0),$J$231/$J$209*100,HLOOKUP(INDIRECT(ADDRESS(2,COLUMN())),OFFSET($AT$2,0,0,ROW()-1,40),ROW()-1,FALSE))</f>
        <v/>
      </c>
      <c r="K96" t="str">
        <f ca="1">IF(AND($B$294=1,LEN($K$231) * LEN($K$209)&gt;0),$K$231/$K$209*100,HLOOKUP(INDIRECT(ADDRESS(2,COLUMN())),OFFSET($AT$2,0,0,ROW()-1,40),ROW()-1,FALSE))</f>
        <v/>
      </c>
      <c r="L96" t="str">
        <f ca="1">IF(AND($B$294=1,LEN($L$231) * LEN($L$209)&gt;0),$L$231/$L$209*100,HLOOKUP(INDIRECT(ADDRESS(2,COLUMN())),OFFSET($AT$2,0,0,ROW()-1,40),ROW()-1,FALSE))</f>
        <v/>
      </c>
      <c r="M96" t="str">
        <f ca="1">IF(AND($B$294=1,LEN($M$231) * LEN($M$209)&gt;0),$M$231/$M$209*100,HLOOKUP(INDIRECT(ADDRESS(2,COLUMN())),OFFSET($AT$2,0,0,ROW()-1,40),ROW()-1,FALSE))</f>
        <v/>
      </c>
      <c r="N96" t="str">
        <f ca="1">IF(AND($B$294=1,LEN($N$231) * LEN($N$209)&gt;0),$N$231/$N$209*100,HLOOKUP(INDIRECT(ADDRESS(2,COLUMN())),OFFSET($AT$2,0,0,ROW()-1,40),ROW()-1,FALSE))</f>
        <v/>
      </c>
      <c r="O96" t="str">
        <f ca="1">IF(AND($B$294=1,LEN($O$231) * LEN($O$209)&gt;0),$O$231/$O$209*100,HLOOKUP(INDIRECT(ADDRESS(2,COLUMN())),OFFSET($AT$2,0,0,ROW()-1,40),ROW()-1,FALSE))</f>
        <v/>
      </c>
      <c r="P96" t="str">
        <f ca="1">IF(AND($B$294=1,LEN($P$231) * LEN($P$209)&gt;0),$P$231/$P$209*100,HLOOKUP(INDIRECT(ADDRESS(2,COLUMN())),OFFSET($AT$2,0,0,ROW()-1,40),ROW()-1,FALSE))</f>
        <v/>
      </c>
      <c r="Q96" t="str">
        <f ca="1">IF(AND($B$294=1,LEN($Q$231) * LEN($Q$209)&gt;0),$Q$231/$Q$209*100,HLOOKUP(INDIRECT(ADDRESS(2,COLUMN())),OFFSET($AT$2,0,0,ROW()-1,40),ROW()-1,FALSE))</f>
        <v/>
      </c>
      <c r="R96" t="str">
        <f ca="1">IF(AND($B$294=1,LEN($R$231) * LEN($R$209)&gt;0),$R$231/$R$209*100,HLOOKUP(INDIRECT(ADDRESS(2,COLUMN())),OFFSET($AT$2,0,0,ROW()-1,40),ROW()-1,FALSE))</f>
        <v/>
      </c>
      <c r="S96" t="str">
        <f ca="1">IF(AND($B$294=1,LEN($S$231) * LEN($S$209)&gt;0),$S$231/$S$209*100,HLOOKUP(INDIRECT(ADDRESS(2,COLUMN())),OFFSET($AT$2,0,0,ROW()-1,40),ROW()-1,FALSE))</f>
        <v/>
      </c>
      <c r="T96" t="str">
        <f ca="1">IF(AND($B$294=1,LEN($T$231) * LEN($T$209)&gt;0),$T$231/$T$209*100,HLOOKUP(INDIRECT(ADDRESS(2,COLUMN())),OFFSET($AT$2,0,0,ROW()-1,40),ROW()-1,FALSE))</f>
        <v/>
      </c>
      <c r="U96" t="str">
        <f ca="1">IF(AND($B$294=1,LEN($U$231) * LEN($U$209)&gt;0),$U$231/$U$209*100,HLOOKUP(INDIRECT(ADDRESS(2,COLUMN())),OFFSET($AT$2,0,0,ROW()-1,40),ROW()-1,FALSE))</f>
        <v/>
      </c>
      <c r="V96" t="str">
        <f ca="1">IF(AND($B$294=1,LEN($V$231) * LEN($V$209)&gt;0),$V$231/$V$209*100,HLOOKUP(INDIRECT(ADDRESS(2,COLUMN())),OFFSET($AT$2,0,0,ROW()-1,40),ROW()-1,FALSE))</f>
        <v/>
      </c>
      <c r="W96" t="str">
        <f ca="1">IF(AND($B$294=1,LEN($W$231) * LEN($W$209)&gt;0),$W$231/$W$209*100,HLOOKUP(INDIRECT(ADDRESS(2,COLUMN())),OFFSET($AT$2,0,0,ROW()-1,40),ROW()-1,FALSE))</f>
        <v/>
      </c>
      <c r="X96" t="str">
        <f ca="1">IF(AND($B$294=1,LEN($X$231) * LEN($X$209)&gt;0),$X$231/$X$209*100,HLOOKUP(INDIRECT(ADDRESS(2,COLUMN())),OFFSET($AT$2,0,0,ROW()-1,40),ROW()-1,FALSE))</f>
        <v/>
      </c>
      <c r="Y96" t="str">
        <f ca="1">IF(AND($B$294=1,LEN($Y$231) * LEN($Y$209)&gt;0),$Y$231/$Y$209*100,HLOOKUP(INDIRECT(ADDRESS(2,COLUMN())),OFFSET($AT$2,0,0,ROW()-1,40),ROW()-1,FALSE))</f>
        <v/>
      </c>
      <c r="Z96" t="str">
        <f ca="1">IF(AND($B$294=1,LEN($Z$231) * LEN($Z$209)&gt;0),$Z$231/$Z$209*100,HLOOKUP(INDIRECT(ADDRESS(2,COLUMN())),OFFSET($AT$2,0,0,ROW()-1,40),ROW()-1,FALSE))</f>
        <v/>
      </c>
      <c r="AA96" t="str">
        <f ca="1">IF(AND($B$294=1,LEN($AA$231) * LEN($AA$209)&gt;0),$AA$231/$AA$209*100,HLOOKUP(INDIRECT(ADDRESS(2,COLUMN())),OFFSET($AT$2,0,0,ROW()-1,40),ROW()-1,FALSE))</f>
        <v/>
      </c>
      <c r="AB96" t="str">
        <f ca="1">IF(AND($B$294=1,LEN($AB$231) * LEN($AB$209)&gt;0),$AB$231/$AB$209*100,HLOOKUP(INDIRECT(ADDRESS(2,COLUMN())),OFFSET($AT$2,0,0,ROW()-1,40),ROW()-1,FALSE))</f>
        <v/>
      </c>
      <c r="AC96" t="str">
        <f ca="1">IF(AND($B$294=1,LEN($AC$231) * LEN($AC$209)&gt;0),$AC$231/$AC$209*100,HLOOKUP(INDIRECT(ADDRESS(2,COLUMN())),OFFSET($AT$2,0,0,ROW()-1,40),ROW()-1,FALSE))</f>
        <v/>
      </c>
      <c r="AD96" t="str">
        <f ca="1">IF(AND($B$294=1,LEN($AD$231) * LEN($AD$209)&gt;0),$AD$231/$AD$209*100,HLOOKUP(INDIRECT(ADDRESS(2,COLUMN())),OFFSET($AT$2,0,0,ROW()-1,40),ROW()-1,FALSE))</f>
        <v/>
      </c>
      <c r="AE96" t="str">
        <f ca="1">IF(AND($B$294=1,LEN($AE$231) * LEN($AE$209)&gt;0),$AE$231/$AE$209*100,HLOOKUP(INDIRECT(ADDRESS(2,COLUMN())),OFFSET($AT$2,0,0,ROW()-1,40),ROW()-1,FALSE))</f>
        <v/>
      </c>
      <c r="AF96" t="str">
        <f ca="1">IF(AND($B$294=1,LEN($AF$231) * LEN($AF$209)&gt;0),$AF$231/$AF$209*100,HLOOKUP(INDIRECT(ADDRESS(2,COLUMN())),OFFSET($AT$2,0,0,ROW()-1,40),ROW()-1,FALSE))</f>
        <v/>
      </c>
      <c r="AG96" t="str">
        <f ca="1">IF(AND($B$294=1,LEN($AG$231) * LEN($AG$209)&gt;0),$AG$231/$AG$209*100,HLOOKUP(INDIRECT(ADDRESS(2,COLUMN())),OFFSET($AT$2,0,0,ROW()-1,40),ROW()-1,FALSE))</f>
        <v/>
      </c>
      <c r="AH96" t="str">
        <f ca="1">IF(AND($B$294=1,LEN($AH$231) * LEN($AH$209)&gt;0),$AH$231/$AH$209*100,HLOOKUP(INDIRECT(ADDRESS(2,COLUMN())),OFFSET($AT$2,0,0,ROW()-1,40),ROW()-1,FALSE))</f>
        <v/>
      </c>
      <c r="AI96" t="str">
        <f ca="1">IF(AND($B$294=1,LEN($AI$231) * LEN($AI$209)&gt;0),$AI$231/$AI$209*100,HLOOKUP(INDIRECT(ADDRESS(2,COLUMN())),OFFSET($AT$2,0,0,ROW()-1,40),ROW()-1,FALSE))</f>
        <v/>
      </c>
      <c r="AJ96" t="str">
        <f ca="1">IF(AND($B$294=1,LEN($AJ$231) * LEN($AJ$209)&gt;0),$AJ$231/$AJ$209*100,HLOOKUP(INDIRECT(ADDRESS(2,COLUMN())),OFFSET($AT$2,0,0,ROW()-1,40),ROW()-1,FALSE))</f>
        <v/>
      </c>
      <c r="AK96" t="str">
        <f ca="1">IF(AND($B$294=1,LEN($AK$231) * LEN($AK$209)&gt;0),$AK$231/$AK$209*100,HLOOKUP(INDIRECT(ADDRESS(2,COLUMN())),OFFSET($AT$2,0,0,ROW()-1,40),ROW()-1,FALSE))</f>
        <v/>
      </c>
      <c r="AL96" t="str">
        <f ca="1">IF(AND($B$294=1,LEN($AL$231) * LEN($AL$209)&gt;0),$AL$231/$AL$209*100,HLOOKUP(INDIRECT(ADDRESS(2,COLUMN())),OFFSET($AT$2,0,0,ROW()-1,40),ROW()-1,FALSE))</f>
        <v/>
      </c>
      <c r="AM96" t="str">
        <f ca="1">IF(AND($B$294=1,LEN($AM$231) * LEN($AM$209)&gt;0),$AM$231/$AM$209*100,HLOOKUP(INDIRECT(ADDRESS(2,COLUMN())),OFFSET($AT$2,0,0,ROW()-1,40),ROW()-1,FALSE))</f>
        <v/>
      </c>
      <c r="AN96" t="str">
        <f ca="1">IF(AND($B$294=1,LEN($AN$231) * LEN($AN$209)&gt;0),$AN$231/$AN$209*100,HLOOKUP(INDIRECT(ADDRESS(2,COLUMN())),OFFSET($AT$2,0,0,ROW()-1,40),ROW()-1,FALSE))</f>
        <v/>
      </c>
      <c r="AO96" t="str">
        <f ca="1">IF(AND($B$294=1,LEN($AO$231) * LEN($AO$209)&gt;0),$AO$231/$AO$209*100,HLOOKUP(INDIRECT(ADDRESS(2,COLUMN())),OFFSET($AT$2,0,0,ROW()-1,40),ROW()-1,FALSE))</f>
        <v/>
      </c>
      <c r="AP96" t="str">
        <f ca="1">IF(AND($B$294=1,LEN($AP$231) * LEN($AP$209)&gt;0),$AP$231/$AP$209*100,HLOOKUP(INDIRECT(ADDRESS(2,COLUMN())),OFFSET($AT$2,0,0,ROW()-1,40),ROW()-1,FALSE))</f>
        <v/>
      </c>
      <c r="AQ96" t="str">
        <f ca="1">IF(AND($B$294=1,LEN($AQ$231) * LEN($AQ$209)&gt;0),$AQ$231/$AQ$209*100,HLOOKUP(INDIRECT(ADDRESS(2,COLUMN())),OFFSET($AT$2,0,0,ROW()-1,40),ROW()-1,FALSE))</f>
        <v/>
      </c>
      <c r="AR96" t="str">
        <f ca="1">IF(AND($B$294=1,LEN($AR$231) * LEN($AR$209)&gt;0),$AR$231/$AR$209*100,HLOOKUP(INDIRECT(ADDRESS(2,COLUMN())),OFFSET($AT$2,0,0,ROW()-1,40),ROW()-1,FALSE))</f>
        <v/>
      </c>
      <c r="AS96" t="str">
        <f ca="1">IF(AND($B$294=1,LEN($AS$231) * LEN($AS$209)&gt;0),$AS$231/$AS$209*100,HLOOKUP(INDIRECT(ADDRESS(2,COLUMN())),OFFSET($AT$2,0,0,ROW()-1,40),ROW()-1,FALSE))</f>
        <v/>
      </c>
      <c r="AT96" t="str">
        <f>""</f>
        <v/>
      </c>
      <c r="AU96" t="str">
        <f>""</f>
        <v/>
      </c>
      <c r="AV96" t="str">
        <f>""</f>
        <v/>
      </c>
      <c r="AW96" t="str">
        <f>""</f>
        <v/>
      </c>
      <c r="AX96" t="str">
        <f>""</f>
        <v/>
      </c>
      <c r="AY96" t="str">
        <f>""</f>
        <v/>
      </c>
      <c r="AZ96" t="str">
        <f>""</f>
        <v/>
      </c>
      <c r="BA96" t="str">
        <f>""</f>
        <v/>
      </c>
      <c r="BB96" t="str">
        <f>""</f>
        <v/>
      </c>
      <c r="BC96" t="str">
        <f>""</f>
        <v/>
      </c>
      <c r="BD96" t="str">
        <f>""</f>
        <v/>
      </c>
      <c r="BE96" t="str">
        <f>""</f>
        <v/>
      </c>
      <c r="BF96" t="str">
        <f>""</f>
        <v/>
      </c>
      <c r="BG96" t="str">
        <f>""</f>
        <v/>
      </c>
      <c r="BH96" t="str">
        <f>""</f>
        <v/>
      </c>
      <c r="BI96" t="str">
        <f>""</f>
        <v/>
      </c>
      <c r="BJ96" t="str">
        <f>""</f>
        <v/>
      </c>
      <c r="BK96" t="str">
        <f>""</f>
        <v/>
      </c>
      <c r="BL96" t="str">
        <f>""</f>
        <v/>
      </c>
      <c r="BM96" t="str">
        <f>""</f>
        <v/>
      </c>
      <c r="BN96" t="str">
        <f>""</f>
        <v/>
      </c>
      <c r="BO96" t="str">
        <f>""</f>
        <v/>
      </c>
      <c r="BP96" t="str">
        <f>""</f>
        <v/>
      </c>
      <c r="BQ96" t="str">
        <f>""</f>
        <v/>
      </c>
      <c r="BR96" t="str">
        <f>""</f>
        <v/>
      </c>
      <c r="BS96" t="str">
        <f>""</f>
        <v/>
      </c>
      <c r="BT96" t="str">
        <f>""</f>
        <v/>
      </c>
      <c r="BU96" t="str">
        <f>""</f>
        <v/>
      </c>
      <c r="BV96" t="str">
        <f>""</f>
        <v/>
      </c>
      <c r="BW96" t="str">
        <f>""</f>
        <v/>
      </c>
      <c r="BX96" t="str">
        <f>""</f>
        <v/>
      </c>
      <c r="BY96" t="str">
        <f>""</f>
        <v/>
      </c>
      <c r="BZ96" t="str">
        <f>""</f>
        <v/>
      </c>
      <c r="CA96" t="str">
        <f>""</f>
        <v/>
      </c>
      <c r="CB96" t="str">
        <f>""</f>
        <v/>
      </c>
      <c r="CC96" t="str">
        <f>""</f>
        <v/>
      </c>
      <c r="CD96" t="str">
        <f>""</f>
        <v/>
      </c>
      <c r="CE96" t="str">
        <f>""</f>
        <v/>
      </c>
      <c r="CF96" t="str">
        <f>""</f>
        <v/>
      </c>
      <c r="CG96" t="str">
        <f>""</f>
        <v/>
      </c>
    </row>
    <row r="97" spans="1:85" x14ac:dyDescent="0.25">
      <c r="A97" t="str">
        <f>"        Volkswagen Truck &amp; Bus"</f>
        <v xml:space="preserve">        Volkswagen Truck &amp; Bus</v>
      </c>
      <c r="B97" t="str">
        <f>"VOW GR Equity"</f>
        <v>VOW GR Equity</v>
      </c>
      <c r="E97" t="str">
        <f>"Expression"</f>
        <v>Expression</v>
      </c>
      <c r="F97" t="str">
        <f ca="1">IF(AND($B$294=1,LEN($F$232) * LEN($F$209)&gt;0),$F$232/$F$209*100,HLOOKUP(INDIRECT(ADDRESS(2,COLUMN())),OFFSET($AT$2,0,0,ROW()-1,40),ROW()-1,FALSE))</f>
        <v/>
      </c>
      <c r="G97" t="str">
        <f ca="1">IF(AND($B$294=1,LEN($G$232) * LEN($G$209)&gt;0),$G$232/$G$209*100,HLOOKUP(INDIRECT(ADDRESS(2,COLUMN())),OFFSET($AT$2,0,0,ROW()-1,40),ROW()-1,FALSE))</f>
        <v/>
      </c>
      <c r="H97" t="str">
        <f ca="1">IF(AND($B$294=1,LEN($H$232) * LEN($H$209)&gt;0),$H$232/$H$209*100,HLOOKUP(INDIRECT(ADDRESS(2,COLUMN())),OFFSET($AT$2,0,0,ROW()-1,40),ROW()-1,FALSE))</f>
        <v/>
      </c>
      <c r="I97" t="str">
        <f ca="1">IF(AND($B$294=1,LEN($I$232) * LEN($I$209)&gt;0),$I$232/$I$209*100,HLOOKUP(INDIRECT(ADDRESS(2,COLUMN())),OFFSET($AT$2,0,0,ROW()-1,40),ROW()-1,FALSE))</f>
        <v/>
      </c>
      <c r="J97" t="str">
        <f ca="1">IF(AND($B$294=1,LEN($J$232) * LEN($J$209)&gt;0),$J$232/$J$209*100,HLOOKUP(INDIRECT(ADDRESS(2,COLUMN())),OFFSET($AT$2,0,0,ROW()-1,40),ROW()-1,FALSE))</f>
        <v/>
      </c>
      <c r="K97" t="str">
        <f ca="1">IF(AND($B$294=1,LEN($K$232) * LEN($K$209)&gt;0),$K$232/$K$209*100,HLOOKUP(INDIRECT(ADDRESS(2,COLUMN())),OFFSET($AT$2,0,0,ROW()-1,40),ROW()-1,FALSE))</f>
        <v/>
      </c>
      <c r="L97" t="str">
        <f ca="1">IF(AND($B$294=1,LEN($L$232) * LEN($L$209)&gt;0),$L$232/$L$209*100,HLOOKUP(INDIRECT(ADDRESS(2,COLUMN())),OFFSET($AT$2,0,0,ROW()-1,40),ROW()-1,FALSE))</f>
        <v/>
      </c>
      <c r="M97" t="str">
        <f ca="1">IF(AND($B$294=1,LEN($M$232) * LEN($M$209)&gt;0),$M$232/$M$209*100,HLOOKUP(INDIRECT(ADDRESS(2,COLUMN())),OFFSET($AT$2,0,0,ROW()-1,40),ROW()-1,FALSE))</f>
        <v/>
      </c>
      <c r="N97" t="str">
        <f ca="1">IF(AND($B$294=1,LEN($N$232) * LEN($N$209)&gt;0),$N$232/$N$209*100,HLOOKUP(INDIRECT(ADDRESS(2,COLUMN())),OFFSET($AT$2,0,0,ROW()-1,40),ROW()-1,FALSE))</f>
        <v/>
      </c>
      <c r="O97" t="str">
        <f ca="1">IF(AND($B$294=1,LEN($O$232) * LEN($O$209)&gt;0),$O$232/$O$209*100,HLOOKUP(INDIRECT(ADDRESS(2,COLUMN())),OFFSET($AT$2,0,0,ROW()-1,40),ROW()-1,FALSE))</f>
        <v/>
      </c>
      <c r="P97">
        <f ca="1">IF(AND($B$294=1,LEN($P$232) * LEN($P$209)&gt;0),$P$232/$P$209*100,HLOOKUP(INDIRECT(ADDRESS(2,COLUMN())),OFFSET($AT$2,0,0,ROW()-1,40),ROW()-1,FALSE))</f>
        <v>0.65018393399999996</v>
      </c>
      <c r="Q97">
        <f ca="1">IF(AND($B$294=1,LEN($Q$232) * LEN($Q$209)&gt;0),$Q$232/$Q$209*100,HLOOKUP(INDIRECT(ADDRESS(2,COLUMN())),OFFSET($AT$2,0,0,ROW()-1,40),ROW()-1,FALSE))</f>
        <v>0.57604850900000004</v>
      </c>
      <c r="R97">
        <f ca="1">IF(AND($B$294=1,LEN($R$232) * LEN($R$209)&gt;0),$R$232/$R$209*100,HLOOKUP(INDIRECT(ADDRESS(2,COLUMN())),OFFSET($AT$2,0,0,ROW()-1,40),ROW()-1,FALSE))</f>
        <v>0.48575432000000002</v>
      </c>
      <c r="S97">
        <f ca="1">IF(AND($B$294=1,LEN($S$232) * LEN($S$209)&gt;0),$S$232/$S$209*100,HLOOKUP(INDIRECT(ADDRESS(2,COLUMN())),OFFSET($AT$2,0,0,ROW()-1,40),ROW()-1,FALSE))</f>
        <v>0.42201215399999997</v>
      </c>
      <c r="T97">
        <f ca="1">IF(AND($B$294=1,LEN($T$232) * LEN($T$209)&gt;0),$T$232/$T$209*100,HLOOKUP(INDIRECT(ADDRESS(2,COLUMN())),OFFSET($AT$2,0,0,ROW()-1,40),ROW()-1,FALSE))</f>
        <v>0.32232070899999998</v>
      </c>
      <c r="U97">
        <f ca="1">IF(AND($B$294=1,LEN($U$232) * LEN($U$209)&gt;0),$U$232/$U$209*100,HLOOKUP(INDIRECT(ADDRESS(2,COLUMN())),OFFSET($AT$2,0,0,ROW()-1,40),ROW()-1,FALSE))</f>
        <v>0.30864197500000001</v>
      </c>
      <c r="V97">
        <f ca="1">IF(AND($B$294=1,LEN($V$232) * LEN($V$209)&gt;0),$V$232/$V$209*100,HLOOKUP(INDIRECT(ADDRESS(2,COLUMN())),OFFSET($AT$2,0,0,ROW()-1,40),ROW()-1,FALSE))</f>
        <v>0.33407572400000002</v>
      </c>
      <c r="W97">
        <f ca="1">IF(AND($B$294=1,LEN($W$232) * LEN($W$209)&gt;0),$W$232/$W$209*100,HLOOKUP(INDIRECT(ADDRESS(2,COLUMN())),OFFSET($AT$2,0,0,ROW()-1,40),ROW()-1,FALSE))</f>
        <v>0.42139978</v>
      </c>
      <c r="X97">
        <f ca="1">IF(AND($B$294=1,LEN($X$232) * LEN($X$209)&gt;0),$X$232/$X$209*100,HLOOKUP(INDIRECT(ADDRESS(2,COLUMN())),OFFSET($AT$2,0,0,ROW()-1,40),ROW()-1,FALSE))</f>
        <v>0.389105058</v>
      </c>
      <c r="Y97">
        <f ca="1">IF(AND($B$294=1,LEN($Y$232) * LEN($Y$209)&gt;0),$Y$232/$Y$209*100,HLOOKUP(INDIRECT(ADDRESS(2,COLUMN())),OFFSET($AT$2,0,0,ROW()-1,40),ROW()-1,FALSE))</f>
        <v>0.29727875599999998</v>
      </c>
      <c r="Z97">
        <f ca="1">IF(AND($B$294=1,LEN($Z$232) * LEN($Z$209)&gt;0),$Z$232/$Z$209*100,HLOOKUP(INDIRECT(ADDRESS(2,COLUMN())),OFFSET($AT$2,0,0,ROW()-1,40),ROW()-1,FALSE))</f>
        <v>0.26855250200000003</v>
      </c>
      <c r="AA97">
        <f ca="1">IF(AND($B$294=1,LEN($AA$232) * LEN($AA$209)&gt;0),$AA$232/$AA$209*100,HLOOKUP(INDIRECT(ADDRESS(2,COLUMN())),OFFSET($AT$2,0,0,ROW()-1,40),ROW()-1,FALSE))</f>
        <v>0.44701818599999998</v>
      </c>
      <c r="AB97">
        <f ca="1">IF(AND($B$294=1,LEN($AB$232) * LEN($AB$209)&gt;0),$AB$232/$AB$209*100,HLOOKUP(INDIRECT(ADDRESS(2,COLUMN())),OFFSET($AT$2,0,0,ROW()-1,40),ROW()-1,FALSE))</f>
        <v>0.638041042</v>
      </c>
      <c r="AC97">
        <f ca="1">IF(AND($B$294=1,LEN($AC$232) * LEN($AC$209)&gt;0),$AC$232/$AC$209*100,HLOOKUP(INDIRECT(ADDRESS(2,COLUMN())),OFFSET($AT$2,0,0,ROW()-1,40),ROW()-1,FALSE))</f>
        <v>0.55940077799999999</v>
      </c>
      <c r="AD97">
        <f ca="1">IF(AND($B$294=1,LEN($AD$232) * LEN($AD$209)&gt;0),$AD$232/$AD$209*100,HLOOKUP(INDIRECT(ADDRESS(2,COLUMN())),OFFSET($AT$2,0,0,ROW()-1,40),ROW()-1,FALSE))</f>
        <v>0.45757071599999999</v>
      </c>
      <c r="AE97">
        <f ca="1">IF(AND($B$294=1,LEN($AE$232) * LEN($AE$209)&gt;0),$AE$232/$AE$209*100,HLOOKUP(INDIRECT(ADDRESS(2,COLUMN())),OFFSET($AT$2,0,0,ROW()-1,40),ROW()-1,FALSE))</f>
        <v>0.47242663800000001</v>
      </c>
      <c r="AF97">
        <f ca="1">IF(AND($B$294=1,LEN($AF$232) * LEN($AF$209)&gt;0),$AF$232/$AF$209*100,HLOOKUP(INDIRECT(ADDRESS(2,COLUMN())),OFFSET($AT$2,0,0,ROW()-1,40),ROW()-1,FALSE))</f>
        <v>0.46494992899999998</v>
      </c>
      <c r="AG97">
        <f ca="1">IF(AND($B$294=1,LEN($AG$232) * LEN($AG$209)&gt;0),$AG$232/$AG$209*100,HLOOKUP(INDIRECT(ADDRESS(2,COLUMN())),OFFSET($AT$2,0,0,ROW()-1,40),ROW()-1,FALSE))</f>
        <v>0.45446600199999998</v>
      </c>
      <c r="AH97">
        <f ca="1">IF(AND($B$294=1,LEN($AH$232) * LEN($AH$209)&gt;0),$AH$232/$AH$209*100,HLOOKUP(INDIRECT(ADDRESS(2,COLUMN())),OFFSET($AT$2,0,0,ROW()-1,40),ROW()-1,FALSE))</f>
        <v>0.43917435199999999</v>
      </c>
      <c r="AI97">
        <f ca="1">IF(AND($B$294=1,LEN($AI$232) * LEN($AI$209)&gt;0),$AI$232/$AI$209*100,HLOOKUP(INDIRECT(ADDRESS(2,COLUMN())),OFFSET($AT$2,0,0,ROW()-1,40),ROW()-1,FALSE))</f>
        <v>0.48548812699999999</v>
      </c>
      <c r="AJ97">
        <f ca="1">IF(AND($B$294=1,LEN($AJ$232) * LEN($AJ$209)&gt;0),$AJ$232/$AJ$209*100,HLOOKUP(INDIRECT(ADDRESS(2,COLUMN())),OFFSET($AT$2,0,0,ROW()-1,40),ROW()-1,FALSE))</f>
        <v>0.441545409</v>
      </c>
      <c r="AK97">
        <f ca="1">IF(AND($B$294=1,LEN($AK$232) * LEN($AK$209)&gt;0),$AK$232/$AK$209*100,HLOOKUP(INDIRECT(ADDRESS(2,COLUMN())),OFFSET($AT$2,0,0,ROW()-1,40),ROW()-1,FALSE))</f>
        <v>0.49973698100000002</v>
      </c>
      <c r="AL97">
        <f ca="1">IF(AND($B$294=1,LEN($AL$232) * LEN($AL$209)&gt;0),$AL$232/$AL$209*100,HLOOKUP(INDIRECT(ADDRESS(2,COLUMN())),OFFSET($AT$2,0,0,ROW()-1,40),ROW()-1,FALSE))</f>
        <v>0.59734513300000003</v>
      </c>
      <c r="AM97">
        <f ca="1">IF(AND($B$294=1,LEN($AM$232) * LEN($AM$209)&gt;0),$AM$232/$AM$209*100,HLOOKUP(INDIRECT(ADDRESS(2,COLUMN())),OFFSET($AT$2,0,0,ROW()-1,40),ROW()-1,FALSE))</f>
        <v>0.62003698500000004</v>
      </c>
      <c r="AN97">
        <f ca="1">IF(AND($B$294=1,LEN($AN$232) * LEN($AN$209)&gt;0),$AN$232/$AN$209*100,HLOOKUP(INDIRECT(ADDRESS(2,COLUMN())),OFFSET($AT$2,0,0,ROW()-1,40),ROW()-1,FALSE))</f>
        <v>0.657368748</v>
      </c>
      <c r="AO97">
        <f ca="1">IF(AND($B$294=1,LEN($AO$232) * LEN($AO$209)&gt;0),$AO$232/$AO$209*100,HLOOKUP(INDIRECT(ADDRESS(2,COLUMN())),OFFSET($AT$2,0,0,ROW()-1,40),ROW()-1,FALSE))</f>
        <v>0.90214258899999999</v>
      </c>
      <c r="AP97">
        <f ca="1">IF(AND($B$294=1,LEN($AP$232) * LEN($AP$209)&gt;0),$AP$232/$AP$209*100,HLOOKUP(INDIRECT(ADDRESS(2,COLUMN())),OFFSET($AT$2,0,0,ROW()-1,40),ROW()-1,FALSE))</f>
        <v>0.70435762599999996</v>
      </c>
      <c r="AQ97">
        <f ca="1">IF(AND($B$294=1,LEN($AQ$232) * LEN($AQ$209)&gt;0),$AQ$232/$AQ$209*100,HLOOKUP(INDIRECT(ADDRESS(2,COLUMN())),OFFSET($AT$2,0,0,ROW()-1,40),ROW()-1,FALSE))</f>
        <v>0.26249179700000003</v>
      </c>
      <c r="AR97">
        <f ca="1">IF(AND($B$294=1,LEN($AR$232) * LEN($AR$209)&gt;0),$AR$232/$AR$209*100,HLOOKUP(INDIRECT(ADDRESS(2,COLUMN())),OFFSET($AT$2,0,0,ROW()-1,40),ROW()-1,FALSE))</f>
        <v>0.26191195699999997</v>
      </c>
      <c r="AS97">
        <f ca="1">IF(AND($B$294=1,LEN($AS$232) * LEN($AS$209)&gt;0),$AS$232/$AS$209*100,HLOOKUP(INDIRECT(ADDRESS(2,COLUMN())),OFFSET($AT$2,0,0,ROW()-1,40),ROW()-1,FALSE))</f>
        <v>0.17060249599999999</v>
      </c>
      <c r="AT97" t="str">
        <f>""</f>
        <v/>
      </c>
      <c r="AU97" t="str">
        <f>""</f>
        <v/>
      </c>
      <c r="AV97" t="str">
        <f>""</f>
        <v/>
      </c>
      <c r="AW97" t="str">
        <f>""</f>
        <v/>
      </c>
      <c r="AX97" t="str">
        <f>""</f>
        <v/>
      </c>
      <c r="AY97" t="str">
        <f>""</f>
        <v/>
      </c>
      <c r="AZ97" t="str">
        <f>""</f>
        <v/>
      </c>
      <c r="BA97" t="str">
        <f>""</f>
        <v/>
      </c>
      <c r="BB97" t="str">
        <f>""</f>
        <v/>
      </c>
      <c r="BC97" t="str">
        <f>""</f>
        <v/>
      </c>
      <c r="BD97">
        <f>0.650183934</f>
        <v>0.65018393399999996</v>
      </c>
      <c r="BE97">
        <f>0.576048509</f>
        <v>0.57604850900000004</v>
      </c>
      <c r="BF97">
        <f>0.48575432</f>
        <v>0.48575432000000002</v>
      </c>
      <c r="BG97">
        <f>0.422012154</f>
        <v>0.42201215399999997</v>
      </c>
      <c r="BH97">
        <f>0.322320709</f>
        <v>0.32232070899999998</v>
      </c>
      <c r="BI97">
        <f>0.308641975</f>
        <v>0.30864197500000001</v>
      </c>
      <c r="BJ97">
        <f>0.334075724</f>
        <v>0.33407572400000002</v>
      </c>
      <c r="BK97">
        <f>0.42139978</f>
        <v>0.42139978</v>
      </c>
      <c r="BL97">
        <f>0.389105058</f>
        <v>0.389105058</v>
      </c>
      <c r="BM97">
        <f>0.297278756</f>
        <v>0.29727875599999998</v>
      </c>
      <c r="BN97">
        <f>0.268552502</f>
        <v>0.26855250200000003</v>
      </c>
      <c r="BO97">
        <f>0.447018186</f>
        <v>0.44701818599999998</v>
      </c>
      <c r="BP97">
        <f>0.638041042</f>
        <v>0.638041042</v>
      </c>
      <c r="BQ97">
        <f>0.559400778</f>
        <v>0.55940077799999999</v>
      </c>
      <c r="BR97">
        <f>0.457570716</f>
        <v>0.45757071599999999</v>
      </c>
      <c r="BS97">
        <f>0.472426638</f>
        <v>0.47242663800000001</v>
      </c>
      <c r="BT97">
        <f>0.464949929</f>
        <v>0.46494992899999998</v>
      </c>
      <c r="BU97">
        <f>0.454466002</f>
        <v>0.45446600199999998</v>
      </c>
      <c r="BV97">
        <f>0.439174352</f>
        <v>0.43917435199999999</v>
      </c>
      <c r="BW97">
        <f>0.485488127</f>
        <v>0.48548812699999999</v>
      </c>
      <c r="BX97">
        <f>0.441545409</f>
        <v>0.441545409</v>
      </c>
      <c r="BY97">
        <f>0.499736981</f>
        <v>0.49973698100000002</v>
      </c>
      <c r="BZ97">
        <f>0.597345133</f>
        <v>0.59734513300000003</v>
      </c>
      <c r="CA97">
        <f>0.620036985</f>
        <v>0.62003698500000004</v>
      </c>
      <c r="CB97">
        <f>0.657368748</f>
        <v>0.657368748</v>
      </c>
      <c r="CC97">
        <f>0.902142589</f>
        <v>0.90214258899999999</v>
      </c>
      <c r="CD97">
        <f>0.704357626</f>
        <v>0.70435762599999996</v>
      </c>
      <c r="CE97">
        <f>0.262491797</f>
        <v>0.26249179700000003</v>
      </c>
      <c r="CF97">
        <f>0.261911957</f>
        <v>0.26191195699999997</v>
      </c>
      <c r="CG97">
        <f>0.170602496</f>
        <v>0.17060249599999999</v>
      </c>
    </row>
    <row r="98" spans="1:85" x14ac:dyDescent="0.25">
      <c r="A98" t="str">
        <f>"    Other"</f>
        <v xml:space="preserve">    Other</v>
      </c>
      <c r="B98" t="str">
        <f>""</f>
        <v/>
      </c>
      <c r="E98" t="str">
        <f>"Expression"</f>
        <v>Expression</v>
      </c>
      <c r="F98">
        <f ca="1">IF(AND($B$294=1,LEN($F$233) * LEN($F$209)&gt;0),$F$233/$F$209*100,HLOOKUP(INDIRECT(ADDRESS(2,COLUMN())),OFFSET($AT$2,0,0,ROW()-1,40),ROW()-1,FALSE))</f>
        <v>3.9919151089999998</v>
      </c>
      <c r="G98">
        <f ca="1">IF(AND($B$294=1,LEN($G$233) * LEN($G$209)&gt;0),$G$233/$G$209*100,HLOOKUP(INDIRECT(ADDRESS(2,COLUMN())),OFFSET($AT$2,0,0,ROW()-1,40),ROW()-1,FALSE))</f>
        <v>4.4416696399999998</v>
      </c>
      <c r="H98">
        <f ca="1">IF(AND($B$294=1,LEN($H$233) * LEN($H$209)&gt;0),$H$233/$H$209*100,HLOOKUP(INDIRECT(ADDRESS(2,COLUMN())),OFFSET($AT$2,0,0,ROW()-1,40),ROW()-1,FALSE))</f>
        <v>3.7742762920000001</v>
      </c>
      <c r="I98">
        <f ca="1">IF(AND($B$294=1,LEN($I$233) * LEN($I$209)&gt;0),$I$233/$I$209*100,HLOOKUP(INDIRECT(ADDRESS(2,COLUMN())),OFFSET($AT$2,0,0,ROW()-1,40),ROW()-1,FALSE))</f>
        <v>4.2154566740000003</v>
      </c>
      <c r="J98">
        <f ca="1">IF(AND($B$294=1,LEN($J$233) * LEN($J$209)&gt;0),$J$233/$J$209*100,HLOOKUP(INDIRECT(ADDRESS(2,COLUMN())),OFFSET($AT$2,0,0,ROW()-1,40),ROW()-1,FALSE))</f>
        <v>4.519281103</v>
      </c>
      <c r="K98">
        <f ca="1">IF(AND($B$294=1,LEN($K$233) * LEN($K$209)&gt;0),$K$233/$K$209*100,HLOOKUP(INDIRECT(ADDRESS(2,COLUMN())),OFFSET($AT$2,0,0,ROW()-1,40),ROW()-1,FALSE))</f>
        <v>3.947729142</v>
      </c>
      <c r="L98">
        <f ca="1">IF(AND($B$294=1,LEN($L$233) * LEN($L$209)&gt;0),$L$233/$L$209*100,HLOOKUP(INDIRECT(ADDRESS(2,COLUMN())),OFFSET($AT$2,0,0,ROW()-1,40),ROW()-1,FALSE))</f>
        <v>3.904225855</v>
      </c>
      <c r="M98">
        <f ca="1">IF(AND($B$294=1,LEN($M$233) * LEN($M$209)&gt;0),$M$233/$M$209*100,HLOOKUP(INDIRECT(ADDRESS(2,COLUMN())),OFFSET($AT$2,0,0,ROW()-1,40),ROW()-1,FALSE))</f>
        <v>3.6216137910000001</v>
      </c>
      <c r="N98">
        <f ca="1">IF(AND($B$294=1,LEN($N$233) * LEN($N$209)&gt;0),$N$233/$N$209*100,HLOOKUP(INDIRECT(ADDRESS(2,COLUMN())),OFFSET($AT$2,0,0,ROW()-1,40),ROW()-1,FALSE))</f>
        <v>3.9721126500000001</v>
      </c>
      <c r="O98">
        <f ca="1">IF(AND($B$294=1,LEN($O$233) * LEN($O$209)&gt;0),$O$233/$O$209*100,HLOOKUP(INDIRECT(ADDRESS(2,COLUMN())),OFFSET($AT$2,0,0,ROW()-1,40),ROW()-1,FALSE))</f>
        <v>4.4970889380000001</v>
      </c>
      <c r="P98">
        <f ca="1">IF(AND($B$294=1,LEN($P$233) * LEN($P$209)&gt;0),$P$233/$P$209*100,HLOOKUP(INDIRECT(ADDRESS(2,COLUMN())),OFFSET($AT$2,0,0,ROW()-1,40),ROW()-1,FALSE))</f>
        <v>0</v>
      </c>
      <c r="Q98">
        <f ca="1">IF(AND($B$294=1,LEN($Q$233) * LEN($Q$209)&gt;0),$Q$233/$Q$209*100,HLOOKUP(INDIRECT(ADDRESS(2,COLUMN())),OFFSET($AT$2,0,0,ROW()-1,40),ROW()-1,FALSE))</f>
        <v>0</v>
      </c>
      <c r="R98">
        <f ca="1">IF(AND($B$294=1,LEN($R$233) * LEN($R$209)&gt;0),$R$233/$R$209*100,HLOOKUP(INDIRECT(ADDRESS(2,COLUMN())),OFFSET($AT$2,0,0,ROW()-1,40),ROW()-1,FALSE))</f>
        <v>0</v>
      </c>
      <c r="S98">
        <f ca="1">IF(AND($B$294=1,LEN($S$233) * LEN($S$209)&gt;0),$S$233/$S$209*100,HLOOKUP(INDIRECT(ADDRESS(2,COLUMN())),OFFSET($AT$2,0,0,ROW()-1,40),ROW()-1,FALSE))</f>
        <v>0</v>
      </c>
      <c r="T98">
        <f ca="1">IF(AND($B$294=1,LEN($T$233) * LEN($T$209)&gt;0),$T$233/$T$209*100,HLOOKUP(INDIRECT(ADDRESS(2,COLUMN())),OFFSET($AT$2,0,0,ROW()-1,40),ROW()-1,FALSE))</f>
        <v>0</v>
      </c>
      <c r="U98">
        <f ca="1">IF(AND($B$294=1,LEN($U$233) * LEN($U$209)&gt;0),$U$233/$U$209*100,HLOOKUP(INDIRECT(ADDRESS(2,COLUMN())),OFFSET($AT$2,0,0,ROW()-1,40),ROW()-1,FALSE))</f>
        <v>0</v>
      </c>
      <c r="V98">
        <f ca="1">IF(AND($B$294=1,LEN($V$233) * LEN($V$209)&gt;0),$V$233/$V$209*100,HLOOKUP(INDIRECT(ADDRESS(2,COLUMN())),OFFSET($AT$2,0,0,ROW()-1,40),ROW()-1,FALSE))</f>
        <v>0</v>
      </c>
      <c r="W98">
        <f ca="1">IF(AND($B$294=1,LEN($W$233) * LEN($W$209)&gt;0),$W$233/$W$209*100,HLOOKUP(INDIRECT(ADDRESS(2,COLUMN())),OFFSET($AT$2,0,0,ROW()-1,40),ROW()-1,FALSE))</f>
        <v>0</v>
      </c>
      <c r="X98">
        <f ca="1">IF(AND($B$294=1,LEN($X$233) * LEN($X$209)&gt;0),$X$233/$X$209*100,HLOOKUP(INDIRECT(ADDRESS(2,COLUMN())),OFFSET($AT$2,0,0,ROW()-1,40),ROW()-1,FALSE))</f>
        <v>0</v>
      </c>
      <c r="Y98">
        <f ca="1">IF(AND($B$294=1,LEN($Y$233) * LEN($Y$209)&gt;0),$Y$233/$Y$209*100,HLOOKUP(INDIRECT(ADDRESS(2,COLUMN())),OFFSET($AT$2,0,0,ROW()-1,40),ROW()-1,FALSE))</f>
        <v>0</v>
      </c>
      <c r="Z98">
        <f ca="1">IF(AND($B$294=1,LEN($Z$233) * LEN($Z$209)&gt;0),$Z$233/$Z$209*100,HLOOKUP(INDIRECT(ADDRESS(2,COLUMN())),OFFSET($AT$2,0,0,ROW()-1,40),ROW()-1,FALSE))</f>
        <v>0</v>
      </c>
      <c r="AA98">
        <f ca="1">IF(AND($B$294=1,LEN($AA$233) * LEN($AA$209)&gt;0),$AA$233/$AA$209*100,HLOOKUP(INDIRECT(ADDRESS(2,COLUMN())),OFFSET($AT$2,0,0,ROW()-1,40),ROW()-1,FALSE))</f>
        <v>0</v>
      </c>
      <c r="AB98">
        <f ca="1">IF(AND($B$294=1,LEN($AB$233) * LEN($AB$209)&gt;0),$AB$233/$AB$209*100,HLOOKUP(INDIRECT(ADDRESS(2,COLUMN())),OFFSET($AT$2,0,0,ROW()-1,40),ROW()-1,FALSE))</f>
        <v>0</v>
      </c>
      <c r="AC98">
        <f ca="1">IF(AND($B$294=1,LEN($AC$233) * LEN($AC$209)&gt;0),$AC$233/$AC$209*100,HLOOKUP(INDIRECT(ADDRESS(2,COLUMN())),OFFSET($AT$2,0,0,ROW()-1,40),ROW()-1,FALSE))</f>
        <v>0</v>
      </c>
      <c r="AD98">
        <f ca="1">IF(AND($B$294=1,LEN($AD$233) * LEN($AD$209)&gt;0),$AD$233/$AD$209*100,HLOOKUP(INDIRECT(ADDRESS(2,COLUMN())),OFFSET($AT$2,0,0,ROW()-1,40),ROW()-1,FALSE))</f>
        <v>0</v>
      </c>
      <c r="AE98">
        <f ca="1">IF(AND($B$294=1,LEN($AE$233) * LEN($AE$209)&gt;0),$AE$233/$AE$209*100,HLOOKUP(INDIRECT(ADDRESS(2,COLUMN())),OFFSET($AT$2,0,0,ROW()-1,40),ROW()-1,FALSE))</f>
        <v>0</v>
      </c>
      <c r="AF98">
        <f ca="1">IF(AND($B$294=1,LEN($AF$233) * LEN($AF$209)&gt;0),$AF$233/$AF$209*100,HLOOKUP(INDIRECT(ADDRESS(2,COLUMN())),OFFSET($AT$2,0,0,ROW()-1,40),ROW()-1,FALSE))</f>
        <v>0</v>
      </c>
      <c r="AG98">
        <f ca="1">IF(AND($B$294=1,LEN($AG$233) * LEN($AG$209)&gt;0),$AG$233/$AG$209*100,HLOOKUP(INDIRECT(ADDRESS(2,COLUMN())),OFFSET($AT$2,0,0,ROW()-1,40),ROW()-1,FALSE))</f>
        <v>0</v>
      </c>
      <c r="AH98">
        <f ca="1">IF(AND($B$294=1,LEN($AH$233) * LEN($AH$209)&gt;0),$AH$233/$AH$209*100,HLOOKUP(INDIRECT(ADDRESS(2,COLUMN())),OFFSET($AT$2,0,0,ROW()-1,40),ROW()-1,FALSE))</f>
        <v>0</v>
      </c>
      <c r="AI98">
        <f ca="1">IF(AND($B$294=1,LEN($AI$233) * LEN($AI$209)&gt;0),$AI$233/$AI$209*100,HLOOKUP(INDIRECT(ADDRESS(2,COLUMN())),OFFSET($AT$2,0,0,ROW()-1,40),ROW()-1,FALSE))</f>
        <v>0</v>
      </c>
      <c r="AJ98">
        <f ca="1">IF(AND($B$294=1,LEN($AJ$233) * LEN($AJ$209)&gt;0),$AJ$233/$AJ$209*100,HLOOKUP(INDIRECT(ADDRESS(2,COLUMN())),OFFSET($AT$2,0,0,ROW()-1,40),ROW()-1,FALSE))</f>
        <v>0</v>
      </c>
      <c r="AK98">
        <f ca="1">IF(AND($B$294=1,LEN($AK$233) * LEN($AK$209)&gt;0),$AK$233/$AK$209*100,HLOOKUP(INDIRECT(ADDRESS(2,COLUMN())),OFFSET($AT$2,0,0,ROW()-1,40),ROW()-1,FALSE))</f>
        <v>0</v>
      </c>
      <c r="AL98">
        <f ca="1">IF(AND($B$294=1,LEN($AL$233) * LEN($AL$209)&gt;0),$AL$233/$AL$209*100,HLOOKUP(INDIRECT(ADDRESS(2,COLUMN())),OFFSET($AT$2,0,0,ROW()-1,40),ROW()-1,FALSE))</f>
        <v>0</v>
      </c>
      <c r="AM98">
        <f ca="1">IF(AND($B$294=1,LEN($AM$233) * LEN($AM$209)&gt;0),$AM$233/$AM$209*100,HLOOKUP(INDIRECT(ADDRESS(2,COLUMN())),OFFSET($AT$2,0,0,ROW()-1,40),ROW()-1,FALSE))</f>
        <v>0</v>
      </c>
      <c r="AN98">
        <f ca="1">IF(AND($B$294=1,LEN($AN$233) * LEN($AN$209)&gt;0),$AN$233/$AN$209*100,HLOOKUP(INDIRECT(ADDRESS(2,COLUMN())),OFFSET($AT$2,0,0,ROW()-1,40),ROW()-1,FALSE))</f>
        <v>0</v>
      </c>
      <c r="AO98">
        <f ca="1">IF(AND($B$294=1,LEN($AO$233) * LEN($AO$209)&gt;0),$AO$233/$AO$209*100,HLOOKUP(INDIRECT(ADDRESS(2,COLUMN())),OFFSET($AT$2,0,0,ROW()-1,40),ROW()-1,FALSE))</f>
        <v>0</v>
      </c>
      <c r="AP98">
        <f ca="1">IF(AND($B$294=1,LEN($AP$233) * LEN($AP$209)&gt;0),$AP$233/$AP$209*100,HLOOKUP(INDIRECT(ADDRESS(2,COLUMN())),OFFSET($AT$2,0,0,ROW()-1,40),ROW()-1,FALSE))</f>
        <v>0</v>
      </c>
      <c r="AQ98">
        <f ca="1">IF(AND($B$294=1,LEN($AQ$233) * LEN($AQ$209)&gt;0),$AQ$233/$AQ$209*100,HLOOKUP(INDIRECT(ADDRESS(2,COLUMN())),OFFSET($AT$2,0,0,ROW()-1,40),ROW()-1,FALSE))</f>
        <v>0</v>
      </c>
      <c r="AR98">
        <f ca="1">IF(AND($B$294=1,LEN($AR$233) * LEN($AR$209)&gt;0),$AR$233/$AR$209*100,HLOOKUP(INDIRECT(ADDRESS(2,COLUMN())),OFFSET($AT$2,0,0,ROW()-1,40),ROW()-1,FALSE))</f>
        <v>0</v>
      </c>
      <c r="AS98">
        <f ca="1">IF(AND($B$294=1,LEN($AS$233) * LEN($AS$209)&gt;0),$AS$233/$AS$209*100,HLOOKUP(INDIRECT(ADDRESS(2,COLUMN())),OFFSET($AT$2,0,0,ROW()-1,40),ROW()-1,FALSE))</f>
        <v>0</v>
      </c>
      <c r="AT98">
        <f>3.991915109</f>
        <v>3.9919151089999998</v>
      </c>
      <c r="AU98">
        <f>4.44166964</f>
        <v>4.4416696399999998</v>
      </c>
      <c r="AV98">
        <f>3.774276292</f>
        <v>3.7742762920000001</v>
      </c>
      <c r="AW98">
        <f>4.215456674</f>
        <v>4.2154566740000003</v>
      </c>
      <c r="AX98">
        <f>4.519281103</f>
        <v>4.519281103</v>
      </c>
      <c r="AY98">
        <f>3.947729142</f>
        <v>3.947729142</v>
      </c>
      <c r="AZ98">
        <f>3.904225855</f>
        <v>3.904225855</v>
      </c>
      <c r="BA98">
        <f>3.621613791</f>
        <v>3.6216137910000001</v>
      </c>
      <c r="BB98">
        <f>3.97211265</f>
        <v>3.9721126500000001</v>
      </c>
      <c r="BC98">
        <f>4.497088938</f>
        <v>4.4970889380000001</v>
      </c>
      <c r="BD98">
        <f>0</f>
        <v>0</v>
      </c>
      <c r="BE98">
        <f>0</f>
        <v>0</v>
      </c>
      <c r="BF98">
        <f>0</f>
        <v>0</v>
      </c>
      <c r="BG98">
        <f>0</f>
        <v>0</v>
      </c>
      <c r="BH98">
        <f>0</f>
        <v>0</v>
      </c>
      <c r="BI98">
        <f>0</f>
        <v>0</v>
      </c>
      <c r="BJ98">
        <f>0</f>
        <v>0</v>
      </c>
      <c r="BK98">
        <f>0</f>
        <v>0</v>
      </c>
      <c r="BL98">
        <f>0</f>
        <v>0</v>
      </c>
      <c r="BM98">
        <f>0</f>
        <v>0</v>
      </c>
      <c r="BN98">
        <f>0</f>
        <v>0</v>
      </c>
      <c r="BO98">
        <f>0</f>
        <v>0</v>
      </c>
      <c r="BP98">
        <f>0</f>
        <v>0</v>
      </c>
      <c r="BQ98">
        <f>0</f>
        <v>0</v>
      </c>
      <c r="BR98">
        <f>0</f>
        <v>0</v>
      </c>
      <c r="BS98">
        <f>0</f>
        <v>0</v>
      </c>
      <c r="BT98">
        <f>0</f>
        <v>0</v>
      </c>
      <c r="BU98">
        <f>0</f>
        <v>0</v>
      </c>
      <c r="BV98">
        <f>0</f>
        <v>0</v>
      </c>
      <c r="BW98">
        <f>0</f>
        <v>0</v>
      </c>
      <c r="BX98">
        <f>0</f>
        <v>0</v>
      </c>
      <c r="BY98">
        <f>0</f>
        <v>0</v>
      </c>
      <c r="BZ98">
        <f>0</f>
        <v>0</v>
      </c>
      <c r="CA98">
        <f>0</f>
        <v>0</v>
      </c>
      <c r="CB98">
        <f>0</f>
        <v>0</v>
      </c>
      <c r="CC98">
        <f>0</f>
        <v>0</v>
      </c>
      <c r="CD98">
        <f>0</f>
        <v>0</v>
      </c>
      <c r="CE98">
        <f>0</f>
        <v>0</v>
      </c>
      <c r="CF98">
        <f>0</f>
        <v>0</v>
      </c>
      <c r="CG98">
        <f>0</f>
        <v>0</v>
      </c>
    </row>
    <row r="99" spans="1:85" x14ac:dyDescent="0.25">
      <c r="A99" t="str">
        <f>"United States (Class 6-7)"</f>
        <v>United States (Class 6-7)</v>
      </c>
      <c r="B99" t="str">
        <f>"TRCKUS6S Index"</f>
        <v>TRCKUS6S Index</v>
      </c>
      <c r="E99" t="str">
        <f>"Sum"</f>
        <v>Sum</v>
      </c>
      <c r="F99">
        <f ca="1">IF(ISERROR(IF(SUM($F$100,$F$105,$F$107,$F$110,$F$111,$F$112,$F$115,$F$118,$F$119) = 0, "", SUM($F$100,$F$105,$F$107,$F$110,$F$111,$F$112,$F$115,$F$118,$F$119))), "", (IF(SUM($F$100,$F$105,$F$107,$F$110,$F$111,$F$112,$F$115,$F$118,$F$119) = 0, "", SUM($F$100,$F$105,$F$107,$F$110,$F$111,$F$112,$F$115,$F$118,$F$119))))</f>
        <v>100</v>
      </c>
      <c r="G99">
        <f ca="1">IF(ISERROR(IF(SUM($G$100,$G$105,$G$107,$G$110,$G$111,$G$112,$G$115,$G$118,$G$119) = 0, "", SUM($G$100,$G$105,$G$107,$G$110,$G$111,$G$112,$G$115,$G$118,$G$119))), "", (IF(SUM($G$100,$G$105,$G$107,$G$110,$G$111,$G$112,$G$115,$G$118,$G$119) = 0, "", SUM($G$100,$G$105,$G$107,$G$110,$G$111,$G$112,$G$115,$G$118,$G$119))))</f>
        <v>100.00000000200001</v>
      </c>
      <c r="H99">
        <f ca="1">IF(ISERROR(IF(SUM($H$100,$H$105,$H$107,$H$110,$H$111,$H$112,$H$115,$H$118,$H$119) = 0, "", SUM($H$100,$H$105,$H$107,$H$110,$H$111,$H$112,$H$115,$H$118,$H$119))), "", (IF(SUM($H$100,$H$105,$H$107,$H$110,$H$111,$H$112,$H$115,$H$118,$H$119) = 0, "", SUM($H$100,$H$105,$H$107,$H$110,$H$111,$H$112,$H$115,$H$118,$H$119))))</f>
        <v>99.999999996000014</v>
      </c>
      <c r="I99">
        <f ca="1">IF(ISERROR(IF(SUM($I$100,$I$105,$I$107,$I$110,$I$111,$I$112,$I$115,$I$118,$I$119) = 0, "", SUM($I$100,$I$105,$I$107,$I$110,$I$111,$I$112,$I$115,$I$118,$I$119))), "", (IF(SUM($I$100,$I$105,$I$107,$I$110,$I$111,$I$112,$I$115,$I$118,$I$119) = 0, "", SUM($I$100,$I$105,$I$107,$I$110,$I$111,$I$112,$I$115,$I$118,$I$119))))</f>
        <v>99.999999996</v>
      </c>
      <c r="J99">
        <f ca="1">IF(ISERROR(IF(SUM($J$100,$J$105,$J$107,$J$110,$J$111,$J$112,$J$115,$J$118,$J$119) = 0, "", SUM($J$100,$J$105,$J$107,$J$110,$J$111,$J$112,$J$115,$J$118,$J$119))), "", (IF(SUM($J$100,$J$105,$J$107,$J$110,$J$111,$J$112,$J$115,$J$118,$J$119) = 0, "", SUM($J$100,$J$105,$J$107,$J$110,$J$111,$J$112,$J$115,$J$118,$J$119))))</f>
        <v>100.000000004</v>
      </c>
      <c r="K99">
        <f ca="1">IF(ISERROR(IF(SUM($K$100,$K$105,$K$107,$K$110,$K$111,$K$112,$K$115,$K$118,$K$119) = 0, "", SUM($K$100,$K$105,$K$107,$K$110,$K$111,$K$112,$K$115,$K$118,$K$119))), "", (IF(SUM($K$100,$K$105,$K$107,$K$110,$K$111,$K$112,$K$115,$K$118,$K$119) = 0, "", SUM($K$100,$K$105,$K$107,$K$110,$K$111,$K$112,$K$115,$K$118,$K$119))))</f>
        <v>100.00000000200001</v>
      </c>
      <c r="L99">
        <f ca="1">IF(ISERROR(IF(SUM($L$100,$L$105,$L$107,$L$110,$L$111,$L$112,$L$115,$L$118,$L$119) = 0, "", SUM($L$100,$L$105,$L$107,$L$110,$L$111,$L$112,$L$115,$L$118,$L$119))), "", (IF(SUM($L$100,$L$105,$L$107,$L$110,$L$111,$L$112,$L$115,$L$118,$L$119) = 0, "", SUM($L$100,$L$105,$L$107,$L$110,$L$111,$L$112,$L$115,$L$118,$L$119))))</f>
        <v>99.999999994999996</v>
      </c>
      <c r="M99">
        <f ca="1">IF(ISERROR(IF(SUM($M$100,$M$105,$M$107,$M$110,$M$111,$M$112,$M$115,$M$118,$M$119) = 0, "", SUM($M$100,$M$105,$M$107,$M$110,$M$111,$M$112,$M$115,$M$118,$M$119))), "", (IF(SUM($M$100,$M$105,$M$107,$M$110,$M$111,$M$112,$M$115,$M$118,$M$119) = 0, "", SUM($M$100,$M$105,$M$107,$M$110,$M$111,$M$112,$M$115,$M$118,$M$119))))</f>
        <v>100.000000003</v>
      </c>
      <c r="N99">
        <f ca="1">IF(ISERROR(IF(SUM($N$100,$N$105,$N$107,$N$110,$N$111,$N$112,$N$115,$N$118,$N$119) = 0, "", SUM($N$100,$N$105,$N$107,$N$110,$N$111,$N$112,$N$115,$N$118,$N$119))), "", (IF(SUM($N$100,$N$105,$N$107,$N$110,$N$111,$N$112,$N$115,$N$118,$N$119) = 0, "", SUM($N$100,$N$105,$N$107,$N$110,$N$111,$N$112,$N$115,$N$118,$N$119))))</f>
        <v>100.00000000200001</v>
      </c>
      <c r="O99">
        <f ca="1">IF(ISERROR(IF(SUM($O$100,$O$105,$O$107,$O$110,$O$111,$O$112,$O$115,$O$118,$O$119) = 0, "", SUM($O$100,$O$105,$O$107,$O$110,$O$111,$O$112,$O$115,$O$118,$O$119))), "", (IF(SUM($O$100,$O$105,$O$107,$O$110,$O$111,$O$112,$O$115,$O$118,$O$119) = 0, "", SUM($O$100,$O$105,$O$107,$O$110,$O$111,$O$112,$O$115,$O$118,$O$119))))</f>
        <v>100.00000000599999</v>
      </c>
      <c r="P99">
        <f ca="1">IF(ISERROR(IF(SUM($P$100,$P$105,$P$107,$P$110,$P$111,$P$112,$P$115,$P$118,$P$119) = 0, "", SUM($P$100,$P$105,$P$107,$P$110,$P$111,$P$112,$P$115,$P$118,$P$119))), "", (IF(SUM($P$100,$P$105,$P$107,$P$110,$P$111,$P$112,$P$115,$P$118,$P$119) = 0, "", SUM($P$100,$P$105,$P$107,$P$110,$P$111,$P$112,$P$115,$P$118,$P$119))))</f>
        <v>100.00000000200001</v>
      </c>
      <c r="Q99">
        <f ca="1">IF(ISERROR(IF(SUM($Q$100,$Q$105,$Q$107,$Q$110,$Q$111,$Q$112,$Q$115,$Q$118,$Q$119) = 0, "", SUM($Q$100,$Q$105,$Q$107,$Q$110,$Q$111,$Q$112,$Q$115,$Q$118,$Q$119))), "", (IF(SUM($Q$100,$Q$105,$Q$107,$Q$110,$Q$111,$Q$112,$Q$115,$Q$118,$Q$119) = 0, "", SUM($Q$100,$Q$105,$Q$107,$Q$110,$Q$111,$Q$112,$Q$115,$Q$118,$Q$119))))</f>
        <v>100.000000005</v>
      </c>
      <c r="R99">
        <f ca="1">IF(ISERROR(IF(SUM($R$100,$R$105,$R$107,$R$110,$R$111,$R$112,$R$115,$R$118,$R$119) = 0, "", SUM($R$100,$R$105,$R$107,$R$110,$R$111,$R$112,$R$115,$R$118,$R$119))), "", (IF(SUM($R$100,$R$105,$R$107,$R$110,$R$111,$R$112,$R$115,$R$118,$R$119) = 0, "", SUM($R$100,$R$105,$R$107,$R$110,$R$111,$R$112,$R$115,$R$118,$R$119))))</f>
        <v>100.00000000099999</v>
      </c>
      <c r="S99">
        <f ca="1">IF(ISERROR(IF(SUM($S$100,$S$105,$S$107,$S$110,$S$111,$S$112,$S$115,$S$118,$S$119) = 0, "", SUM($S$100,$S$105,$S$107,$S$110,$S$111,$S$112,$S$115,$S$118,$S$119))), "", (IF(SUM($S$100,$S$105,$S$107,$S$110,$S$111,$S$112,$S$115,$S$118,$S$119) = 0, "", SUM($S$100,$S$105,$S$107,$S$110,$S$111,$S$112,$S$115,$S$118,$S$119))))</f>
        <v>99.999999997000003</v>
      </c>
      <c r="T99">
        <f ca="1">IF(ISERROR(IF(SUM($T$100,$T$105,$T$107,$T$110,$T$111,$T$112,$T$115,$T$118,$T$119) = 0, "", SUM($T$100,$T$105,$T$107,$T$110,$T$111,$T$112,$T$115,$T$118,$T$119))), "", (IF(SUM($T$100,$T$105,$T$107,$T$110,$T$111,$T$112,$T$115,$T$118,$T$119) = 0, "", SUM($T$100,$T$105,$T$107,$T$110,$T$111,$T$112,$T$115,$T$118,$T$119))))</f>
        <v>100.00000000399999</v>
      </c>
      <c r="U99">
        <f ca="1">IF(ISERROR(IF(SUM($U$100,$U$105,$U$107,$U$110,$U$111,$U$112,$U$115,$U$118,$U$119) = 0, "", SUM($U$100,$U$105,$U$107,$U$110,$U$111,$U$112,$U$115,$U$118,$U$119))), "", (IF(SUM($U$100,$U$105,$U$107,$U$110,$U$111,$U$112,$U$115,$U$118,$U$119) = 0, "", SUM($U$100,$U$105,$U$107,$U$110,$U$111,$U$112,$U$115,$U$118,$U$119))))</f>
        <v>100.00000000399999</v>
      </c>
      <c r="V99">
        <f ca="1">IF(ISERROR(IF(SUM($V$100,$V$105,$V$107,$V$110,$V$111,$V$112,$V$115,$V$118,$V$119) = 0, "", SUM($V$100,$V$105,$V$107,$V$110,$V$111,$V$112,$V$115,$V$118,$V$119))), "", (IF(SUM($V$100,$V$105,$V$107,$V$110,$V$111,$V$112,$V$115,$V$118,$V$119) = 0, "", SUM($V$100,$V$105,$V$107,$V$110,$V$111,$V$112,$V$115,$V$118,$V$119))))</f>
        <v>99.999999997999993</v>
      </c>
      <c r="W99">
        <f ca="1">IF(ISERROR(IF(SUM($W$100,$W$105,$W$107,$W$110,$W$111,$W$112,$W$115,$W$118,$W$119) = 0, "", SUM($W$100,$W$105,$W$107,$W$110,$W$111,$W$112,$W$115,$W$118,$W$119))), "", (IF(SUM($W$100,$W$105,$W$107,$W$110,$W$111,$W$112,$W$115,$W$118,$W$119) = 0, "", SUM($W$100,$W$105,$W$107,$W$110,$W$111,$W$112,$W$115,$W$118,$W$119))))</f>
        <v>99.999999996000014</v>
      </c>
      <c r="X99">
        <f ca="1">IF(ISERROR(IF(SUM($X$100,$X$105,$X$107,$X$110,$X$111,$X$112,$X$115,$X$118,$X$119) = 0, "", SUM($X$100,$X$105,$X$107,$X$110,$X$111,$X$112,$X$115,$X$118,$X$119))), "", (IF(SUM($X$100,$X$105,$X$107,$X$110,$X$111,$X$112,$X$115,$X$118,$X$119) = 0, "", SUM($X$100,$X$105,$X$107,$X$110,$X$111,$X$112,$X$115,$X$118,$X$119))))</f>
        <v>100.00000000999999</v>
      </c>
      <c r="Y99">
        <f ca="1">IF(ISERROR(IF(SUM($Y$100,$Y$105,$Y$107,$Y$110,$Y$111,$Y$112,$Y$115,$Y$118,$Y$119) = 0, "", SUM($Y$100,$Y$105,$Y$107,$Y$110,$Y$111,$Y$112,$Y$115,$Y$118,$Y$119))), "", (IF(SUM($Y$100,$Y$105,$Y$107,$Y$110,$Y$111,$Y$112,$Y$115,$Y$118,$Y$119) = 0, "", SUM($Y$100,$Y$105,$Y$107,$Y$110,$Y$111,$Y$112,$Y$115,$Y$118,$Y$119))))</f>
        <v>100</v>
      </c>
      <c r="Z99">
        <f ca="1">IF(ISERROR(IF(SUM($Z$100,$Z$105,$Z$107,$Z$110,$Z$111,$Z$112,$Z$115,$Z$118,$Z$119) = 0, "", SUM($Z$100,$Z$105,$Z$107,$Z$110,$Z$111,$Z$112,$Z$115,$Z$118,$Z$119))), "", (IF(SUM($Z$100,$Z$105,$Z$107,$Z$110,$Z$111,$Z$112,$Z$115,$Z$118,$Z$119) = 0, "", SUM($Z$100,$Z$105,$Z$107,$Z$110,$Z$111,$Z$112,$Z$115,$Z$118,$Z$119))))</f>
        <v>100.00000000700003</v>
      </c>
      <c r="AA99">
        <f ca="1">IF(ISERROR(IF(SUM($AA$100,$AA$105,$AA$107,$AA$110,$AA$111,$AA$112,$AA$115,$AA$118,$AA$119) = 0, "", SUM($AA$100,$AA$105,$AA$107,$AA$110,$AA$111,$AA$112,$AA$115,$AA$118,$AA$119))), "", (IF(SUM($AA$100,$AA$105,$AA$107,$AA$110,$AA$111,$AA$112,$AA$115,$AA$118,$AA$119) = 0, "", SUM($AA$100,$AA$105,$AA$107,$AA$110,$AA$111,$AA$112,$AA$115,$AA$118,$AA$119))))</f>
        <v>100.000000009</v>
      </c>
      <c r="AB99">
        <f ca="1">IF(ISERROR(IF(SUM($AB$100,$AB$105,$AB$107,$AB$110,$AB$111,$AB$112,$AB$115,$AB$118,$AB$119) = 0, "", SUM($AB$100,$AB$105,$AB$107,$AB$110,$AB$111,$AB$112,$AB$115,$AB$118,$AB$119))), "", (IF(SUM($AB$100,$AB$105,$AB$107,$AB$110,$AB$111,$AB$112,$AB$115,$AB$118,$AB$119) = 0, "", SUM($AB$100,$AB$105,$AB$107,$AB$110,$AB$111,$AB$112,$AB$115,$AB$118,$AB$119))))</f>
        <v>99.999999993000003</v>
      </c>
      <c r="AC99">
        <f ca="1">IF(ISERROR(IF(SUM($AC$100,$AC$105,$AC$107,$AC$110,$AC$111,$AC$112,$AC$115,$AC$118,$AC$119) = 0, "", SUM($AC$100,$AC$105,$AC$107,$AC$110,$AC$111,$AC$112,$AC$115,$AC$118,$AC$119))), "", (IF(SUM($AC$100,$AC$105,$AC$107,$AC$110,$AC$111,$AC$112,$AC$115,$AC$118,$AC$119) = 0, "", SUM($AC$100,$AC$105,$AC$107,$AC$110,$AC$111,$AC$112,$AC$115,$AC$118,$AC$119))))</f>
        <v>99.999999998000021</v>
      </c>
      <c r="AD99">
        <f ca="1">IF(ISERROR(IF(SUM($AD$100,$AD$105,$AD$107,$AD$110,$AD$111,$AD$112,$AD$115,$AD$118,$AD$119) = 0, "", SUM($AD$100,$AD$105,$AD$107,$AD$110,$AD$111,$AD$112,$AD$115,$AD$118,$AD$119))), "", (IF(SUM($AD$100,$AD$105,$AD$107,$AD$110,$AD$111,$AD$112,$AD$115,$AD$118,$AD$119) = 0, "", SUM($AD$100,$AD$105,$AD$107,$AD$110,$AD$111,$AD$112,$AD$115,$AD$118,$AD$119))))</f>
        <v>100</v>
      </c>
      <c r="AE99">
        <f ca="1">IF(ISERROR(IF(SUM($AE$100,$AE$105,$AE$107,$AE$110,$AE$111,$AE$112,$AE$115,$AE$118,$AE$119) = 0, "", SUM($AE$100,$AE$105,$AE$107,$AE$110,$AE$111,$AE$112,$AE$115,$AE$118,$AE$119))), "", (IF(SUM($AE$100,$AE$105,$AE$107,$AE$110,$AE$111,$AE$112,$AE$115,$AE$118,$AE$119) = 0, "", SUM($AE$100,$AE$105,$AE$107,$AE$110,$AE$111,$AE$112,$AE$115,$AE$118,$AE$119))))</f>
        <v>100.000000001</v>
      </c>
      <c r="AF99">
        <f ca="1">IF(ISERROR(IF(SUM($AF$100,$AF$105,$AF$107,$AF$110,$AF$111,$AF$112,$AF$115,$AF$118,$AF$119) = 0, "", SUM($AF$100,$AF$105,$AF$107,$AF$110,$AF$111,$AF$112,$AF$115,$AF$118,$AF$119))), "", (IF(SUM($AF$100,$AF$105,$AF$107,$AF$110,$AF$111,$AF$112,$AF$115,$AF$118,$AF$119) = 0, "", SUM($AF$100,$AF$105,$AF$107,$AF$110,$AF$111,$AF$112,$AF$115,$AF$118,$AF$119))))</f>
        <v>100.00000000200001</v>
      </c>
      <c r="AG99">
        <f ca="1">IF(ISERROR(IF(SUM($AG$100,$AG$105,$AG$107,$AG$110,$AG$111,$AG$112,$AG$115,$AG$118,$AG$119) = 0, "", SUM($AG$100,$AG$105,$AG$107,$AG$110,$AG$111,$AG$112,$AG$115,$AG$118,$AG$119))), "", (IF(SUM($AG$100,$AG$105,$AG$107,$AG$110,$AG$111,$AG$112,$AG$115,$AG$118,$AG$119) = 0, "", SUM($AG$100,$AG$105,$AG$107,$AG$110,$AG$111,$AG$112,$AG$115,$AG$118,$AG$119))))</f>
        <v>100.00000000600001</v>
      </c>
      <c r="AH99">
        <f ca="1">IF(ISERROR(IF(SUM($AH$100,$AH$105,$AH$107,$AH$110,$AH$111,$AH$112,$AH$115,$AH$118,$AH$119) = 0, "", SUM($AH$100,$AH$105,$AH$107,$AH$110,$AH$111,$AH$112,$AH$115,$AH$118,$AH$119))), "", (IF(SUM($AH$100,$AH$105,$AH$107,$AH$110,$AH$111,$AH$112,$AH$115,$AH$118,$AH$119) = 0, "", SUM($AH$100,$AH$105,$AH$107,$AH$110,$AH$111,$AH$112,$AH$115,$AH$118,$AH$119))))</f>
        <v>99.999999997999993</v>
      </c>
      <c r="AI99">
        <f ca="1">IF(ISERROR(IF(SUM($AI$100,$AI$105,$AI$107,$AI$110,$AI$111,$AI$112,$AI$115,$AI$118,$AI$119) = 0, "", SUM($AI$100,$AI$105,$AI$107,$AI$110,$AI$111,$AI$112,$AI$115,$AI$118,$AI$119))), "", (IF(SUM($AI$100,$AI$105,$AI$107,$AI$110,$AI$111,$AI$112,$AI$115,$AI$118,$AI$119) = 0, "", SUM($AI$100,$AI$105,$AI$107,$AI$110,$AI$111,$AI$112,$AI$115,$AI$118,$AI$119))))</f>
        <v>100.00000001100001</v>
      </c>
      <c r="AJ99">
        <f ca="1">IF(ISERROR(IF(SUM($AJ$100,$AJ$105,$AJ$107,$AJ$110,$AJ$111,$AJ$112,$AJ$115,$AJ$118,$AJ$119) = 0, "", SUM($AJ$100,$AJ$105,$AJ$107,$AJ$110,$AJ$111,$AJ$112,$AJ$115,$AJ$118,$AJ$119))), "", (IF(SUM($AJ$100,$AJ$105,$AJ$107,$AJ$110,$AJ$111,$AJ$112,$AJ$115,$AJ$118,$AJ$119) = 0, "", SUM($AJ$100,$AJ$105,$AJ$107,$AJ$110,$AJ$111,$AJ$112,$AJ$115,$AJ$118,$AJ$119))))</f>
        <v>99.999999996</v>
      </c>
      <c r="AK99">
        <f ca="1">IF(ISERROR(IF(SUM($AK$100,$AK$105,$AK$107,$AK$110,$AK$111,$AK$112,$AK$115,$AK$118,$AK$119) = 0, "", SUM($AK$100,$AK$105,$AK$107,$AK$110,$AK$111,$AK$112,$AK$115,$AK$118,$AK$119))), "", (IF(SUM($AK$100,$AK$105,$AK$107,$AK$110,$AK$111,$AK$112,$AK$115,$AK$118,$AK$119) = 0, "", SUM($AK$100,$AK$105,$AK$107,$AK$110,$AK$111,$AK$112,$AK$115,$AK$118,$AK$119))))</f>
        <v>99.999999994999996</v>
      </c>
      <c r="AL99">
        <f ca="1">IF(ISERROR(IF(SUM($AL$100,$AL$105,$AL$107,$AL$110,$AL$111,$AL$112,$AL$115,$AL$118,$AL$119) = 0, "", SUM($AL$100,$AL$105,$AL$107,$AL$110,$AL$111,$AL$112,$AL$115,$AL$118,$AL$119))), "", (IF(SUM($AL$100,$AL$105,$AL$107,$AL$110,$AL$111,$AL$112,$AL$115,$AL$118,$AL$119) = 0, "", SUM($AL$100,$AL$105,$AL$107,$AL$110,$AL$111,$AL$112,$AL$115,$AL$118,$AL$119))))</f>
        <v>100.000000004</v>
      </c>
      <c r="AM99">
        <f ca="1">IF(ISERROR(IF(SUM($AM$100,$AM$105,$AM$107,$AM$110,$AM$111,$AM$112,$AM$115,$AM$118,$AM$119) = 0, "", SUM($AM$100,$AM$105,$AM$107,$AM$110,$AM$111,$AM$112,$AM$115,$AM$118,$AM$119))), "", (IF(SUM($AM$100,$AM$105,$AM$107,$AM$110,$AM$111,$AM$112,$AM$115,$AM$118,$AM$119) = 0, "", SUM($AM$100,$AM$105,$AM$107,$AM$110,$AM$111,$AM$112,$AM$115,$AM$118,$AM$119))))</f>
        <v>100.000000005</v>
      </c>
      <c r="AN99">
        <f ca="1">IF(ISERROR(IF(SUM($AN$100,$AN$105,$AN$107,$AN$110,$AN$111,$AN$112,$AN$115,$AN$118,$AN$119) = 0, "", SUM($AN$100,$AN$105,$AN$107,$AN$110,$AN$111,$AN$112,$AN$115,$AN$118,$AN$119))), "", (IF(SUM($AN$100,$AN$105,$AN$107,$AN$110,$AN$111,$AN$112,$AN$115,$AN$118,$AN$119) = 0, "", SUM($AN$100,$AN$105,$AN$107,$AN$110,$AN$111,$AN$112,$AN$115,$AN$118,$AN$119))))</f>
        <v>99.999999996</v>
      </c>
      <c r="AO99">
        <f ca="1">IF(ISERROR(IF(SUM($AO$100,$AO$105,$AO$107,$AO$110,$AO$111,$AO$112,$AO$115,$AO$118,$AO$119) = 0, "", SUM($AO$100,$AO$105,$AO$107,$AO$110,$AO$111,$AO$112,$AO$115,$AO$118,$AO$119))), "", (IF(SUM($AO$100,$AO$105,$AO$107,$AO$110,$AO$111,$AO$112,$AO$115,$AO$118,$AO$119) = 0, "", SUM($AO$100,$AO$105,$AO$107,$AO$110,$AO$111,$AO$112,$AO$115,$AO$118,$AO$119))))</f>
        <v>100.00000000600001</v>
      </c>
      <c r="AP99">
        <f ca="1">IF(ISERROR(IF(SUM($AP$100,$AP$105,$AP$107,$AP$110,$AP$111,$AP$112,$AP$115,$AP$118,$AP$119) = 0, "", SUM($AP$100,$AP$105,$AP$107,$AP$110,$AP$111,$AP$112,$AP$115,$AP$118,$AP$119))), "", (IF(SUM($AP$100,$AP$105,$AP$107,$AP$110,$AP$111,$AP$112,$AP$115,$AP$118,$AP$119) = 0, "", SUM($AP$100,$AP$105,$AP$107,$AP$110,$AP$111,$AP$112,$AP$115,$AP$118,$AP$119))))</f>
        <v>100</v>
      </c>
      <c r="AQ99">
        <f ca="1">IF(ISERROR(IF(SUM($AQ$100,$AQ$105,$AQ$107,$AQ$110,$AQ$111,$AQ$112,$AQ$115,$AQ$118,$AQ$119) = 0, "", SUM($AQ$100,$AQ$105,$AQ$107,$AQ$110,$AQ$111,$AQ$112,$AQ$115,$AQ$118,$AQ$119))), "", (IF(SUM($AQ$100,$AQ$105,$AQ$107,$AQ$110,$AQ$111,$AQ$112,$AQ$115,$AQ$118,$AQ$119) = 0, "", SUM($AQ$100,$AQ$105,$AQ$107,$AQ$110,$AQ$111,$AQ$112,$AQ$115,$AQ$118,$AQ$119))))</f>
        <v>99.999999998999996</v>
      </c>
      <c r="AR99">
        <f ca="1">IF(ISERROR(IF(SUM($AR$100,$AR$105,$AR$107,$AR$110,$AR$111,$AR$112,$AR$115,$AR$118,$AR$119) = 0, "", SUM($AR$100,$AR$105,$AR$107,$AR$110,$AR$111,$AR$112,$AR$115,$AR$118,$AR$119))), "", (IF(SUM($AR$100,$AR$105,$AR$107,$AR$110,$AR$111,$AR$112,$AR$115,$AR$118,$AR$119) = 0, "", SUM($AR$100,$AR$105,$AR$107,$AR$110,$AR$111,$AR$112,$AR$115,$AR$118,$AR$119))))</f>
        <v>99.99999999000002</v>
      </c>
      <c r="AS99">
        <f ca="1">IF(ISERROR(IF(SUM($AS$100,$AS$105,$AS$107,$AS$110,$AS$111,$AS$112,$AS$115,$AS$118,$AS$119) = 0, "", SUM($AS$100,$AS$105,$AS$107,$AS$110,$AS$111,$AS$112,$AS$115,$AS$118,$AS$119))), "", (IF(SUM($AS$100,$AS$105,$AS$107,$AS$110,$AS$111,$AS$112,$AS$115,$AS$118,$AS$119) = 0, "", SUM($AS$100,$AS$105,$AS$107,$AS$110,$AS$111,$AS$112,$AS$115,$AS$118,$AS$119))))</f>
        <v>100</v>
      </c>
      <c r="AT99">
        <f>100</f>
        <v>100</v>
      </c>
      <c r="AU99">
        <f>100</f>
        <v>100</v>
      </c>
      <c r="AV99">
        <f>100</f>
        <v>100</v>
      </c>
      <c r="AW99">
        <f>100</f>
        <v>100</v>
      </c>
      <c r="AX99">
        <f>100</f>
        <v>100</v>
      </c>
      <c r="AY99">
        <f>100</f>
        <v>100</v>
      </c>
      <c r="AZ99">
        <f>100</f>
        <v>100</v>
      </c>
      <c r="BA99">
        <f>100</f>
        <v>100</v>
      </c>
      <c r="BB99">
        <f>100</f>
        <v>100</v>
      </c>
      <c r="BC99">
        <f>100</f>
        <v>100</v>
      </c>
      <c r="BD99">
        <f>100</f>
        <v>100</v>
      </c>
      <c r="BE99">
        <f>100</f>
        <v>100</v>
      </c>
      <c r="BF99">
        <f>100</f>
        <v>100</v>
      </c>
      <c r="BG99">
        <f>100</f>
        <v>100</v>
      </c>
      <c r="BH99">
        <f>100</f>
        <v>100</v>
      </c>
      <c r="BI99">
        <f>100</f>
        <v>100</v>
      </c>
      <c r="BJ99">
        <f>100</f>
        <v>100</v>
      </c>
      <c r="BK99">
        <f>100</f>
        <v>100</v>
      </c>
      <c r="BL99">
        <f>100</f>
        <v>100</v>
      </c>
      <c r="BM99">
        <f>100</f>
        <v>100</v>
      </c>
      <c r="BN99">
        <f>100</f>
        <v>100</v>
      </c>
      <c r="BO99">
        <f>100</f>
        <v>100</v>
      </c>
      <c r="BP99">
        <f>100</f>
        <v>100</v>
      </c>
      <c r="BQ99">
        <f>100</f>
        <v>100</v>
      </c>
      <c r="BR99">
        <f>100</f>
        <v>100</v>
      </c>
      <c r="BS99">
        <f>100</f>
        <v>100</v>
      </c>
      <c r="BT99">
        <f>100</f>
        <v>100</v>
      </c>
      <c r="BU99">
        <f>100</f>
        <v>100</v>
      </c>
      <c r="BV99">
        <f>100</f>
        <v>100</v>
      </c>
      <c r="BW99">
        <f>100</f>
        <v>100</v>
      </c>
      <c r="BX99">
        <f>100</f>
        <v>100</v>
      </c>
      <c r="BY99">
        <f>100</f>
        <v>100</v>
      </c>
      <c r="BZ99">
        <f>100</f>
        <v>100</v>
      </c>
      <c r="CA99">
        <f>100</f>
        <v>100</v>
      </c>
      <c r="CB99">
        <f>100</f>
        <v>100</v>
      </c>
      <c r="CC99">
        <f>100</f>
        <v>100</v>
      </c>
      <c r="CD99">
        <f>100</f>
        <v>100</v>
      </c>
      <c r="CE99">
        <f>100</f>
        <v>100</v>
      </c>
      <c r="CF99">
        <f>100</f>
        <v>100</v>
      </c>
      <c r="CG99">
        <f>100</f>
        <v>100</v>
      </c>
    </row>
    <row r="100" spans="1:85" x14ac:dyDescent="0.25">
      <c r="A100" t="str">
        <f>"    Daimler"</f>
        <v xml:space="preserve">    Daimler</v>
      </c>
      <c r="B100" t="str">
        <f>"DAI GR Equity"</f>
        <v>DAI GR Equity</v>
      </c>
      <c r="E100" t="str">
        <f>"Sum"</f>
        <v>Sum</v>
      </c>
      <c r="F100">
        <f ca="1">IF(ISERROR(IF(SUM($F$101:$F$104) = 0, "", SUM($F$101:$F$104))), "", (IF(SUM($F$101:$F$104) = 0, "", SUM($F$101:$F$104))))</f>
        <v>38.636795139999997</v>
      </c>
      <c r="G100">
        <f ca="1">IF(ISERROR(IF(SUM($G$101:$G$104) = 0, "", SUM($G$101:$G$104))), "", (IF(SUM($G$101:$G$104) = 0, "", SUM($G$101:$G$104))))</f>
        <v>40.412371129999997</v>
      </c>
      <c r="H100">
        <f ca="1">IF(ISERROR(IF(SUM($H$101:$H$104) = 0, "", SUM($H$101:$H$104))), "", (IF(SUM($H$101:$H$104) = 0, "", SUM($H$101:$H$104))))</f>
        <v>37.375521999999997</v>
      </c>
      <c r="I100">
        <f ca="1">IF(ISERROR(IF(SUM($I$101:$I$104) = 0, "", SUM($I$101:$I$104))), "", (IF(SUM($I$101:$I$104) = 0, "", SUM($I$101:$I$104))))</f>
        <v>36.010493390000001</v>
      </c>
      <c r="J100">
        <f ca="1">IF(ISERROR(IF(SUM($J$101:$J$104) = 0, "", SUM($J$101:$J$104))), "", (IF(SUM($J$101:$J$104) = 0, "", SUM($J$101:$J$104))))</f>
        <v>36.335313020000001</v>
      </c>
      <c r="K100">
        <f ca="1">IF(ISERROR(IF(SUM($K$101:$K$104) = 0, "", SUM($K$101:$K$104))), "", (IF(SUM($K$101:$K$104) = 0, "", SUM($K$101:$K$104))))</f>
        <v>44.06883835</v>
      </c>
      <c r="L100">
        <f ca="1">IF(ISERROR(IF(SUM($L$101:$L$104) = 0, "", SUM($L$101:$L$104))), "", (IF(SUM($L$101:$L$104) = 0, "", SUM($L$101:$L$104))))</f>
        <v>39.849624059999996</v>
      </c>
      <c r="M100">
        <f ca="1">IF(ISERROR(IF(SUM($M$101:$M$104) = 0, "", SUM($M$101:$M$104))), "", (IF(SUM($M$101:$M$104) = 0, "", SUM($M$101:$M$104))))</f>
        <v>38.182539679999998</v>
      </c>
      <c r="N100">
        <f ca="1">IF(ISERROR(IF(SUM($N$101:$N$104) = 0, "", SUM($N$101:$N$104))), "", (IF(SUM($N$101:$N$104) = 0, "", SUM($N$101:$N$104))))</f>
        <v>42.46406571</v>
      </c>
      <c r="O100">
        <f ca="1">IF(ISERROR(IF(SUM($O$101:$O$104) = 0, "", SUM($O$101:$O$104))), "", (IF(SUM($O$101:$O$104) = 0, "", SUM($O$101:$O$104))))</f>
        <v>39.60551384</v>
      </c>
      <c r="P100">
        <f ca="1">IF(ISERROR(IF(SUM($P$101:$P$104) = 0, "", SUM($P$101:$P$104))), "", (IF(SUM($P$101:$P$104) = 0, "", SUM($P$101:$P$104))))</f>
        <v>30.662321479999999</v>
      </c>
      <c r="Q100">
        <f ca="1">IF(ISERROR(IF(SUM($Q$101:$Q$104) = 0, "", SUM($Q$101:$Q$104))), "", (IF(SUM($Q$101:$Q$104) = 0, "", SUM($Q$101:$Q$104))))</f>
        <v>39.191201739999997</v>
      </c>
      <c r="R100">
        <f ca="1">IF(ISERROR(IF(SUM($R$101:$R$104) = 0, "", SUM($R$101:$R$104))), "", (IF(SUM($R$101:$R$104) = 0, "", SUM($R$101:$R$104))))</f>
        <v>40.701535909999997</v>
      </c>
      <c r="S100">
        <f ca="1">IF(ISERROR(IF(SUM($S$101:$S$104) = 0, "", SUM($S$101:$S$104))), "", (IF(SUM($S$101:$S$104) = 0, "", SUM($S$101:$S$104))))</f>
        <v>36.511492009999998</v>
      </c>
      <c r="T100">
        <f ca="1">IF(ISERROR(IF(SUM($T$101:$T$104) = 0, "", SUM($T$101:$T$104))), "", (IF(SUM($T$101:$T$104) = 0, "", SUM($T$101:$T$104))))</f>
        <v>40.453720509999997</v>
      </c>
      <c r="U100">
        <f ca="1">IF(ISERROR(IF(SUM($U$101:$U$104) = 0, "", SUM($U$101:$U$104))), "", (IF(SUM($U$101:$U$104) = 0, "", SUM($U$101:$U$104))))</f>
        <v>39.740578079999999</v>
      </c>
      <c r="V100">
        <f ca="1">IF(ISERROR(IF(SUM($V$101:$V$104) = 0, "", SUM($V$101:$V$104))), "", (IF(SUM($V$101:$V$104) = 0, "", SUM($V$101:$V$104))))</f>
        <v>40.096571699999998</v>
      </c>
      <c r="W100">
        <f ca="1">IF(ISERROR(IF(SUM($W$101:$W$104) = 0, "", SUM($W$101:$W$104))), "", (IF(SUM($W$101:$W$104) = 0, "", SUM($W$101:$W$104))))</f>
        <v>39.000509940000001</v>
      </c>
      <c r="X100">
        <f ca="1">IF(ISERROR(IF(SUM($X$101:$X$104) = 0, "", SUM($X$101:$X$104))), "", (IF(SUM($X$101:$X$104) = 0, "", SUM($X$101:$X$104))))</f>
        <v>36.35556433</v>
      </c>
      <c r="Y100">
        <f ca="1">IF(ISERROR(IF(SUM($Y$101:$Y$104) = 0, "", SUM($Y$101:$Y$104))), "", (IF(SUM($Y$101:$Y$104) = 0, "", SUM($Y$101:$Y$104))))</f>
        <v>35.592651619999998</v>
      </c>
      <c r="Z100">
        <f ca="1">IF(ISERROR(IF(SUM($Z$101:$Z$104) = 0, "", SUM($Z$101:$Z$104))), "", (IF(SUM($Z$101:$Z$104) = 0, "", SUM($Z$101:$Z$104))))</f>
        <v>42.167360700000003</v>
      </c>
      <c r="AA100">
        <f ca="1">IF(ISERROR(IF(SUM($AA$101:$AA$104) = 0, "", SUM($AA$101:$AA$104))), "", (IF(SUM($AA$101:$AA$104) = 0, "", SUM($AA$101:$AA$104))))</f>
        <v>43.00932091</v>
      </c>
      <c r="AB100">
        <f ca="1">IF(ISERROR(IF(SUM($AB$101:$AB$104) = 0, "", SUM($AB$101:$AB$104))), "", (IF(SUM($AB$101:$AB$104) = 0, "", SUM($AB$101:$AB$104))))</f>
        <v>32.436632029999998</v>
      </c>
      <c r="AC100">
        <f ca="1">IF(ISERROR(IF(SUM($AC$101:$AC$104) = 0, "", SUM($AC$101:$AC$104))), "", (IF(SUM($AC$101:$AC$104) = 0, "", SUM($AC$101:$AC$104))))</f>
        <v>46.131233600000002</v>
      </c>
      <c r="AD100">
        <f ca="1">IF(ISERROR(IF(SUM($AD$101:$AD$104) = 0, "", SUM($AD$101:$AD$104))), "", (IF(SUM($AD$101:$AD$104) = 0, "", SUM($AD$101:$AD$104))))</f>
        <v>43.242994099999997</v>
      </c>
      <c r="AE100">
        <f ca="1">IF(ISERROR(IF(SUM($AE$101:$AE$104) = 0, "", SUM($AE$101:$AE$104))), "", (IF(SUM($AE$101:$AE$104) = 0, "", SUM($AE$101:$AE$104))))</f>
        <v>43.976356799999998</v>
      </c>
      <c r="AF100">
        <f ca="1">IF(ISERROR(IF(SUM($AF$101:$AF$104) = 0, "", SUM($AF$101:$AF$104))), "", (IF(SUM($AF$101:$AF$104) = 0, "", SUM($AF$101:$AF$104))))</f>
        <v>39.044139430000001</v>
      </c>
      <c r="AG100">
        <f ca="1">IF(ISERROR(IF(SUM($AG$101:$AG$104) = 0, "", SUM($AG$101:$AG$104))), "", (IF(SUM($AG$101:$AG$104) = 0, "", SUM($AG$101:$AG$104))))</f>
        <v>35.746958640000003</v>
      </c>
      <c r="AH100">
        <f ca="1">IF(ISERROR(IF(SUM($AH$101:$AH$104) = 0, "", SUM($AH$101:$AH$104))), "", (IF(SUM($AH$101:$AH$104) = 0, "", SUM($AH$101:$AH$104))))</f>
        <v>39.412750019999997</v>
      </c>
      <c r="AI100">
        <f ca="1">IF(ISERROR(IF(SUM($AI$101:$AI$104) = 0, "", SUM($AI$101:$AI$104))), "", (IF(SUM($AI$101:$AI$104) = 0, "", SUM($AI$101:$AI$104))))</f>
        <v>46.108362499999998</v>
      </c>
      <c r="AJ100">
        <f ca="1">IF(ISERROR(IF(SUM($AJ$101:$AJ$104) = 0, "", SUM($AJ$101:$AJ$104))), "", (IF(SUM($AJ$101:$AJ$104) = 0, "", SUM($AJ$101:$AJ$104))))</f>
        <v>41.83685243</v>
      </c>
      <c r="AK100">
        <f ca="1">IF(ISERROR(IF(SUM($AK$101:$AK$104) = 0, "", SUM($AK$101:$AK$104))), "", (IF(SUM($AK$101:$AK$104) = 0, "", SUM($AK$101:$AK$104))))</f>
        <v>37.783841729999999</v>
      </c>
      <c r="AL100">
        <f ca="1">IF(ISERROR(IF(SUM($AL$101:$AL$104) = 0, "", SUM($AL$101:$AL$104))), "", (IF(SUM($AL$101:$AL$104) = 0, "", SUM($AL$101:$AL$104))))</f>
        <v>40.292855340000003</v>
      </c>
      <c r="AM100">
        <f ca="1">IF(ISERROR(IF(SUM($AM$101:$AM$104) = 0, "", SUM($AM$101:$AM$104))), "", (IF(SUM($AM$101:$AM$104) = 0, "", SUM($AM$101:$AM$104))))</f>
        <v>41.148268010000002</v>
      </c>
      <c r="AN100">
        <f ca="1">IF(ISERROR(IF(SUM($AN$101:$AN$104) = 0, "", SUM($AN$101:$AN$104))), "", (IF(SUM($AN$101:$AN$104) = 0, "", SUM($AN$101:$AN$104))))</f>
        <v>34.546360919999998</v>
      </c>
      <c r="AO100">
        <f ca="1">IF(ISERROR(IF(SUM($AO$101:$AO$104) = 0, "", SUM($AO$101:$AO$104))), "", (IF(SUM($AO$101:$AO$104) = 0, "", SUM($AO$101:$AO$104))))</f>
        <v>39.483554529999999</v>
      </c>
      <c r="AP100">
        <f ca="1">IF(ISERROR(IF(SUM($AP$101:$AP$104) = 0, "", SUM($AP$101:$AP$104))), "", (IF(SUM($AP$101:$AP$104) = 0, "", SUM($AP$101:$AP$104))))</f>
        <v>42.610732540000001</v>
      </c>
      <c r="AQ100">
        <f ca="1">IF(ISERROR(IF(SUM($AQ$101:$AQ$104) = 0, "", SUM($AQ$101:$AQ$104))), "", (IF(SUM($AQ$101:$AQ$104) = 0, "", SUM($AQ$101:$AQ$104))))</f>
        <v>40.831428879999997</v>
      </c>
      <c r="AR100">
        <f ca="1">IF(ISERROR(IF(SUM($AR$101:$AR$104) = 0, "", SUM($AR$101:$AR$104))), "", (IF(SUM($AR$101:$AR$104) = 0, "", SUM($AR$101:$AR$104))))</f>
        <v>41.464782409999998</v>
      </c>
      <c r="AS100">
        <f ca="1">IF(ISERROR(IF(SUM($AS$101:$AS$104) = 0, "", SUM($AS$101:$AS$104))), "", (IF(SUM($AS$101:$AS$104) = 0, "", SUM($AS$101:$AS$104))))</f>
        <v>39.944713200000002</v>
      </c>
      <c r="AT100">
        <f>38.63679514</f>
        <v>38.636795139999997</v>
      </c>
      <c r="AU100">
        <f>40.41237113</f>
        <v>40.412371129999997</v>
      </c>
      <c r="AV100">
        <f>37.375522</f>
        <v>37.375521999999997</v>
      </c>
      <c r="AW100">
        <f>36.01049339</f>
        <v>36.010493390000001</v>
      </c>
      <c r="AX100">
        <f>36.33531302</f>
        <v>36.335313020000001</v>
      </c>
      <c r="AY100">
        <f>44.06883835</f>
        <v>44.06883835</v>
      </c>
      <c r="AZ100">
        <f>39.84962406</f>
        <v>39.849624059999996</v>
      </c>
      <c r="BA100">
        <f>38.18253968</f>
        <v>38.182539679999998</v>
      </c>
      <c r="BB100">
        <f>42.46406571</f>
        <v>42.46406571</v>
      </c>
      <c r="BC100">
        <f>39.60551384</f>
        <v>39.60551384</v>
      </c>
      <c r="BD100">
        <f>30.66232148</f>
        <v>30.662321479999999</v>
      </c>
      <c r="BE100">
        <f>39.19120174</f>
        <v>39.191201739999997</v>
      </c>
      <c r="BF100">
        <f>40.70153591</f>
        <v>40.701535909999997</v>
      </c>
      <c r="BG100">
        <f>36.51149201</f>
        <v>36.511492009999998</v>
      </c>
      <c r="BH100">
        <f>40.45372051</f>
        <v>40.453720509999997</v>
      </c>
      <c r="BI100">
        <f>39.74057808</f>
        <v>39.740578079999999</v>
      </c>
      <c r="BJ100">
        <f>40.0965717</f>
        <v>40.096571699999998</v>
      </c>
      <c r="BK100">
        <f>39.00050994</f>
        <v>39.000509940000001</v>
      </c>
      <c r="BL100">
        <f>36.35556433</f>
        <v>36.35556433</v>
      </c>
      <c r="BM100">
        <f>35.59265162</f>
        <v>35.592651619999998</v>
      </c>
      <c r="BN100">
        <f>42.1673607</f>
        <v>42.167360700000003</v>
      </c>
      <c r="BO100">
        <f>43.00932091</f>
        <v>43.00932091</v>
      </c>
      <c r="BP100">
        <f>32.43663203</f>
        <v>32.436632029999998</v>
      </c>
      <c r="BQ100">
        <f>46.1312336</f>
        <v>46.131233600000002</v>
      </c>
      <c r="BR100">
        <f>43.2429941</f>
        <v>43.242994099999997</v>
      </c>
      <c r="BS100">
        <f>43.9763568</f>
        <v>43.976356799999998</v>
      </c>
      <c r="BT100">
        <f>39.04413943</f>
        <v>39.044139430000001</v>
      </c>
      <c r="BU100">
        <f>35.74695864</f>
        <v>35.746958640000003</v>
      </c>
      <c r="BV100">
        <f>39.41275002</f>
        <v>39.412750019999997</v>
      </c>
      <c r="BW100">
        <f>46.1083625</f>
        <v>46.108362499999998</v>
      </c>
      <c r="BX100">
        <f>41.83685243</f>
        <v>41.83685243</v>
      </c>
      <c r="BY100">
        <f>37.78384173</f>
        <v>37.783841729999999</v>
      </c>
      <c r="BZ100">
        <f>40.29285534</f>
        <v>40.292855340000003</v>
      </c>
      <c r="CA100">
        <f>41.14826801</f>
        <v>41.148268010000002</v>
      </c>
      <c r="CB100">
        <f>34.54636092</f>
        <v>34.546360919999998</v>
      </c>
      <c r="CC100">
        <f>39.48355453</f>
        <v>39.483554529999999</v>
      </c>
      <c r="CD100">
        <f>42.61073254</f>
        <v>42.610732540000001</v>
      </c>
      <c r="CE100">
        <f>40.83142888</f>
        <v>40.831428879999997</v>
      </c>
      <c r="CF100">
        <f>41.46478241</f>
        <v>41.464782409999998</v>
      </c>
      <c r="CG100">
        <f>39.9447132</f>
        <v>39.944713200000002</v>
      </c>
    </row>
    <row r="101" spans="1:85" x14ac:dyDescent="0.25">
      <c r="A101" t="str">
        <f>"        Freightliner"</f>
        <v xml:space="preserve">        Freightliner</v>
      </c>
      <c r="B101" t="str">
        <f>"DAI GR Equity"</f>
        <v>DAI GR Equity</v>
      </c>
      <c r="E101" t="str">
        <f>"Expression"</f>
        <v>Expression</v>
      </c>
      <c r="F101">
        <f ca="1">IF(AND($B$294=1,LEN($F$235) * LEN($F$234)&gt;0),$F$235/$F$234*100,HLOOKUP(INDIRECT(ADDRESS(2,COLUMN())),OFFSET($AT$2,0,0,ROW()-1,40),ROW()-1,FALSE))</f>
        <v>38.636795139999997</v>
      </c>
      <c r="G101">
        <f ca="1">IF(AND($B$294=1,LEN($G$235) * LEN($G$234)&gt;0),$G$235/$G$234*100,HLOOKUP(INDIRECT(ADDRESS(2,COLUMN())),OFFSET($AT$2,0,0,ROW()-1,40),ROW()-1,FALSE))</f>
        <v>40.412371129999997</v>
      </c>
      <c r="H101">
        <f ca="1">IF(AND($B$294=1,LEN($H$235) * LEN($H$234)&gt;0),$H$235/$H$234*100,HLOOKUP(INDIRECT(ADDRESS(2,COLUMN())),OFFSET($AT$2,0,0,ROW()-1,40),ROW()-1,FALSE))</f>
        <v>37.375521999999997</v>
      </c>
      <c r="I101">
        <f ca="1">IF(AND($B$294=1,LEN($I$235) * LEN($I$234)&gt;0),$I$235/$I$234*100,HLOOKUP(INDIRECT(ADDRESS(2,COLUMN())),OFFSET($AT$2,0,0,ROW()-1,40),ROW()-1,FALSE))</f>
        <v>36.010493390000001</v>
      </c>
      <c r="J101">
        <f ca="1">IF(AND($B$294=1,LEN($J$235) * LEN($J$234)&gt;0),$J$235/$J$234*100,HLOOKUP(INDIRECT(ADDRESS(2,COLUMN())),OFFSET($AT$2,0,0,ROW()-1,40),ROW()-1,FALSE))</f>
        <v>36.335313020000001</v>
      </c>
      <c r="K101">
        <f ca="1">IF(AND($B$294=1,LEN($K$235) * LEN($K$234)&gt;0),$K$235/$K$234*100,HLOOKUP(INDIRECT(ADDRESS(2,COLUMN())),OFFSET($AT$2,0,0,ROW()-1,40),ROW()-1,FALSE))</f>
        <v>44.06883835</v>
      </c>
      <c r="L101">
        <f ca="1">IF(AND($B$294=1,LEN($L$235) * LEN($L$234)&gt;0),$L$235/$L$234*100,HLOOKUP(INDIRECT(ADDRESS(2,COLUMN())),OFFSET($AT$2,0,0,ROW()-1,40),ROW()-1,FALSE))</f>
        <v>39.849624059999996</v>
      </c>
      <c r="M101">
        <f ca="1">IF(AND($B$294=1,LEN($M$235) * LEN($M$234)&gt;0),$M$235/$M$234*100,HLOOKUP(INDIRECT(ADDRESS(2,COLUMN())),OFFSET($AT$2,0,0,ROW()-1,40),ROW()-1,FALSE))</f>
        <v>38.182539679999998</v>
      </c>
      <c r="N101">
        <f ca="1">IF(AND($B$294=1,LEN($N$235) * LEN($N$234)&gt;0),$N$235/$N$234*100,HLOOKUP(INDIRECT(ADDRESS(2,COLUMN())),OFFSET($AT$2,0,0,ROW()-1,40),ROW()-1,FALSE))</f>
        <v>42.46406571</v>
      </c>
      <c r="O101">
        <f ca="1">IF(AND($B$294=1,LEN($O$235) * LEN($O$234)&gt;0),$O$235/$O$234*100,HLOOKUP(INDIRECT(ADDRESS(2,COLUMN())),OFFSET($AT$2,0,0,ROW()-1,40),ROW()-1,FALSE))</f>
        <v>39.60551384</v>
      </c>
      <c r="P101">
        <f ca="1">IF(AND($B$294=1,LEN($P$235) * LEN($P$234)&gt;0),$P$235/$P$234*100,HLOOKUP(INDIRECT(ADDRESS(2,COLUMN())),OFFSET($AT$2,0,0,ROW()-1,40),ROW()-1,FALSE))</f>
        <v>30.662321479999999</v>
      </c>
      <c r="Q101">
        <f ca="1">IF(AND($B$294=1,LEN($Q$235) * LEN($Q$234)&gt;0),$Q$235/$Q$234*100,HLOOKUP(INDIRECT(ADDRESS(2,COLUMN())),OFFSET($AT$2,0,0,ROW()-1,40),ROW()-1,FALSE))</f>
        <v>39.191201739999997</v>
      </c>
      <c r="R101">
        <f ca="1">IF(AND($B$294=1,LEN($R$235) * LEN($R$234)&gt;0),$R$235/$R$234*100,HLOOKUP(INDIRECT(ADDRESS(2,COLUMN())),OFFSET($AT$2,0,0,ROW()-1,40),ROW()-1,FALSE))</f>
        <v>40.701535909999997</v>
      </c>
      <c r="S101">
        <f ca="1">IF(AND($B$294=1,LEN($S$235) * LEN($S$234)&gt;0),$S$235/$S$234*100,HLOOKUP(INDIRECT(ADDRESS(2,COLUMN())),OFFSET($AT$2,0,0,ROW()-1,40),ROW()-1,FALSE))</f>
        <v>36.511492009999998</v>
      </c>
      <c r="T101">
        <f ca="1">IF(AND($B$294=1,LEN($T$235) * LEN($T$234)&gt;0),$T$235/$T$234*100,HLOOKUP(INDIRECT(ADDRESS(2,COLUMN())),OFFSET($AT$2,0,0,ROW()-1,40),ROW()-1,FALSE))</f>
        <v>40.453720509999997</v>
      </c>
      <c r="U101">
        <f ca="1">IF(AND($B$294=1,LEN($U$235) * LEN($U$234)&gt;0),$U$235/$U$234*100,HLOOKUP(INDIRECT(ADDRESS(2,COLUMN())),OFFSET($AT$2,0,0,ROW()-1,40),ROW()-1,FALSE))</f>
        <v>39.740578079999999</v>
      </c>
      <c r="V101">
        <f ca="1">IF(AND($B$294=1,LEN($V$235) * LEN($V$234)&gt;0),$V$235/$V$234*100,HLOOKUP(INDIRECT(ADDRESS(2,COLUMN())),OFFSET($AT$2,0,0,ROW()-1,40),ROW()-1,FALSE))</f>
        <v>40.096571699999998</v>
      </c>
      <c r="W101">
        <f ca="1">IF(AND($B$294=1,LEN($W$235) * LEN($W$234)&gt;0),$W$235/$W$234*100,HLOOKUP(INDIRECT(ADDRESS(2,COLUMN())),OFFSET($AT$2,0,0,ROW()-1,40),ROW()-1,FALSE))</f>
        <v>39.000509940000001</v>
      </c>
      <c r="X101">
        <f ca="1">IF(AND($B$294=1,LEN($X$235) * LEN($X$234)&gt;0),$X$235/$X$234*100,HLOOKUP(INDIRECT(ADDRESS(2,COLUMN())),OFFSET($AT$2,0,0,ROW()-1,40),ROW()-1,FALSE))</f>
        <v>36.35556433</v>
      </c>
      <c r="Y101">
        <f ca="1">IF(AND($B$294=1,LEN($Y$235) * LEN($Y$234)&gt;0),$Y$235/$Y$234*100,HLOOKUP(INDIRECT(ADDRESS(2,COLUMN())),OFFSET($AT$2,0,0,ROW()-1,40),ROW()-1,FALSE))</f>
        <v>35.592651619999998</v>
      </c>
      <c r="Z101">
        <f ca="1">IF(AND($B$294=1,LEN($Z$235) * LEN($Z$234)&gt;0),$Z$235/$Z$234*100,HLOOKUP(INDIRECT(ADDRESS(2,COLUMN())),OFFSET($AT$2,0,0,ROW()-1,40),ROW()-1,FALSE))</f>
        <v>42.167360700000003</v>
      </c>
      <c r="AA101">
        <f ca="1">IF(AND($B$294=1,LEN($AA$235) * LEN($AA$234)&gt;0),$AA$235/$AA$234*100,HLOOKUP(INDIRECT(ADDRESS(2,COLUMN())),OFFSET($AT$2,0,0,ROW()-1,40),ROW()-1,FALSE))</f>
        <v>43.00932091</v>
      </c>
      <c r="AB101">
        <f ca="1">IF(AND($B$294=1,LEN($AB$235) * LEN($AB$234)&gt;0),$AB$235/$AB$234*100,HLOOKUP(INDIRECT(ADDRESS(2,COLUMN())),OFFSET($AT$2,0,0,ROW()-1,40),ROW()-1,FALSE))</f>
        <v>32.436632029999998</v>
      </c>
      <c r="AC101">
        <f ca="1">IF(AND($B$294=1,LEN($AC$235) * LEN($AC$234)&gt;0),$AC$235/$AC$234*100,HLOOKUP(INDIRECT(ADDRESS(2,COLUMN())),OFFSET($AT$2,0,0,ROW()-1,40),ROW()-1,FALSE))</f>
        <v>46.131233600000002</v>
      </c>
      <c r="AD101">
        <f ca="1">IF(AND($B$294=1,LEN($AD$235) * LEN($AD$234)&gt;0),$AD$235/$AD$234*100,HLOOKUP(INDIRECT(ADDRESS(2,COLUMN())),OFFSET($AT$2,0,0,ROW()-1,40),ROW()-1,FALSE))</f>
        <v>43.242994099999997</v>
      </c>
      <c r="AE101">
        <f ca="1">IF(AND($B$294=1,LEN($AE$235) * LEN($AE$234)&gt;0),$AE$235/$AE$234*100,HLOOKUP(INDIRECT(ADDRESS(2,COLUMN())),OFFSET($AT$2,0,0,ROW()-1,40),ROW()-1,FALSE))</f>
        <v>43.976356799999998</v>
      </c>
      <c r="AF101">
        <f ca="1">IF(AND($B$294=1,LEN($AF$235) * LEN($AF$234)&gt;0),$AF$235/$AF$234*100,HLOOKUP(INDIRECT(ADDRESS(2,COLUMN())),OFFSET($AT$2,0,0,ROW()-1,40),ROW()-1,FALSE))</f>
        <v>39.044139430000001</v>
      </c>
      <c r="AG101">
        <f ca="1">IF(AND($B$294=1,LEN($AG$235) * LEN($AG$234)&gt;0),$AG$235/$AG$234*100,HLOOKUP(INDIRECT(ADDRESS(2,COLUMN())),OFFSET($AT$2,0,0,ROW()-1,40),ROW()-1,FALSE))</f>
        <v>35.746958640000003</v>
      </c>
      <c r="AH101">
        <f ca="1">IF(AND($B$294=1,LEN($AH$235) * LEN($AH$234)&gt;0),$AH$235/$AH$234*100,HLOOKUP(INDIRECT(ADDRESS(2,COLUMN())),OFFSET($AT$2,0,0,ROW()-1,40),ROW()-1,FALSE))</f>
        <v>39.412750019999997</v>
      </c>
      <c r="AI101">
        <f ca="1">IF(AND($B$294=1,LEN($AI$235) * LEN($AI$234)&gt;0),$AI$235/$AI$234*100,HLOOKUP(INDIRECT(ADDRESS(2,COLUMN())),OFFSET($AT$2,0,0,ROW()-1,40),ROW()-1,FALSE))</f>
        <v>46.108362499999998</v>
      </c>
      <c r="AJ101">
        <f ca="1">IF(AND($B$294=1,LEN($AJ$235) * LEN($AJ$234)&gt;0),$AJ$235/$AJ$234*100,HLOOKUP(INDIRECT(ADDRESS(2,COLUMN())),OFFSET($AT$2,0,0,ROW()-1,40),ROW()-1,FALSE))</f>
        <v>41.83685243</v>
      </c>
      <c r="AK101">
        <f ca="1">IF(AND($B$294=1,LEN($AK$235) * LEN($AK$234)&gt;0),$AK$235/$AK$234*100,HLOOKUP(INDIRECT(ADDRESS(2,COLUMN())),OFFSET($AT$2,0,0,ROW()-1,40),ROW()-1,FALSE))</f>
        <v>37.783841729999999</v>
      </c>
      <c r="AL101">
        <f ca="1">IF(AND($B$294=1,LEN($AL$235) * LEN($AL$234)&gt;0),$AL$235/$AL$234*100,HLOOKUP(INDIRECT(ADDRESS(2,COLUMN())),OFFSET($AT$2,0,0,ROW()-1,40),ROW()-1,FALSE))</f>
        <v>40.292855340000003</v>
      </c>
      <c r="AM101">
        <f ca="1">IF(AND($B$294=1,LEN($AM$235) * LEN($AM$234)&gt;0),$AM$235/$AM$234*100,HLOOKUP(INDIRECT(ADDRESS(2,COLUMN())),OFFSET($AT$2,0,0,ROW()-1,40),ROW()-1,FALSE))</f>
        <v>41.148268010000002</v>
      </c>
      <c r="AN101">
        <f ca="1">IF(AND($B$294=1,LEN($AN$235) * LEN($AN$234)&gt;0),$AN$235/$AN$234*100,HLOOKUP(INDIRECT(ADDRESS(2,COLUMN())),OFFSET($AT$2,0,0,ROW()-1,40),ROW()-1,FALSE))</f>
        <v>34.546360919999998</v>
      </c>
      <c r="AO101">
        <f ca="1">IF(AND($B$294=1,LEN($AO$235) * LEN($AO$234)&gt;0),$AO$235/$AO$234*100,HLOOKUP(INDIRECT(ADDRESS(2,COLUMN())),OFFSET($AT$2,0,0,ROW()-1,40),ROW()-1,FALSE))</f>
        <v>39.483554529999999</v>
      </c>
      <c r="AP101">
        <f ca="1">IF(AND($B$294=1,LEN($AP$235) * LEN($AP$234)&gt;0),$AP$235/$AP$234*100,HLOOKUP(INDIRECT(ADDRESS(2,COLUMN())),OFFSET($AT$2,0,0,ROW()-1,40),ROW()-1,FALSE))</f>
        <v>42.610732540000001</v>
      </c>
      <c r="AQ101">
        <f ca="1">IF(AND($B$294=1,LEN($AQ$235) * LEN($AQ$234)&gt;0),$AQ$235/$AQ$234*100,HLOOKUP(INDIRECT(ADDRESS(2,COLUMN())),OFFSET($AT$2,0,0,ROW()-1,40),ROW()-1,FALSE))</f>
        <v>40.831428879999997</v>
      </c>
      <c r="AR101">
        <f ca="1">IF(AND($B$294=1,LEN($AR$235) * LEN($AR$234)&gt;0),$AR$235/$AR$234*100,HLOOKUP(INDIRECT(ADDRESS(2,COLUMN())),OFFSET($AT$2,0,0,ROW()-1,40),ROW()-1,FALSE))</f>
        <v>41.464782409999998</v>
      </c>
      <c r="AS101">
        <f ca="1">IF(AND($B$294=1,LEN($AS$235) * LEN($AS$234)&gt;0),$AS$235/$AS$234*100,HLOOKUP(INDIRECT(ADDRESS(2,COLUMN())),OFFSET($AT$2,0,0,ROW()-1,40),ROW()-1,FALSE))</f>
        <v>39.944713200000002</v>
      </c>
      <c r="AT101">
        <f>38.63679514</f>
        <v>38.636795139999997</v>
      </c>
      <c r="AU101">
        <f>40.41237113</f>
        <v>40.412371129999997</v>
      </c>
      <c r="AV101">
        <f>37.375522</f>
        <v>37.375521999999997</v>
      </c>
      <c r="AW101">
        <f>36.01049339</f>
        <v>36.010493390000001</v>
      </c>
      <c r="AX101">
        <f>36.33531302</f>
        <v>36.335313020000001</v>
      </c>
      <c r="AY101">
        <f>44.06883835</f>
        <v>44.06883835</v>
      </c>
      <c r="AZ101">
        <f>39.84962406</f>
        <v>39.849624059999996</v>
      </c>
      <c r="BA101">
        <f>38.18253968</f>
        <v>38.182539679999998</v>
      </c>
      <c r="BB101">
        <f>42.46406571</f>
        <v>42.46406571</v>
      </c>
      <c r="BC101">
        <f>39.60551384</f>
        <v>39.60551384</v>
      </c>
      <c r="BD101">
        <f>30.66232148</f>
        <v>30.662321479999999</v>
      </c>
      <c r="BE101">
        <f>39.19120174</f>
        <v>39.191201739999997</v>
      </c>
      <c r="BF101">
        <f>40.70153591</f>
        <v>40.701535909999997</v>
      </c>
      <c r="BG101">
        <f>36.51149201</f>
        <v>36.511492009999998</v>
      </c>
      <c r="BH101">
        <f>40.45372051</f>
        <v>40.453720509999997</v>
      </c>
      <c r="BI101">
        <f>39.74057808</f>
        <v>39.740578079999999</v>
      </c>
      <c r="BJ101">
        <f>40.0965717</f>
        <v>40.096571699999998</v>
      </c>
      <c r="BK101">
        <f>39.00050994</f>
        <v>39.000509940000001</v>
      </c>
      <c r="BL101">
        <f>36.35556433</f>
        <v>36.35556433</v>
      </c>
      <c r="BM101">
        <f>35.59265162</f>
        <v>35.592651619999998</v>
      </c>
      <c r="BN101">
        <f>42.1673607</f>
        <v>42.167360700000003</v>
      </c>
      <c r="BO101">
        <f>43.00932091</f>
        <v>43.00932091</v>
      </c>
      <c r="BP101">
        <f>32.43663203</f>
        <v>32.436632029999998</v>
      </c>
      <c r="BQ101">
        <f>46.1312336</f>
        <v>46.131233600000002</v>
      </c>
      <c r="BR101">
        <f>43.2429941</f>
        <v>43.242994099999997</v>
      </c>
      <c r="BS101">
        <f>43.9763568</f>
        <v>43.976356799999998</v>
      </c>
      <c r="BT101">
        <f>39.04413943</f>
        <v>39.044139430000001</v>
      </c>
      <c r="BU101">
        <f>35.74695864</f>
        <v>35.746958640000003</v>
      </c>
      <c r="BV101">
        <f>39.41275002</f>
        <v>39.412750019999997</v>
      </c>
      <c r="BW101">
        <f>46.1083625</f>
        <v>46.108362499999998</v>
      </c>
      <c r="BX101">
        <f>41.83685243</f>
        <v>41.83685243</v>
      </c>
      <c r="BY101">
        <f>37.78384173</f>
        <v>37.783841729999999</v>
      </c>
      <c r="BZ101">
        <f>40.29285534</f>
        <v>40.292855340000003</v>
      </c>
      <c r="CA101">
        <f>41.14826801</f>
        <v>41.148268010000002</v>
      </c>
      <c r="CB101">
        <f>34.54636092</f>
        <v>34.546360919999998</v>
      </c>
      <c r="CC101">
        <f>39.48355453</f>
        <v>39.483554529999999</v>
      </c>
      <c r="CD101">
        <f>42.61073254</f>
        <v>42.610732540000001</v>
      </c>
      <c r="CE101">
        <f>40.83142888</f>
        <v>40.831428879999997</v>
      </c>
      <c r="CF101">
        <f>41.46478241</f>
        <v>41.464782409999998</v>
      </c>
      <c r="CG101">
        <f>39.9447132</f>
        <v>39.944713200000002</v>
      </c>
    </row>
    <row r="102" spans="1:85" x14ac:dyDescent="0.25">
      <c r="A102" t="str">
        <f>"        Mitsubishi Fuso"</f>
        <v xml:space="preserve">        Mitsubishi Fuso</v>
      </c>
      <c r="B102" t="str">
        <f>"DAI GR Equity"</f>
        <v>DAI GR Equity</v>
      </c>
      <c r="E102" t="str">
        <f>"Expression"</f>
        <v>Expression</v>
      </c>
      <c r="F102">
        <f ca="1">IF(AND($B$294=1,LEN($F$236) * LEN($F$234)&gt;0),$F$236/$F$234*100,HLOOKUP(INDIRECT(ADDRESS(2,COLUMN())),OFFSET($AT$2,0,0,ROW()-1,40),ROW()-1,FALSE))</f>
        <v>0</v>
      </c>
      <c r="G102">
        <f ca="1">IF(AND($B$294=1,LEN($G$236) * LEN($G$234)&gt;0),$G$236/$G$234*100,HLOOKUP(INDIRECT(ADDRESS(2,COLUMN())),OFFSET($AT$2,0,0,ROW()-1,40),ROW()-1,FALSE))</f>
        <v>0</v>
      </c>
      <c r="H102">
        <f ca="1">IF(AND($B$294=1,LEN($H$236) * LEN($H$234)&gt;0),$H$236/$H$234*100,HLOOKUP(INDIRECT(ADDRESS(2,COLUMN())),OFFSET($AT$2,0,0,ROW()-1,40),ROW()-1,FALSE))</f>
        <v>0</v>
      </c>
      <c r="I102">
        <f ca="1">IF(AND($B$294=1,LEN($I$236) * LEN($I$234)&gt;0),$I$236/$I$234*100,HLOOKUP(INDIRECT(ADDRESS(2,COLUMN())),OFFSET($AT$2,0,0,ROW()-1,40),ROW()-1,FALSE))</f>
        <v>0</v>
      </c>
      <c r="J102">
        <f ca="1">IF(AND($B$294=1,LEN($J$236) * LEN($J$234)&gt;0),$J$236/$J$234*100,HLOOKUP(INDIRECT(ADDRESS(2,COLUMN())),OFFSET($AT$2,0,0,ROW()-1,40),ROW()-1,FALSE))</f>
        <v>0</v>
      </c>
      <c r="K102">
        <f ca="1">IF(AND($B$294=1,LEN($K$236) * LEN($K$234)&gt;0),$K$236/$K$234*100,HLOOKUP(INDIRECT(ADDRESS(2,COLUMN())),OFFSET($AT$2,0,0,ROW()-1,40),ROW()-1,FALSE))</f>
        <v>0</v>
      </c>
      <c r="L102">
        <f ca="1">IF(AND($B$294=1,LEN($L$236) * LEN($L$234)&gt;0),$L$236/$L$234*100,HLOOKUP(INDIRECT(ADDRESS(2,COLUMN())),OFFSET($AT$2,0,0,ROW()-1,40),ROW()-1,FALSE))</f>
        <v>0</v>
      </c>
      <c r="M102">
        <f ca="1">IF(AND($B$294=1,LEN($M$236) * LEN($M$234)&gt;0),$M$236/$M$234*100,HLOOKUP(INDIRECT(ADDRESS(2,COLUMN())),OFFSET($AT$2,0,0,ROW()-1,40),ROW()-1,FALSE))</f>
        <v>0</v>
      </c>
      <c r="N102">
        <f ca="1">IF(AND($B$294=1,LEN($N$236) * LEN($N$234)&gt;0),$N$236/$N$234*100,HLOOKUP(INDIRECT(ADDRESS(2,COLUMN())),OFFSET($AT$2,0,0,ROW()-1,40),ROW()-1,FALSE))</f>
        <v>0</v>
      </c>
      <c r="O102">
        <f ca="1">IF(AND($B$294=1,LEN($O$236) * LEN($O$234)&gt;0),$O$236/$O$234*100,HLOOKUP(INDIRECT(ADDRESS(2,COLUMN())),OFFSET($AT$2,0,0,ROW()-1,40),ROW()-1,FALSE))</f>
        <v>0</v>
      </c>
      <c r="P102">
        <f ca="1">IF(AND($B$294=1,LEN($P$236) * LEN($P$234)&gt;0),$P$236/$P$234*100,HLOOKUP(INDIRECT(ADDRESS(2,COLUMN())),OFFSET($AT$2,0,0,ROW()-1,40),ROW()-1,FALSE))</f>
        <v>0</v>
      </c>
      <c r="Q102">
        <f ca="1">IF(AND($B$294=1,LEN($Q$236) * LEN($Q$234)&gt;0),$Q$236/$Q$234*100,HLOOKUP(INDIRECT(ADDRESS(2,COLUMN())),OFFSET($AT$2,0,0,ROW()-1,40),ROW()-1,FALSE))</f>
        <v>0</v>
      </c>
      <c r="R102">
        <f ca="1">IF(AND($B$294=1,LEN($R$236) * LEN($R$234)&gt;0),$R$236/$R$234*100,HLOOKUP(INDIRECT(ADDRESS(2,COLUMN())),OFFSET($AT$2,0,0,ROW()-1,40),ROW()-1,FALSE))</f>
        <v>0</v>
      </c>
      <c r="S102">
        <f ca="1">IF(AND($B$294=1,LEN($S$236) * LEN($S$234)&gt;0),$S$236/$S$234*100,HLOOKUP(INDIRECT(ADDRESS(2,COLUMN())),OFFSET($AT$2,0,0,ROW()-1,40),ROW()-1,FALSE))</f>
        <v>0</v>
      </c>
      <c r="T102">
        <f ca="1">IF(AND($B$294=1,LEN($T$236) * LEN($T$234)&gt;0),$T$236/$T$234*100,HLOOKUP(INDIRECT(ADDRESS(2,COLUMN())),OFFSET($AT$2,0,0,ROW()-1,40),ROW()-1,FALSE))</f>
        <v>0</v>
      </c>
      <c r="U102">
        <f ca="1">IF(AND($B$294=1,LEN($U$236) * LEN($U$234)&gt;0),$U$236/$U$234*100,HLOOKUP(INDIRECT(ADDRESS(2,COLUMN())),OFFSET($AT$2,0,0,ROW()-1,40),ROW()-1,FALSE))</f>
        <v>0</v>
      </c>
      <c r="V102">
        <f ca="1">IF(AND($B$294=1,LEN($V$236) * LEN($V$234)&gt;0),$V$236/$V$234*100,HLOOKUP(INDIRECT(ADDRESS(2,COLUMN())),OFFSET($AT$2,0,0,ROW()-1,40),ROW()-1,FALSE))</f>
        <v>0</v>
      </c>
      <c r="W102">
        <f ca="1">IF(AND($B$294=1,LEN($W$236) * LEN($W$234)&gt;0),$W$236/$W$234*100,HLOOKUP(INDIRECT(ADDRESS(2,COLUMN())),OFFSET($AT$2,0,0,ROW()-1,40),ROW()-1,FALSE))</f>
        <v>0</v>
      </c>
      <c r="X102">
        <f ca="1">IF(AND($B$294=1,LEN($X$236) * LEN($X$234)&gt;0),$X$236/$X$234*100,HLOOKUP(INDIRECT(ADDRESS(2,COLUMN())),OFFSET($AT$2,0,0,ROW()-1,40),ROW()-1,FALSE))</f>
        <v>0</v>
      </c>
      <c r="Y102">
        <f ca="1">IF(AND($B$294=1,LEN($Y$236) * LEN($Y$234)&gt;0),$Y$236/$Y$234*100,HLOOKUP(INDIRECT(ADDRESS(2,COLUMN())),OFFSET($AT$2,0,0,ROW()-1,40),ROW()-1,FALSE))</f>
        <v>0</v>
      </c>
      <c r="Z102">
        <f ca="1">IF(AND($B$294=1,LEN($Z$236) * LEN($Z$234)&gt;0),$Z$236/$Z$234*100,HLOOKUP(INDIRECT(ADDRESS(2,COLUMN())),OFFSET($AT$2,0,0,ROW()-1,40),ROW()-1,FALSE))</f>
        <v>0</v>
      </c>
      <c r="AA102">
        <f ca="1">IF(AND($B$294=1,LEN($AA$236) * LEN($AA$234)&gt;0),$AA$236/$AA$234*100,HLOOKUP(INDIRECT(ADDRESS(2,COLUMN())),OFFSET($AT$2,0,0,ROW()-1,40),ROW()-1,FALSE))</f>
        <v>0</v>
      </c>
      <c r="AB102">
        <f ca="1">IF(AND($B$294=1,LEN($AB$236) * LEN($AB$234)&gt;0),$AB$236/$AB$234*100,HLOOKUP(INDIRECT(ADDRESS(2,COLUMN())),OFFSET($AT$2,0,0,ROW()-1,40),ROW()-1,FALSE))</f>
        <v>0</v>
      </c>
      <c r="AC102">
        <f ca="1">IF(AND($B$294=1,LEN($AC$236) * LEN($AC$234)&gt;0),$AC$236/$AC$234*100,HLOOKUP(INDIRECT(ADDRESS(2,COLUMN())),OFFSET($AT$2,0,0,ROW()-1,40),ROW()-1,FALSE))</f>
        <v>0</v>
      </c>
      <c r="AD102">
        <f ca="1">IF(AND($B$294=1,LEN($AD$236) * LEN($AD$234)&gt;0),$AD$236/$AD$234*100,HLOOKUP(INDIRECT(ADDRESS(2,COLUMN())),OFFSET($AT$2,0,0,ROW()-1,40),ROW()-1,FALSE))</f>
        <v>0</v>
      </c>
      <c r="AE102">
        <f ca="1">IF(AND($B$294=1,LEN($AE$236) * LEN($AE$234)&gt;0),$AE$236/$AE$234*100,HLOOKUP(INDIRECT(ADDRESS(2,COLUMN())),OFFSET($AT$2,0,0,ROW()-1,40),ROW()-1,FALSE))</f>
        <v>0</v>
      </c>
      <c r="AF102">
        <f ca="1">IF(AND($B$294=1,LEN($AF$236) * LEN($AF$234)&gt;0),$AF$236/$AF$234*100,HLOOKUP(INDIRECT(ADDRESS(2,COLUMN())),OFFSET($AT$2,0,0,ROW()-1,40),ROW()-1,FALSE))</f>
        <v>0</v>
      </c>
      <c r="AG102">
        <f ca="1">IF(AND($B$294=1,LEN($AG$236) * LEN($AG$234)&gt;0),$AG$236/$AG$234*100,HLOOKUP(INDIRECT(ADDRESS(2,COLUMN())),OFFSET($AT$2,0,0,ROW()-1,40),ROW()-1,FALSE))</f>
        <v>0</v>
      </c>
      <c r="AH102">
        <f ca="1">IF(AND($B$294=1,LEN($AH$236) * LEN($AH$234)&gt;0),$AH$236/$AH$234*100,HLOOKUP(INDIRECT(ADDRESS(2,COLUMN())),OFFSET($AT$2,0,0,ROW()-1,40),ROW()-1,FALSE))</f>
        <v>0</v>
      </c>
      <c r="AI102">
        <f ca="1">IF(AND($B$294=1,LEN($AI$236) * LEN($AI$234)&gt;0),$AI$236/$AI$234*100,HLOOKUP(INDIRECT(ADDRESS(2,COLUMN())),OFFSET($AT$2,0,0,ROW()-1,40),ROW()-1,FALSE))</f>
        <v>0</v>
      </c>
      <c r="AJ102">
        <f ca="1">IF(AND($B$294=1,LEN($AJ$236) * LEN($AJ$234)&gt;0),$AJ$236/$AJ$234*100,HLOOKUP(INDIRECT(ADDRESS(2,COLUMN())),OFFSET($AT$2,0,0,ROW()-1,40),ROW()-1,FALSE))</f>
        <v>0</v>
      </c>
      <c r="AK102">
        <f ca="1">IF(AND($B$294=1,LEN($AK$236) * LEN($AK$234)&gt;0),$AK$236/$AK$234*100,HLOOKUP(INDIRECT(ADDRESS(2,COLUMN())),OFFSET($AT$2,0,0,ROW()-1,40),ROW()-1,FALSE))</f>
        <v>0</v>
      </c>
      <c r="AL102">
        <f ca="1">IF(AND($B$294=1,LEN($AL$236) * LEN($AL$234)&gt;0),$AL$236/$AL$234*100,HLOOKUP(INDIRECT(ADDRESS(2,COLUMN())),OFFSET($AT$2,0,0,ROW()-1,40),ROW()-1,FALSE))</f>
        <v>0</v>
      </c>
      <c r="AM102">
        <f ca="1">IF(AND($B$294=1,LEN($AM$236) * LEN($AM$234)&gt;0),$AM$236/$AM$234*100,HLOOKUP(INDIRECT(ADDRESS(2,COLUMN())),OFFSET($AT$2,0,0,ROW()-1,40),ROW()-1,FALSE))</f>
        <v>0</v>
      </c>
      <c r="AN102">
        <f ca="1">IF(AND($B$294=1,LEN($AN$236) * LEN($AN$234)&gt;0),$AN$236/$AN$234*100,HLOOKUP(INDIRECT(ADDRESS(2,COLUMN())),OFFSET($AT$2,0,0,ROW()-1,40),ROW()-1,FALSE))</f>
        <v>0</v>
      </c>
      <c r="AO102">
        <f ca="1">IF(AND($B$294=1,LEN($AO$236) * LEN($AO$234)&gt;0),$AO$236/$AO$234*100,HLOOKUP(INDIRECT(ADDRESS(2,COLUMN())),OFFSET($AT$2,0,0,ROW()-1,40),ROW()-1,FALSE))</f>
        <v>0</v>
      </c>
      <c r="AP102">
        <f ca="1">IF(AND($B$294=1,LEN($AP$236) * LEN($AP$234)&gt;0),$AP$236/$AP$234*100,HLOOKUP(INDIRECT(ADDRESS(2,COLUMN())),OFFSET($AT$2,0,0,ROW()-1,40),ROW()-1,FALSE))</f>
        <v>0</v>
      </c>
      <c r="AQ102">
        <f ca="1">IF(AND($B$294=1,LEN($AQ$236) * LEN($AQ$234)&gt;0),$AQ$236/$AQ$234*100,HLOOKUP(INDIRECT(ADDRESS(2,COLUMN())),OFFSET($AT$2,0,0,ROW()-1,40),ROW()-1,FALSE))</f>
        <v>0</v>
      </c>
      <c r="AR102">
        <f ca="1">IF(AND($B$294=1,LEN($AR$236) * LEN($AR$234)&gt;0),$AR$236/$AR$234*100,HLOOKUP(INDIRECT(ADDRESS(2,COLUMN())),OFFSET($AT$2,0,0,ROW()-1,40),ROW()-1,FALSE))</f>
        <v>0</v>
      </c>
      <c r="AS102">
        <f ca="1">IF(AND($B$294=1,LEN($AS$236) * LEN($AS$234)&gt;0),$AS$236/$AS$234*100,HLOOKUP(INDIRECT(ADDRESS(2,COLUMN())),OFFSET($AT$2,0,0,ROW()-1,40),ROW()-1,FALSE))</f>
        <v>0</v>
      </c>
      <c r="AT102">
        <f>0</f>
        <v>0</v>
      </c>
      <c r="AU102">
        <f>0</f>
        <v>0</v>
      </c>
      <c r="AV102">
        <f>0</f>
        <v>0</v>
      </c>
      <c r="AW102">
        <f>0</f>
        <v>0</v>
      </c>
      <c r="AX102">
        <f>0</f>
        <v>0</v>
      </c>
      <c r="AY102">
        <f>0</f>
        <v>0</v>
      </c>
      <c r="AZ102">
        <f>0</f>
        <v>0</v>
      </c>
      <c r="BA102">
        <f>0</f>
        <v>0</v>
      </c>
      <c r="BB102">
        <f>0</f>
        <v>0</v>
      </c>
      <c r="BC102">
        <f>0</f>
        <v>0</v>
      </c>
      <c r="BD102">
        <f>0</f>
        <v>0</v>
      </c>
      <c r="BE102">
        <f>0</f>
        <v>0</v>
      </c>
      <c r="BF102">
        <f>0</f>
        <v>0</v>
      </c>
      <c r="BG102">
        <f>0</f>
        <v>0</v>
      </c>
      <c r="BH102">
        <f>0</f>
        <v>0</v>
      </c>
      <c r="BI102">
        <f>0</f>
        <v>0</v>
      </c>
      <c r="BJ102">
        <f>0</f>
        <v>0</v>
      </c>
      <c r="BK102">
        <f>0</f>
        <v>0</v>
      </c>
      <c r="BL102">
        <f>0</f>
        <v>0</v>
      </c>
      <c r="BM102">
        <f>0</f>
        <v>0</v>
      </c>
      <c r="BN102">
        <f>0</f>
        <v>0</v>
      </c>
      <c r="BO102">
        <f>0</f>
        <v>0</v>
      </c>
      <c r="BP102">
        <f>0</f>
        <v>0</v>
      </c>
      <c r="BQ102">
        <f>0</f>
        <v>0</v>
      </c>
      <c r="BR102">
        <f>0</f>
        <v>0</v>
      </c>
      <c r="BS102">
        <f>0</f>
        <v>0</v>
      </c>
      <c r="BT102">
        <f>0</f>
        <v>0</v>
      </c>
      <c r="BU102">
        <f>0</f>
        <v>0</v>
      </c>
      <c r="BV102">
        <f>0</f>
        <v>0</v>
      </c>
      <c r="BW102">
        <f>0</f>
        <v>0</v>
      </c>
      <c r="BX102">
        <f>0</f>
        <v>0</v>
      </c>
      <c r="BY102">
        <f>0</f>
        <v>0</v>
      </c>
      <c r="BZ102">
        <f>0</f>
        <v>0</v>
      </c>
      <c r="CA102">
        <f>0</f>
        <v>0</v>
      </c>
      <c r="CB102">
        <f>0</f>
        <v>0</v>
      </c>
      <c r="CC102">
        <f>0</f>
        <v>0</v>
      </c>
      <c r="CD102">
        <f>0</f>
        <v>0</v>
      </c>
      <c r="CE102">
        <f>0</f>
        <v>0</v>
      </c>
      <c r="CF102">
        <f>0</f>
        <v>0</v>
      </c>
      <c r="CG102">
        <f>0</f>
        <v>0</v>
      </c>
    </row>
    <row r="103" spans="1:85" x14ac:dyDescent="0.25">
      <c r="A103" t="str">
        <f>"        Western Star"</f>
        <v xml:space="preserve">        Western Star</v>
      </c>
      <c r="B103" t="str">
        <f>"DAI GR Equity"</f>
        <v>DAI GR Equity</v>
      </c>
      <c r="E103" t="str">
        <f>"Expression"</f>
        <v>Expression</v>
      </c>
      <c r="F103" t="str">
        <f ca="1">IF(AND($B$294=1,LEN($F$237) * LEN($F$234)&gt;0),$F$237/$F$234*100,HLOOKUP(INDIRECT(ADDRESS(2,COLUMN())),OFFSET($AT$2,0,0,ROW()-1,40),ROW()-1,FALSE))</f>
        <v/>
      </c>
      <c r="G103" t="str">
        <f ca="1">IF(AND($B$294=1,LEN($G$237) * LEN($G$234)&gt;0),$G$237/$G$234*100,HLOOKUP(INDIRECT(ADDRESS(2,COLUMN())),OFFSET($AT$2,0,0,ROW()-1,40),ROW()-1,FALSE))</f>
        <v/>
      </c>
      <c r="H103" t="str">
        <f ca="1">IF(AND($B$294=1,LEN($H$237) * LEN($H$234)&gt;0),$H$237/$H$234*100,HLOOKUP(INDIRECT(ADDRESS(2,COLUMN())),OFFSET($AT$2,0,0,ROW()-1,40),ROW()-1,FALSE))</f>
        <v/>
      </c>
      <c r="I103" t="str">
        <f ca="1">IF(AND($B$294=1,LEN($I$237) * LEN($I$234)&gt;0),$I$237/$I$234*100,HLOOKUP(INDIRECT(ADDRESS(2,COLUMN())),OFFSET($AT$2,0,0,ROW()-1,40),ROW()-1,FALSE))</f>
        <v/>
      </c>
      <c r="J103" t="str">
        <f ca="1">IF(AND($B$294=1,LEN($J$237) * LEN($J$234)&gt;0),$J$237/$J$234*100,HLOOKUP(INDIRECT(ADDRESS(2,COLUMN())),OFFSET($AT$2,0,0,ROW()-1,40),ROW()-1,FALSE))</f>
        <v/>
      </c>
      <c r="K103" t="str">
        <f ca="1">IF(AND($B$294=1,LEN($K$237) * LEN($K$234)&gt;0),$K$237/$K$234*100,HLOOKUP(INDIRECT(ADDRESS(2,COLUMN())),OFFSET($AT$2,0,0,ROW()-1,40),ROW()-1,FALSE))</f>
        <v/>
      </c>
      <c r="L103" t="str">
        <f ca="1">IF(AND($B$294=1,LEN($L$237) * LEN($L$234)&gt;0),$L$237/$L$234*100,HLOOKUP(INDIRECT(ADDRESS(2,COLUMN())),OFFSET($AT$2,0,0,ROW()-1,40),ROW()-1,FALSE))</f>
        <v/>
      </c>
      <c r="M103" t="str">
        <f ca="1">IF(AND($B$294=1,LEN($M$237) * LEN($M$234)&gt;0),$M$237/$M$234*100,HLOOKUP(INDIRECT(ADDRESS(2,COLUMN())),OFFSET($AT$2,0,0,ROW()-1,40),ROW()-1,FALSE))</f>
        <v/>
      </c>
      <c r="N103" t="str">
        <f ca="1">IF(AND($B$294=1,LEN($N$237) * LEN($N$234)&gt;0),$N$237/$N$234*100,HLOOKUP(INDIRECT(ADDRESS(2,COLUMN())),OFFSET($AT$2,0,0,ROW()-1,40),ROW()-1,FALSE))</f>
        <v/>
      </c>
      <c r="O103" t="str">
        <f ca="1">IF(AND($B$294=1,LEN($O$237) * LEN($O$234)&gt;0),$O$237/$O$234*100,HLOOKUP(INDIRECT(ADDRESS(2,COLUMN())),OFFSET($AT$2,0,0,ROW()-1,40),ROW()-1,FALSE))</f>
        <v/>
      </c>
      <c r="P103" t="str">
        <f ca="1">IF(AND($B$294=1,LEN($P$237) * LEN($P$234)&gt;0),$P$237/$P$234*100,HLOOKUP(INDIRECT(ADDRESS(2,COLUMN())),OFFSET($AT$2,0,0,ROW()-1,40),ROW()-1,FALSE))</f>
        <v/>
      </c>
      <c r="Q103" t="str">
        <f ca="1">IF(AND($B$294=1,LEN($Q$237) * LEN($Q$234)&gt;0),$Q$237/$Q$234*100,HLOOKUP(INDIRECT(ADDRESS(2,COLUMN())),OFFSET($AT$2,0,0,ROW()-1,40),ROW()-1,FALSE))</f>
        <v/>
      </c>
      <c r="R103" t="str">
        <f ca="1">IF(AND($B$294=1,LEN($R$237) * LEN($R$234)&gt;0),$R$237/$R$234*100,HLOOKUP(INDIRECT(ADDRESS(2,COLUMN())),OFFSET($AT$2,0,0,ROW()-1,40),ROW()-1,FALSE))</f>
        <v/>
      </c>
      <c r="S103" t="str">
        <f ca="1">IF(AND($B$294=1,LEN($S$237) * LEN($S$234)&gt;0),$S$237/$S$234*100,HLOOKUP(INDIRECT(ADDRESS(2,COLUMN())),OFFSET($AT$2,0,0,ROW()-1,40),ROW()-1,FALSE))</f>
        <v/>
      </c>
      <c r="T103" t="str">
        <f ca="1">IF(AND($B$294=1,LEN($T$237) * LEN($T$234)&gt;0),$T$237/$T$234*100,HLOOKUP(INDIRECT(ADDRESS(2,COLUMN())),OFFSET($AT$2,0,0,ROW()-1,40),ROW()-1,FALSE))</f>
        <v/>
      </c>
      <c r="U103" t="str">
        <f ca="1">IF(AND($B$294=1,LEN($U$237) * LEN($U$234)&gt;0),$U$237/$U$234*100,HLOOKUP(INDIRECT(ADDRESS(2,COLUMN())),OFFSET($AT$2,0,0,ROW()-1,40),ROW()-1,FALSE))</f>
        <v/>
      </c>
      <c r="V103" t="str">
        <f ca="1">IF(AND($B$294=1,LEN($V$237) * LEN($V$234)&gt;0),$V$237/$V$234*100,HLOOKUP(INDIRECT(ADDRESS(2,COLUMN())),OFFSET($AT$2,0,0,ROW()-1,40),ROW()-1,FALSE))</f>
        <v/>
      </c>
      <c r="W103" t="str">
        <f ca="1">IF(AND($B$294=1,LEN($W$237) * LEN($W$234)&gt;0),$W$237/$W$234*100,HLOOKUP(INDIRECT(ADDRESS(2,COLUMN())),OFFSET($AT$2,0,0,ROW()-1,40),ROW()-1,FALSE))</f>
        <v/>
      </c>
      <c r="X103" t="str">
        <f ca="1">IF(AND($B$294=1,LEN($X$237) * LEN($X$234)&gt;0),$X$237/$X$234*100,HLOOKUP(INDIRECT(ADDRESS(2,COLUMN())),OFFSET($AT$2,0,0,ROW()-1,40),ROW()-1,FALSE))</f>
        <v/>
      </c>
      <c r="Y103" t="str">
        <f ca="1">IF(AND($B$294=1,LEN($Y$237) * LEN($Y$234)&gt;0),$Y$237/$Y$234*100,HLOOKUP(INDIRECT(ADDRESS(2,COLUMN())),OFFSET($AT$2,0,0,ROW()-1,40),ROW()-1,FALSE))</f>
        <v/>
      </c>
      <c r="Z103" t="str">
        <f ca="1">IF(AND($B$294=1,LEN($Z$237) * LEN($Z$234)&gt;0),$Z$237/$Z$234*100,HLOOKUP(INDIRECT(ADDRESS(2,COLUMN())),OFFSET($AT$2,0,0,ROW()-1,40),ROW()-1,FALSE))</f>
        <v/>
      </c>
      <c r="AA103" t="str">
        <f ca="1">IF(AND($B$294=1,LEN($AA$237) * LEN($AA$234)&gt;0),$AA$237/$AA$234*100,HLOOKUP(INDIRECT(ADDRESS(2,COLUMN())),OFFSET($AT$2,0,0,ROW()-1,40),ROW()-1,FALSE))</f>
        <v/>
      </c>
      <c r="AB103" t="str">
        <f ca="1">IF(AND($B$294=1,LEN($AB$237) * LEN($AB$234)&gt;0),$AB$237/$AB$234*100,HLOOKUP(INDIRECT(ADDRESS(2,COLUMN())),OFFSET($AT$2,0,0,ROW()-1,40),ROW()-1,FALSE))</f>
        <v/>
      </c>
      <c r="AC103" t="str">
        <f ca="1">IF(AND($B$294=1,LEN($AC$237) * LEN($AC$234)&gt;0),$AC$237/$AC$234*100,HLOOKUP(INDIRECT(ADDRESS(2,COLUMN())),OFFSET($AT$2,0,0,ROW()-1,40),ROW()-1,FALSE))</f>
        <v/>
      </c>
      <c r="AD103" t="str">
        <f ca="1">IF(AND($B$294=1,LEN($AD$237) * LEN($AD$234)&gt;0),$AD$237/$AD$234*100,HLOOKUP(INDIRECT(ADDRESS(2,COLUMN())),OFFSET($AT$2,0,0,ROW()-1,40),ROW()-1,FALSE))</f>
        <v/>
      </c>
      <c r="AE103" t="str">
        <f ca="1">IF(AND($B$294=1,LEN($AE$237) * LEN($AE$234)&gt;0),$AE$237/$AE$234*100,HLOOKUP(INDIRECT(ADDRESS(2,COLUMN())),OFFSET($AT$2,0,0,ROW()-1,40),ROW()-1,FALSE))</f>
        <v/>
      </c>
      <c r="AF103" t="str">
        <f ca="1">IF(AND($B$294=1,LEN($AF$237) * LEN($AF$234)&gt;0),$AF$237/$AF$234*100,HLOOKUP(INDIRECT(ADDRESS(2,COLUMN())),OFFSET($AT$2,0,0,ROW()-1,40),ROW()-1,FALSE))</f>
        <v/>
      </c>
      <c r="AG103" t="str">
        <f ca="1">IF(AND($B$294=1,LEN($AG$237) * LEN($AG$234)&gt;0),$AG$237/$AG$234*100,HLOOKUP(INDIRECT(ADDRESS(2,COLUMN())),OFFSET($AT$2,0,0,ROW()-1,40),ROW()-1,FALSE))</f>
        <v/>
      </c>
      <c r="AH103" t="str">
        <f ca="1">IF(AND($B$294=1,LEN($AH$237) * LEN($AH$234)&gt;0),$AH$237/$AH$234*100,HLOOKUP(INDIRECT(ADDRESS(2,COLUMN())),OFFSET($AT$2,0,0,ROW()-1,40),ROW()-1,FALSE))</f>
        <v/>
      </c>
      <c r="AI103" t="str">
        <f ca="1">IF(AND($B$294=1,LEN($AI$237) * LEN($AI$234)&gt;0),$AI$237/$AI$234*100,HLOOKUP(INDIRECT(ADDRESS(2,COLUMN())),OFFSET($AT$2,0,0,ROW()-1,40),ROW()-1,FALSE))</f>
        <v/>
      </c>
      <c r="AJ103" t="str">
        <f ca="1">IF(AND($B$294=1,LEN($AJ$237) * LEN($AJ$234)&gt;0),$AJ$237/$AJ$234*100,HLOOKUP(INDIRECT(ADDRESS(2,COLUMN())),OFFSET($AT$2,0,0,ROW()-1,40),ROW()-1,FALSE))</f>
        <v/>
      </c>
      <c r="AK103" t="str">
        <f ca="1">IF(AND($B$294=1,LEN($AK$237) * LEN($AK$234)&gt;0),$AK$237/$AK$234*100,HLOOKUP(INDIRECT(ADDRESS(2,COLUMN())),OFFSET($AT$2,0,0,ROW()-1,40),ROW()-1,FALSE))</f>
        <v/>
      </c>
      <c r="AL103" t="str">
        <f ca="1">IF(AND($B$294=1,LEN($AL$237) * LEN($AL$234)&gt;0),$AL$237/$AL$234*100,HLOOKUP(INDIRECT(ADDRESS(2,COLUMN())),OFFSET($AT$2,0,0,ROW()-1,40),ROW()-1,FALSE))</f>
        <v/>
      </c>
      <c r="AM103" t="str">
        <f ca="1">IF(AND($B$294=1,LEN($AM$237) * LEN($AM$234)&gt;0),$AM$237/$AM$234*100,HLOOKUP(INDIRECT(ADDRESS(2,COLUMN())),OFFSET($AT$2,0,0,ROW()-1,40),ROW()-1,FALSE))</f>
        <v/>
      </c>
      <c r="AN103" t="str">
        <f ca="1">IF(AND($B$294=1,LEN($AN$237) * LEN($AN$234)&gt;0),$AN$237/$AN$234*100,HLOOKUP(INDIRECT(ADDRESS(2,COLUMN())),OFFSET($AT$2,0,0,ROW()-1,40),ROW()-1,FALSE))</f>
        <v/>
      </c>
      <c r="AO103" t="str">
        <f ca="1">IF(AND($B$294=1,LEN($AO$237) * LEN($AO$234)&gt;0),$AO$237/$AO$234*100,HLOOKUP(INDIRECT(ADDRESS(2,COLUMN())),OFFSET($AT$2,0,0,ROW()-1,40),ROW()-1,FALSE))</f>
        <v/>
      </c>
      <c r="AP103" t="str">
        <f ca="1">IF(AND($B$294=1,LEN($AP$237) * LEN($AP$234)&gt;0),$AP$237/$AP$234*100,HLOOKUP(INDIRECT(ADDRESS(2,COLUMN())),OFFSET($AT$2,0,0,ROW()-1,40),ROW()-1,FALSE))</f>
        <v/>
      </c>
      <c r="AQ103" t="str">
        <f ca="1">IF(AND($B$294=1,LEN($AQ$237) * LEN($AQ$234)&gt;0),$AQ$237/$AQ$234*100,HLOOKUP(INDIRECT(ADDRESS(2,COLUMN())),OFFSET($AT$2,0,0,ROW()-1,40),ROW()-1,FALSE))</f>
        <v/>
      </c>
      <c r="AR103" t="str">
        <f ca="1">IF(AND($B$294=1,LEN($AR$237) * LEN($AR$234)&gt;0),$AR$237/$AR$234*100,HLOOKUP(INDIRECT(ADDRESS(2,COLUMN())),OFFSET($AT$2,0,0,ROW()-1,40),ROW()-1,FALSE))</f>
        <v/>
      </c>
      <c r="AS103" t="str">
        <f ca="1">IF(AND($B$294=1,LEN($AS$237) * LEN($AS$234)&gt;0),$AS$237/$AS$234*100,HLOOKUP(INDIRECT(ADDRESS(2,COLUMN())),OFFSET($AT$2,0,0,ROW()-1,40),ROW()-1,FALSE))</f>
        <v/>
      </c>
      <c r="AT103" t="str">
        <f>""</f>
        <v/>
      </c>
      <c r="AU103" t="str">
        <f>""</f>
        <v/>
      </c>
      <c r="AV103" t="str">
        <f>""</f>
        <v/>
      </c>
      <c r="AW103" t="str">
        <f>""</f>
        <v/>
      </c>
      <c r="AX103" t="str">
        <f>""</f>
        <v/>
      </c>
      <c r="AY103" t="str">
        <f>""</f>
        <v/>
      </c>
      <c r="AZ103" t="str">
        <f>""</f>
        <v/>
      </c>
      <c r="BA103" t="str">
        <f>""</f>
        <v/>
      </c>
      <c r="BB103" t="str">
        <f>""</f>
        <v/>
      </c>
      <c r="BC103" t="str">
        <f>""</f>
        <v/>
      </c>
      <c r="BD103" t="str">
        <f>""</f>
        <v/>
      </c>
      <c r="BE103" t="str">
        <f>""</f>
        <v/>
      </c>
      <c r="BF103" t="str">
        <f>""</f>
        <v/>
      </c>
      <c r="BG103" t="str">
        <f>""</f>
        <v/>
      </c>
      <c r="BH103" t="str">
        <f>""</f>
        <v/>
      </c>
      <c r="BI103" t="str">
        <f>""</f>
        <v/>
      </c>
      <c r="BJ103" t="str">
        <f>""</f>
        <v/>
      </c>
      <c r="BK103" t="str">
        <f>""</f>
        <v/>
      </c>
      <c r="BL103" t="str">
        <f>""</f>
        <v/>
      </c>
      <c r="BM103" t="str">
        <f>""</f>
        <v/>
      </c>
      <c r="BN103" t="str">
        <f>""</f>
        <v/>
      </c>
      <c r="BO103" t="str">
        <f>""</f>
        <v/>
      </c>
      <c r="BP103" t="str">
        <f>""</f>
        <v/>
      </c>
      <c r="BQ103" t="str">
        <f>""</f>
        <v/>
      </c>
      <c r="BR103" t="str">
        <f>""</f>
        <v/>
      </c>
      <c r="BS103" t="str">
        <f>""</f>
        <v/>
      </c>
      <c r="BT103" t="str">
        <f>""</f>
        <v/>
      </c>
      <c r="BU103" t="str">
        <f>""</f>
        <v/>
      </c>
      <c r="BV103" t="str">
        <f>""</f>
        <v/>
      </c>
      <c r="BW103" t="str">
        <f>""</f>
        <v/>
      </c>
      <c r="BX103" t="str">
        <f>""</f>
        <v/>
      </c>
      <c r="BY103" t="str">
        <f>""</f>
        <v/>
      </c>
      <c r="BZ103" t="str">
        <f>""</f>
        <v/>
      </c>
      <c r="CA103" t="str">
        <f>""</f>
        <v/>
      </c>
      <c r="CB103" t="str">
        <f>""</f>
        <v/>
      </c>
      <c r="CC103" t="str">
        <f>""</f>
        <v/>
      </c>
      <c r="CD103" t="str">
        <f>""</f>
        <v/>
      </c>
      <c r="CE103" t="str">
        <f>""</f>
        <v/>
      </c>
      <c r="CF103" t="str">
        <f>""</f>
        <v/>
      </c>
      <c r="CG103" t="str">
        <f>""</f>
        <v/>
      </c>
    </row>
    <row r="104" spans="1:85" x14ac:dyDescent="0.25">
      <c r="A104" t="str">
        <f>"        Sterling"</f>
        <v xml:space="preserve">        Sterling</v>
      </c>
      <c r="B104" t="str">
        <f>"DAI GR Equity"</f>
        <v>DAI GR Equity</v>
      </c>
      <c r="E104" t="str">
        <f>"Expression"</f>
        <v>Expression</v>
      </c>
      <c r="F104" t="str">
        <f ca="1">IF(AND($B$294=1,LEN($F$238) * LEN($F$234)&gt;0),$F$238/$F$234*100,HLOOKUP(INDIRECT(ADDRESS(2,COLUMN())),OFFSET($AT$2,0,0,ROW()-1,40),ROW()-1,FALSE))</f>
        <v/>
      </c>
      <c r="G104" t="str">
        <f ca="1">IF(AND($B$294=1,LEN($G$238) * LEN($G$234)&gt;0),$G$238/$G$234*100,HLOOKUP(INDIRECT(ADDRESS(2,COLUMN())),OFFSET($AT$2,0,0,ROW()-1,40),ROW()-1,FALSE))</f>
        <v/>
      </c>
      <c r="H104" t="str">
        <f ca="1">IF(AND($B$294=1,LEN($H$238) * LEN($H$234)&gt;0),$H$238/$H$234*100,HLOOKUP(INDIRECT(ADDRESS(2,COLUMN())),OFFSET($AT$2,0,0,ROW()-1,40),ROW()-1,FALSE))</f>
        <v/>
      </c>
      <c r="I104" t="str">
        <f ca="1">IF(AND($B$294=1,LEN($I$238) * LEN($I$234)&gt;0),$I$238/$I$234*100,HLOOKUP(INDIRECT(ADDRESS(2,COLUMN())),OFFSET($AT$2,0,0,ROW()-1,40),ROW()-1,FALSE))</f>
        <v/>
      </c>
      <c r="J104" t="str">
        <f ca="1">IF(AND($B$294=1,LEN($J$238) * LEN($J$234)&gt;0),$J$238/$J$234*100,HLOOKUP(INDIRECT(ADDRESS(2,COLUMN())),OFFSET($AT$2,0,0,ROW()-1,40),ROW()-1,FALSE))</f>
        <v/>
      </c>
      <c r="K104" t="str">
        <f ca="1">IF(AND($B$294=1,LEN($K$238) * LEN($K$234)&gt;0),$K$238/$K$234*100,HLOOKUP(INDIRECT(ADDRESS(2,COLUMN())),OFFSET($AT$2,0,0,ROW()-1,40),ROW()-1,FALSE))</f>
        <v/>
      </c>
      <c r="L104" t="str">
        <f ca="1">IF(AND($B$294=1,LEN($L$238) * LEN($L$234)&gt;0),$L$238/$L$234*100,HLOOKUP(INDIRECT(ADDRESS(2,COLUMN())),OFFSET($AT$2,0,0,ROW()-1,40),ROW()-1,FALSE))</f>
        <v/>
      </c>
      <c r="M104" t="str">
        <f ca="1">IF(AND($B$294=1,LEN($M$238) * LEN($M$234)&gt;0),$M$238/$M$234*100,HLOOKUP(INDIRECT(ADDRESS(2,COLUMN())),OFFSET($AT$2,0,0,ROW()-1,40),ROW()-1,FALSE))</f>
        <v/>
      </c>
      <c r="N104" t="str">
        <f ca="1">IF(AND($B$294=1,LEN($N$238) * LEN($N$234)&gt;0),$N$238/$N$234*100,HLOOKUP(INDIRECT(ADDRESS(2,COLUMN())),OFFSET($AT$2,0,0,ROW()-1,40),ROW()-1,FALSE))</f>
        <v/>
      </c>
      <c r="O104" t="str">
        <f ca="1">IF(AND($B$294=1,LEN($O$238) * LEN($O$234)&gt;0),$O$238/$O$234*100,HLOOKUP(INDIRECT(ADDRESS(2,COLUMN())),OFFSET($AT$2,0,0,ROW()-1,40),ROW()-1,FALSE))</f>
        <v/>
      </c>
      <c r="P104" t="str">
        <f ca="1">IF(AND($B$294=1,LEN($P$238) * LEN($P$234)&gt;0),$P$238/$P$234*100,HLOOKUP(INDIRECT(ADDRESS(2,COLUMN())),OFFSET($AT$2,0,0,ROW()-1,40),ROW()-1,FALSE))</f>
        <v/>
      </c>
      <c r="Q104" t="str">
        <f ca="1">IF(AND($B$294=1,LEN($Q$238) * LEN($Q$234)&gt;0),$Q$238/$Q$234*100,HLOOKUP(INDIRECT(ADDRESS(2,COLUMN())),OFFSET($AT$2,0,0,ROW()-1,40),ROW()-1,FALSE))</f>
        <v/>
      </c>
      <c r="R104" t="str">
        <f ca="1">IF(AND($B$294=1,LEN($R$238) * LEN($R$234)&gt;0),$R$238/$R$234*100,HLOOKUP(INDIRECT(ADDRESS(2,COLUMN())),OFFSET($AT$2,0,0,ROW()-1,40),ROW()-1,FALSE))</f>
        <v/>
      </c>
      <c r="S104" t="str">
        <f ca="1">IF(AND($B$294=1,LEN($S$238) * LEN($S$234)&gt;0),$S$238/$S$234*100,HLOOKUP(INDIRECT(ADDRESS(2,COLUMN())),OFFSET($AT$2,0,0,ROW()-1,40),ROW()-1,FALSE))</f>
        <v/>
      </c>
      <c r="T104" t="str">
        <f ca="1">IF(AND($B$294=1,LEN($T$238) * LEN($T$234)&gt;0),$T$238/$T$234*100,HLOOKUP(INDIRECT(ADDRESS(2,COLUMN())),OFFSET($AT$2,0,0,ROW()-1,40),ROW()-1,FALSE))</f>
        <v/>
      </c>
      <c r="U104" t="str">
        <f ca="1">IF(AND($B$294=1,LEN($U$238) * LEN($U$234)&gt;0),$U$238/$U$234*100,HLOOKUP(INDIRECT(ADDRESS(2,COLUMN())),OFFSET($AT$2,0,0,ROW()-1,40),ROW()-1,FALSE))</f>
        <v/>
      </c>
      <c r="V104" t="str">
        <f ca="1">IF(AND($B$294=1,LEN($V$238) * LEN($V$234)&gt;0),$V$238/$V$234*100,HLOOKUP(INDIRECT(ADDRESS(2,COLUMN())),OFFSET($AT$2,0,0,ROW()-1,40),ROW()-1,FALSE))</f>
        <v/>
      </c>
      <c r="W104" t="str">
        <f ca="1">IF(AND($B$294=1,LEN($W$238) * LEN($W$234)&gt;0),$W$238/$W$234*100,HLOOKUP(INDIRECT(ADDRESS(2,COLUMN())),OFFSET($AT$2,0,0,ROW()-1,40),ROW()-1,FALSE))</f>
        <v/>
      </c>
      <c r="X104" t="str">
        <f ca="1">IF(AND($B$294=1,LEN($X$238) * LEN($X$234)&gt;0),$X$238/$X$234*100,HLOOKUP(INDIRECT(ADDRESS(2,COLUMN())),OFFSET($AT$2,0,0,ROW()-1,40),ROW()-1,FALSE))</f>
        <v/>
      </c>
      <c r="Y104" t="str">
        <f ca="1">IF(AND($B$294=1,LEN($Y$238) * LEN($Y$234)&gt;0),$Y$238/$Y$234*100,HLOOKUP(INDIRECT(ADDRESS(2,COLUMN())),OFFSET($AT$2,0,0,ROW()-1,40),ROW()-1,FALSE))</f>
        <v/>
      </c>
      <c r="Z104" t="str">
        <f ca="1">IF(AND($B$294=1,LEN($Z$238) * LEN($Z$234)&gt;0),$Z$238/$Z$234*100,HLOOKUP(INDIRECT(ADDRESS(2,COLUMN())),OFFSET($AT$2,0,0,ROW()-1,40),ROW()-1,FALSE))</f>
        <v/>
      </c>
      <c r="AA104" t="str">
        <f ca="1">IF(AND($B$294=1,LEN($AA$238) * LEN($AA$234)&gt;0),$AA$238/$AA$234*100,HLOOKUP(INDIRECT(ADDRESS(2,COLUMN())),OFFSET($AT$2,0,0,ROW()-1,40),ROW()-1,FALSE))</f>
        <v/>
      </c>
      <c r="AB104" t="str">
        <f ca="1">IF(AND($B$294=1,LEN($AB$238) * LEN($AB$234)&gt;0),$AB$238/$AB$234*100,HLOOKUP(INDIRECT(ADDRESS(2,COLUMN())),OFFSET($AT$2,0,0,ROW()-1,40),ROW()-1,FALSE))</f>
        <v/>
      </c>
      <c r="AC104" t="str">
        <f ca="1">IF(AND($B$294=1,LEN($AC$238) * LEN($AC$234)&gt;0),$AC$238/$AC$234*100,HLOOKUP(INDIRECT(ADDRESS(2,COLUMN())),OFFSET($AT$2,0,0,ROW()-1,40),ROW()-1,FALSE))</f>
        <v/>
      </c>
      <c r="AD104" t="str">
        <f ca="1">IF(AND($B$294=1,LEN($AD$238) * LEN($AD$234)&gt;0),$AD$238/$AD$234*100,HLOOKUP(INDIRECT(ADDRESS(2,COLUMN())),OFFSET($AT$2,0,0,ROW()-1,40),ROW()-1,FALSE))</f>
        <v/>
      </c>
      <c r="AE104" t="str">
        <f ca="1">IF(AND($B$294=1,LEN($AE$238) * LEN($AE$234)&gt;0),$AE$238/$AE$234*100,HLOOKUP(INDIRECT(ADDRESS(2,COLUMN())),OFFSET($AT$2,0,0,ROW()-1,40),ROW()-1,FALSE))</f>
        <v/>
      </c>
      <c r="AF104" t="str">
        <f ca="1">IF(AND($B$294=1,LEN($AF$238) * LEN($AF$234)&gt;0),$AF$238/$AF$234*100,HLOOKUP(INDIRECT(ADDRESS(2,COLUMN())),OFFSET($AT$2,0,0,ROW()-1,40),ROW()-1,FALSE))</f>
        <v/>
      </c>
      <c r="AG104" t="str">
        <f ca="1">IF(AND($B$294=1,LEN($AG$238) * LEN($AG$234)&gt;0),$AG$238/$AG$234*100,HLOOKUP(INDIRECT(ADDRESS(2,COLUMN())),OFFSET($AT$2,0,0,ROW()-1,40),ROW()-1,FALSE))</f>
        <v/>
      </c>
      <c r="AH104" t="str">
        <f ca="1">IF(AND($B$294=1,LEN($AH$238) * LEN($AH$234)&gt;0),$AH$238/$AH$234*100,HLOOKUP(INDIRECT(ADDRESS(2,COLUMN())),OFFSET($AT$2,0,0,ROW()-1,40),ROW()-1,FALSE))</f>
        <v/>
      </c>
      <c r="AI104" t="str">
        <f ca="1">IF(AND($B$294=1,LEN($AI$238) * LEN($AI$234)&gt;0),$AI$238/$AI$234*100,HLOOKUP(INDIRECT(ADDRESS(2,COLUMN())),OFFSET($AT$2,0,0,ROW()-1,40),ROW()-1,FALSE))</f>
        <v/>
      </c>
      <c r="AJ104" t="str">
        <f ca="1">IF(AND($B$294=1,LEN($AJ$238) * LEN($AJ$234)&gt;0),$AJ$238/$AJ$234*100,HLOOKUP(INDIRECT(ADDRESS(2,COLUMN())),OFFSET($AT$2,0,0,ROW()-1,40),ROW()-1,FALSE))</f>
        <v/>
      </c>
      <c r="AK104" t="str">
        <f ca="1">IF(AND($B$294=1,LEN($AK$238) * LEN($AK$234)&gt;0),$AK$238/$AK$234*100,HLOOKUP(INDIRECT(ADDRESS(2,COLUMN())),OFFSET($AT$2,0,0,ROW()-1,40),ROW()-1,FALSE))</f>
        <v/>
      </c>
      <c r="AL104" t="str">
        <f ca="1">IF(AND($B$294=1,LEN($AL$238) * LEN($AL$234)&gt;0),$AL$238/$AL$234*100,HLOOKUP(INDIRECT(ADDRESS(2,COLUMN())),OFFSET($AT$2,0,0,ROW()-1,40),ROW()-1,FALSE))</f>
        <v/>
      </c>
      <c r="AM104" t="str">
        <f ca="1">IF(AND($B$294=1,LEN($AM$238) * LEN($AM$234)&gt;0),$AM$238/$AM$234*100,HLOOKUP(INDIRECT(ADDRESS(2,COLUMN())),OFFSET($AT$2,0,0,ROW()-1,40),ROW()-1,FALSE))</f>
        <v/>
      </c>
      <c r="AN104" t="str">
        <f ca="1">IF(AND($B$294=1,LEN($AN$238) * LEN($AN$234)&gt;0),$AN$238/$AN$234*100,HLOOKUP(INDIRECT(ADDRESS(2,COLUMN())),OFFSET($AT$2,0,0,ROW()-1,40),ROW()-1,FALSE))</f>
        <v/>
      </c>
      <c r="AO104" t="str">
        <f ca="1">IF(AND($B$294=1,LEN($AO$238) * LEN($AO$234)&gt;0),$AO$238/$AO$234*100,HLOOKUP(INDIRECT(ADDRESS(2,COLUMN())),OFFSET($AT$2,0,0,ROW()-1,40),ROW()-1,FALSE))</f>
        <v/>
      </c>
      <c r="AP104" t="str">
        <f ca="1">IF(AND($B$294=1,LEN($AP$238) * LEN($AP$234)&gt;0),$AP$238/$AP$234*100,HLOOKUP(INDIRECT(ADDRESS(2,COLUMN())),OFFSET($AT$2,0,0,ROW()-1,40),ROW()-1,FALSE))</f>
        <v/>
      </c>
      <c r="AQ104" t="str">
        <f ca="1">IF(AND($B$294=1,LEN($AQ$238) * LEN($AQ$234)&gt;0),$AQ$238/$AQ$234*100,HLOOKUP(INDIRECT(ADDRESS(2,COLUMN())),OFFSET($AT$2,0,0,ROW()-1,40),ROW()-1,FALSE))</f>
        <v/>
      </c>
      <c r="AR104" t="str">
        <f ca="1">IF(AND($B$294=1,LEN($AR$238) * LEN($AR$234)&gt;0),$AR$238/$AR$234*100,HLOOKUP(INDIRECT(ADDRESS(2,COLUMN())),OFFSET($AT$2,0,0,ROW()-1,40),ROW()-1,FALSE))</f>
        <v/>
      </c>
      <c r="AS104" t="str">
        <f ca="1">IF(AND($B$294=1,LEN($AS$238) * LEN($AS$234)&gt;0),$AS$238/$AS$234*100,HLOOKUP(INDIRECT(ADDRESS(2,COLUMN())),OFFSET($AT$2,0,0,ROW()-1,40),ROW()-1,FALSE))</f>
        <v/>
      </c>
      <c r="AT104" t="str">
        <f>""</f>
        <v/>
      </c>
      <c r="AU104" t="str">
        <f>""</f>
        <v/>
      </c>
      <c r="AV104" t="str">
        <f>""</f>
        <v/>
      </c>
      <c r="AW104" t="str">
        <f>""</f>
        <v/>
      </c>
      <c r="AX104" t="str">
        <f>""</f>
        <v/>
      </c>
      <c r="AY104" t="str">
        <f>""</f>
        <v/>
      </c>
      <c r="AZ104" t="str">
        <f>""</f>
        <v/>
      </c>
      <c r="BA104" t="str">
        <f>""</f>
        <v/>
      </c>
      <c r="BB104" t="str">
        <f>""</f>
        <v/>
      </c>
      <c r="BC104" t="str">
        <f>""</f>
        <v/>
      </c>
      <c r="BD104" t="str">
        <f>""</f>
        <v/>
      </c>
      <c r="BE104" t="str">
        <f>""</f>
        <v/>
      </c>
      <c r="BF104" t="str">
        <f>""</f>
        <v/>
      </c>
      <c r="BG104" t="str">
        <f>""</f>
        <v/>
      </c>
      <c r="BH104" t="str">
        <f>""</f>
        <v/>
      </c>
      <c r="BI104" t="str">
        <f>""</f>
        <v/>
      </c>
      <c r="BJ104" t="str">
        <f>""</f>
        <v/>
      </c>
      <c r="BK104" t="str">
        <f>""</f>
        <v/>
      </c>
      <c r="BL104" t="str">
        <f>""</f>
        <v/>
      </c>
      <c r="BM104" t="str">
        <f>""</f>
        <v/>
      </c>
      <c r="BN104" t="str">
        <f>""</f>
        <v/>
      </c>
      <c r="BO104" t="str">
        <f>""</f>
        <v/>
      </c>
      <c r="BP104" t="str">
        <f>""</f>
        <v/>
      </c>
      <c r="BQ104" t="str">
        <f>""</f>
        <v/>
      </c>
      <c r="BR104" t="str">
        <f>""</f>
        <v/>
      </c>
      <c r="BS104" t="str">
        <f>""</f>
        <v/>
      </c>
      <c r="BT104" t="str">
        <f>""</f>
        <v/>
      </c>
      <c r="BU104" t="str">
        <f>""</f>
        <v/>
      </c>
      <c r="BV104" t="str">
        <f>""</f>
        <v/>
      </c>
      <c r="BW104" t="str">
        <f>""</f>
        <v/>
      </c>
      <c r="BX104" t="str">
        <f>""</f>
        <v/>
      </c>
      <c r="BY104" t="str">
        <f>""</f>
        <v/>
      </c>
      <c r="BZ104" t="str">
        <f>""</f>
        <v/>
      </c>
      <c r="CA104" t="str">
        <f>""</f>
        <v/>
      </c>
      <c r="CB104" t="str">
        <f>""</f>
        <v/>
      </c>
      <c r="CC104" t="str">
        <f>""</f>
        <v/>
      </c>
      <c r="CD104" t="str">
        <f>""</f>
        <v/>
      </c>
      <c r="CE104" t="str">
        <f>""</f>
        <v/>
      </c>
      <c r="CF104" t="str">
        <f>""</f>
        <v/>
      </c>
      <c r="CG104" t="str">
        <f>""</f>
        <v/>
      </c>
    </row>
    <row r="105" spans="1:85" x14ac:dyDescent="0.25">
      <c r="A105" t="str">
        <f>"    Navistar"</f>
        <v xml:space="preserve">    Navistar</v>
      </c>
      <c r="B105" t="str">
        <f>"NAV US Equity"</f>
        <v>NAV US Equity</v>
      </c>
      <c r="E105" t="str">
        <f>"Sum"</f>
        <v>Sum</v>
      </c>
      <c r="F105">
        <f ca="1">IF(ISERROR(IF(SUM($F$106:$F$106) = 0, "", SUM($F$106:$F$106))), "", (IF(SUM($F$106:$F$106) = 0, "", SUM($F$106:$F$106))))</f>
        <v>26.969812040000001</v>
      </c>
      <c r="G105">
        <f ca="1">IF(ISERROR(IF(SUM($G$106:$G$106) = 0, "", SUM($G$106:$G$106))), "", (IF(SUM($G$106:$G$106) = 0, "", SUM($G$106:$G$106))))</f>
        <v>25.896907219999999</v>
      </c>
      <c r="H105">
        <f ca="1">IF(ISERROR(IF(SUM($H$106:$H$106) = 0, "", SUM($H$106:$H$106))), "", (IF(SUM($H$106:$H$106) = 0, "", SUM($H$106:$H$106))))</f>
        <v>32.637327339999999</v>
      </c>
      <c r="I105">
        <f ca="1">IF(ISERROR(IF(SUM($I$106:$I$106) = 0, "", SUM($I$106:$I$106))), "", (IF(SUM($I$106:$I$106) = 0, "", SUM($I$106:$I$106))))</f>
        <v>30.894965190000001</v>
      </c>
      <c r="J105">
        <f ca="1">IF(ISERROR(IF(SUM($J$106:$J$106) = 0, "", SUM($J$106:$J$106))), "", (IF(SUM($J$106:$J$106) = 0, "", SUM($J$106:$J$106))))</f>
        <v>26.35575893</v>
      </c>
      <c r="K105">
        <f ca="1">IF(ISERROR(IF(SUM($K$106:$K$106) = 0, "", SUM($K$106:$K$106))), "", (IF(SUM($K$106:$K$106) = 0, "", SUM($K$106:$K$106))))</f>
        <v>24.28805573</v>
      </c>
      <c r="L105">
        <f ca="1">IF(ISERROR(IF(SUM($L$106:$L$106) = 0, "", SUM($L$106:$L$106))), "", (IF(SUM($L$106:$L$106) = 0, "", SUM($L$106:$L$106))))</f>
        <v>23.17794486</v>
      </c>
      <c r="M105">
        <f ca="1">IF(ISERROR(IF(SUM($M$106:$M$106) = 0, "", SUM($M$106:$M$106))), "", (IF(SUM($M$106:$M$106) = 0, "", SUM($M$106:$M$106))))</f>
        <v>26.349206349999999</v>
      </c>
      <c r="N105">
        <f ca="1">IF(ISERROR(IF(SUM($N$106:$N$106) = 0, "", SUM($N$106:$N$106))), "", (IF(SUM($N$106:$N$106) = 0, "", SUM($N$106:$N$106))))</f>
        <v>24.579055440000001</v>
      </c>
      <c r="O105">
        <f ca="1">IF(ISERROR(IF(SUM($O$106:$O$106) = 0, "", SUM($O$106:$O$106))), "", (IF(SUM($O$106:$O$106) = 0, "", SUM($O$106:$O$106))))</f>
        <v>20.31827861</v>
      </c>
      <c r="P105">
        <f ca="1">IF(ISERROR(IF(SUM($P$106:$P$106) = 0, "", SUM($P$106:$P$106))), "", (IF(SUM($P$106:$P$106) = 0, "", SUM($P$106:$P$106))))</f>
        <v>18.182689539999998</v>
      </c>
      <c r="Q105">
        <f ca="1">IF(ISERROR(IF(SUM($Q$106:$Q$106) = 0, "", SUM($Q$106:$Q$106))), "", (IF(SUM($Q$106:$Q$106) = 0, "", SUM($Q$106:$Q$106))))</f>
        <v>16.049948449999999</v>
      </c>
      <c r="R105">
        <f ca="1">IF(ISERROR(IF(SUM($R$106:$R$106) = 0, "", SUM($R$106:$R$106))), "", (IF(SUM($R$106:$R$106) = 0, "", SUM($R$106:$R$106))))</f>
        <v>21.06683271</v>
      </c>
      <c r="S105">
        <f ca="1">IF(ISERROR(IF(SUM($S$106:$S$106) = 0, "", SUM($S$106:$S$106))), "", (IF(SUM($S$106:$S$106) = 0, "", SUM($S$106:$S$106))))</f>
        <v>30.015582389999999</v>
      </c>
      <c r="T105">
        <f ca="1">IF(ISERROR(IF(SUM($T$106:$T$106) = 0, "", SUM($T$106:$T$106))), "", (IF(SUM($T$106:$T$106) = 0, "", SUM($T$106:$T$106))))</f>
        <v>28.77495463</v>
      </c>
      <c r="U105">
        <f ca="1">IF(ISERROR(IF(SUM($U$106:$U$106) = 0, "", SUM($U$106:$U$106))), "", (IF(SUM($U$106:$U$106) = 0, "", SUM($U$106:$U$106))))</f>
        <v>26.074966809999999</v>
      </c>
      <c r="V105">
        <f ca="1">IF(ISERROR(IF(SUM($V$106:$V$106) = 0, "", SUM($V$106:$V$106))), "", (IF(SUM($V$106:$V$106) = 0, "", SUM($V$106:$V$106))))</f>
        <v>23.833896670000001</v>
      </c>
      <c r="W105">
        <f ca="1">IF(ISERROR(IF(SUM($W$106:$W$106) = 0, "", SUM($W$106:$W$106))), "", (IF(SUM($W$106:$W$106) = 0, "", SUM($W$106:$W$106))))</f>
        <v>23.457419680000001</v>
      </c>
      <c r="X105">
        <f ca="1">IF(ISERROR(IF(SUM($X$106:$X$106) = 0, "", SUM($X$106:$X$106))), "", (IF(SUM($X$106:$X$106) = 0, "", SUM($X$106:$X$106))))</f>
        <v>22.49408051</v>
      </c>
      <c r="Y105">
        <f ca="1">IF(ISERROR(IF(SUM($Y$106:$Y$106) = 0, "", SUM($Y$106:$Y$106))), "", (IF(SUM($Y$106:$Y$106) = 0, "", SUM($Y$106:$Y$106))))</f>
        <v>20.283533259999999</v>
      </c>
      <c r="Z105">
        <f ca="1">IF(ISERROR(IF(SUM($Z$106:$Z$106) = 0, "", SUM($Z$106:$Z$106))), "", (IF(SUM($Z$106:$Z$106) = 0, "", SUM($Z$106:$Z$106))))</f>
        <v>24.499305970000002</v>
      </c>
      <c r="AA105">
        <f ca="1">IF(ISERROR(IF(SUM($AA$106:$AA$106) = 0, "", SUM($AA$106:$AA$106))), "", (IF(SUM($AA$106:$AA$106) = 0, "", SUM($AA$106:$AA$106))))</f>
        <v>21.515756769999999</v>
      </c>
      <c r="AB105">
        <f ca="1">IF(ISERROR(IF(SUM($AB$106:$AB$106) = 0, "", SUM($AB$106:$AB$106))), "", (IF(SUM($AB$106:$AB$106) = 0, "", SUM($AB$106:$AB$106))))</f>
        <v>18.75303486</v>
      </c>
      <c r="AC105">
        <f ca="1">IF(ISERROR(IF(SUM($AC$106:$AC$106) = 0, "", SUM($AC$106:$AC$106))), "", (IF(SUM($AC$106:$AC$106) = 0, "", SUM($AC$106:$AC$106))))</f>
        <v>17.0183727</v>
      </c>
      <c r="AD105">
        <f ca="1">IF(ISERROR(IF(SUM($AD$106:$AD$106) = 0, "", SUM($AD$106:$AD$106))), "", (IF(SUM($AD$106:$AD$106) = 0, "", SUM($AD$106:$AD$106))))</f>
        <v>22.391224189999999</v>
      </c>
      <c r="AE105">
        <f ca="1">IF(ISERROR(IF(SUM($AE$106:$AE$106) = 0, "", SUM($AE$106:$AE$106))), "", (IF(SUM($AE$106:$AE$106) = 0, "", SUM($AE$106:$AE$106))))</f>
        <v>22.428801719999999</v>
      </c>
      <c r="AF105">
        <f ca="1">IF(ISERROR(IF(SUM($AF$106:$AF$106) = 0, "", SUM($AF$106:$AF$106))), "", (IF(SUM($AF$106:$AF$106) = 0, "", SUM($AF$106:$AF$106))))</f>
        <v>30.21625358</v>
      </c>
      <c r="AG105">
        <f ca="1">IF(ISERROR(IF(SUM($AG$106:$AG$106) = 0, "", SUM($AG$106:$AG$106))), "", (IF(SUM($AG$106:$AG$106) = 0, "", SUM($AG$106:$AG$106))))</f>
        <v>31.046228710000001</v>
      </c>
      <c r="AH105">
        <f ca="1">IF(ISERROR(IF(SUM($AH$106:$AH$106) = 0, "", SUM($AH$106:$AH$106))), "", (IF(SUM($AH$106:$AH$106) = 0, "", SUM($AH$106:$AH$106))))</f>
        <v>28.741747960000001</v>
      </c>
      <c r="AI105">
        <f ca="1">IF(ISERROR(IF(SUM($AI$106:$AI$106) = 0, "", SUM($AI$106:$AI$106))), "", (IF(SUM($AI$106:$AI$106) = 0, "", SUM($AI$106:$AI$106))))</f>
        <v>20.212380840000002</v>
      </c>
      <c r="AJ105">
        <f ca="1">IF(ISERROR(IF(SUM($AJ$106:$AJ$106) = 0, "", SUM($AJ$106:$AJ$106))), "", (IF(SUM($AJ$106:$AJ$106) = 0, "", SUM($AJ$106:$AJ$106))))</f>
        <v>23.249105799999999</v>
      </c>
      <c r="AK105">
        <f ca="1">IF(ISERROR(IF(SUM($AK$106:$AK$106) = 0, "", SUM($AK$106:$AK$106))), "", (IF(SUM($AK$106:$AK$106) = 0, "", SUM($AK$106:$AK$106))))</f>
        <v>25.182730729999999</v>
      </c>
      <c r="AL105">
        <f ca="1">IF(ISERROR(IF(SUM($AL$106:$AL$106) = 0, "", SUM($AL$106:$AL$106))), "", (IF(SUM($AL$106:$AL$106) = 0, "", SUM($AL$106:$AL$106))))</f>
        <v>25.612219140000001</v>
      </c>
      <c r="AM105">
        <f ca="1">IF(ISERROR(IF(SUM($AM$106:$AM$106) = 0, "", SUM($AM$106:$AM$106))), "", (IF(SUM($AM$106:$AM$106) = 0, "", SUM($AM$106:$AM$106))))</f>
        <v>25.050940910000001</v>
      </c>
      <c r="AN105">
        <f ca="1">IF(ISERROR(IF(SUM($AN$106:$AN$106) = 0, "", SUM($AN$106:$AN$106))), "", (IF(SUM($AN$106:$AN$106) = 0, "", SUM($AN$106:$AN$106))))</f>
        <v>19.720837490000001</v>
      </c>
      <c r="AO105">
        <f ca="1">IF(ISERROR(IF(SUM($AO$106:$AO$106) = 0, "", SUM($AO$106:$AO$106))), "", (IF(SUM($AO$106:$AO$106) = 0, "", SUM($AO$106:$AO$106))))</f>
        <v>17.642815930000001</v>
      </c>
      <c r="AP105">
        <f ca="1">IF(ISERROR(IF(SUM($AP$106:$AP$106) = 0, "", SUM($AP$106:$AP$106))), "", (IF(SUM($AP$106:$AP$106) = 0, "", SUM($AP$106:$AP$106))))</f>
        <v>23.498722319999999</v>
      </c>
      <c r="AQ105">
        <f ca="1">IF(ISERROR(IF(SUM($AQ$106:$AQ$106) = 0, "", SUM($AQ$106:$AQ$106))), "", (IF(SUM($AQ$106:$AQ$106) = 0, "", SUM($AQ$106:$AQ$106))))</f>
        <v>25.998476440000001</v>
      </c>
      <c r="AR105">
        <f ca="1">IF(ISERROR(IF(SUM($AR$106:$AR$106) = 0, "", SUM($AR$106:$AR$106))), "", (IF(SUM($AR$106:$AR$106) = 0, "", SUM($AR$106:$AR$106))))</f>
        <v>27.288021530000002</v>
      </c>
      <c r="AS105">
        <f ca="1">IF(ISERROR(IF(SUM($AS$106:$AS$106) = 0, "", SUM($AS$106:$AS$106))), "", (IF(SUM($AS$106:$AS$106) = 0, "", SUM($AS$106:$AS$106))))</f>
        <v>31.602329940000001</v>
      </c>
      <c r="AT105">
        <f>26.96981204</f>
        <v>26.969812040000001</v>
      </c>
      <c r="AU105">
        <f>25.89690722</f>
        <v>25.896907219999999</v>
      </c>
      <c r="AV105">
        <f>32.63732734</f>
        <v>32.637327339999999</v>
      </c>
      <c r="AW105">
        <f>30.89496519</f>
        <v>30.894965190000001</v>
      </c>
      <c r="AX105">
        <f>26.35575893</f>
        <v>26.35575893</v>
      </c>
      <c r="AY105">
        <f>24.28805573</f>
        <v>24.28805573</v>
      </c>
      <c r="AZ105">
        <f>23.17794486</f>
        <v>23.17794486</v>
      </c>
      <c r="BA105">
        <f>26.34920635</f>
        <v>26.349206349999999</v>
      </c>
      <c r="BB105">
        <f>24.57905544</f>
        <v>24.579055440000001</v>
      </c>
      <c r="BC105">
        <f>20.31827861</f>
        <v>20.31827861</v>
      </c>
      <c r="BD105">
        <f>18.18268954</f>
        <v>18.182689539999998</v>
      </c>
      <c r="BE105">
        <f>16.04994845</f>
        <v>16.049948449999999</v>
      </c>
      <c r="BF105">
        <f>21.06683271</f>
        <v>21.06683271</v>
      </c>
      <c r="BG105">
        <f>30.01558239</f>
        <v>30.015582389999999</v>
      </c>
      <c r="BH105">
        <f>28.77495463</f>
        <v>28.77495463</v>
      </c>
      <c r="BI105">
        <f>26.07496681</f>
        <v>26.074966809999999</v>
      </c>
      <c r="BJ105">
        <f>23.83389667</f>
        <v>23.833896670000001</v>
      </c>
      <c r="BK105">
        <f>23.45741968</f>
        <v>23.457419680000001</v>
      </c>
      <c r="BL105">
        <f>22.49408051</f>
        <v>22.49408051</v>
      </c>
      <c r="BM105">
        <f>20.28353326</f>
        <v>20.283533259999999</v>
      </c>
      <c r="BN105">
        <f>24.49930597</f>
        <v>24.499305970000002</v>
      </c>
      <c r="BO105">
        <f>21.51575677</f>
        <v>21.515756769999999</v>
      </c>
      <c r="BP105">
        <f>18.75303486</f>
        <v>18.75303486</v>
      </c>
      <c r="BQ105">
        <f>17.0183727</f>
        <v>17.0183727</v>
      </c>
      <c r="BR105">
        <f>22.39122419</f>
        <v>22.391224189999999</v>
      </c>
      <c r="BS105">
        <f>22.42880172</f>
        <v>22.428801719999999</v>
      </c>
      <c r="BT105">
        <f>30.21625358</f>
        <v>30.21625358</v>
      </c>
      <c r="BU105">
        <f>31.04622871</f>
        <v>31.046228710000001</v>
      </c>
      <c r="BV105">
        <f>28.74174796</f>
        <v>28.741747960000001</v>
      </c>
      <c r="BW105">
        <f>20.21238084</f>
        <v>20.212380840000002</v>
      </c>
      <c r="BX105">
        <f>23.2491058</f>
        <v>23.249105799999999</v>
      </c>
      <c r="BY105">
        <f>25.18273073</f>
        <v>25.182730729999999</v>
      </c>
      <c r="BZ105">
        <f>25.61221914</f>
        <v>25.612219140000001</v>
      </c>
      <c r="CA105">
        <f>25.05094091</f>
        <v>25.050940910000001</v>
      </c>
      <c r="CB105">
        <f>19.72083749</f>
        <v>19.720837490000001</v>
      </c>
      <c r="CC105">
        <f>17.64281593</f>
        <v>17.642815930000001</v>
      </c>
      <c r="CD105">
        <f>23.49872232</f>
        <v>23.498722319999999</v>
      </c>
      <c r="CE105">
        <f>25.99847644</f>
        <v>25.998476440000001</v>
      </c>
      <c r="CF105">
        <f>27.28802153</f>
        <v>27.288021530000002</v>
      </c>
      <c r="CG105">
        <f>31.60232994</f>
        <v>31.602329940000001</v>
      </c>
    </row>
    <row r="106" spans="1:85" x14ac:dyDescent="0.25">
      <c r="A106" t="str">
        <f>"        International"</f>
        <v xml:space="preserve">        International</v>
      </c>
      <c r="B106" t="str">
        <f>"NAV US Equity"</f>
        <v>NAV US Equity</v>
      </c>
      <c r="E106" t="str">
        <f>"Expression"</f>
        <v>Expression</v>
      </c>
      <c r="F106">
        <f ca="1">IF(AND($B$294=1,LEN($F$239) * LEN($F$234)&gt;0),$F$239/$F$234*100,HLOOKUP(INDIRECT(ADDRESS(2,COLUMN())),OFFSET($AT$2,0,0,ROW()-1,40),ROW()-1,FALSE))</f>
        <v>26.969812040000001</v>
      </c>
      <c r="G106">
        <f ca="1">IF(AND($B$294=1,LEN($G$239) * LEN($G$234)&gt;0),$G$239/$G$234*100,HLOOKUP(INDIRECT(ADDRESS(2,COLUMN())),OFFSET($AT$2,0,0,ROW()-1,40),ROW()-1,FALSE))</f>
        <v>25.896907219999999</v>
      </c>
      <c r="H106">
        <f ca="1">IF(AND($B$294=1,LEN($H$239) * LEN($H$234)&gt;0),$H$239/$H$234*100,HLOOKUP(INDIRECT(ADDRESS(2,COLUMN())),OFFSET($AT$2,0,0,ROW()-1,40),ROW()-1,FALSE))</f>
        <v>32.637327339999999</v>
      </c>
      <c r="I106">
        <f ca="1">IF(AND($B$294=1,LEN($I$239) * LEN($I$234)&gt;0),$I$239/$I$234*100,HLOOKUP(INDIRECT(ADDRESS(2,COLUMN())),OFFSET($AT$2,0,0,ROW()-1,40),ROW()-1,FALSE))</f>
        <v>30.894965190000001</v>
      </c>
      <c r="J106">
        <f ca="1">IF(AND($B$294=1,LEN($J$239) * LEN($J$234)&gt;0),$J$239/$J$234*100,HLOOKUP(INDIRECT(ADDRESS(2,COLUMN())),OFFSET($AT$2,0,0,ROW()-1,40),ROW()-1,FALSE))</f>
        <v>26.35575893</v>
      </c>
      <c r="K106">
        <f ca="1">IF(AND($B$294=1,LEN($K$239) * LEN($K$234)&gt;0),$K$239/$K$234*100,HLOOKUP(INDIRECT(ADDRESS(2,COLUMN())),OFFSET($AT$2,0,0,ROW()-1,40),ROW()-1,FALSE))</f>
        <v>24.28805573</v>
      </c>
      <c r="L106">
        <f ca="1">IF(AND($B$294=1,LEN($L$239) * LEN($L$234)&gt;0),$L$239/$L$234*100,HLOOKUP(INDIRECT(ADDRESS(2,COLUMN())),OFFSET($AT$2,0,0,ROW()-1,40),ROW()-1,FALSE))</f>
        <v>23.17794486</v>
      </c>
      <c r="M106">
        <f ca="1">IF(AND($B$294=1,LEN($M$239) * LEN($M$234)&gt;0),$M$239/$M$234*100,HLOOKUP(INDIRECT(ADDRESS(2,COLUMN())),OFFSET($AT$2,0,0,ROW()-1,40),ROW()-1,FALSE))</f>
        <v>26.349206349999999</v>
      </c>
      <c r="N106">
        <f ca="1">IF(AND($B$294=1,LEN($N$239) * LEN($N$234)&gt;0),$N$239/$N$234*100,HLOOKUP(INDIRECT(ADDRESS(2,COLUMN())),OFFSET($AT$2,0,0,ROW()-1,40),ROW()-1,FALSE))</f>
        <v>24.579055440000001</v>
      </c>
      <c r="O106">
        <f ca="1">IF(AND($B$294=1,LEN($O$239) * LEN($O$234)&gt;0),$O$239/$O$234*100,HLOOKUP(INDIRECT(ADDRESS(2,COLUMN())),OFFSET($AT$2,0,0,ROW()-1,40),ROW()-1,FALSE))</f>
        <v>20.31827861</v>
      </c>
      <c r="P106">
        <f ca="1">IF(AND($B$294=1,LEN($P$239) * LEN($P$234)&gt;0),$P$239/$P$234*100,HLOOKUP(INDIRECT(ADDRESS(2,COLUMN())),OFFSET($AT$2,0,0,ROW()-1,40),ROW()-1,FALSE))</f>
        <v>18.182689539999998</v>
      </c>
      <c r="Q106">
        <f ca="1">IF(AND($B$294=1,LEN($Q$239) * LEN($Q$234)&gt;0),$Q$239/$Q$234*100,HLOOKUP(INDIRECT(ADDRESS(2,COLUMN())),OFFSET($AT$2,0,0,ROW()-1,40),ROW()-1,FALSE))</f>
        <v>16.049948449999999</v>
      </c>
      <c r="R106">
        <f ca="1">IF(AND($B$294=1,LEN($R$239) * LEN($R$234)&gt;0),$R$239/$R$234*100,HLOOKUP(INDIRECT(ADDRESS(2,COLUMN())),OFFSET($AT$2,0,0,ROW()-1,40),ROW()-1,FALSE))</f>
        <v>21.06683271</v>
      </c>
      <c r="S106">
        <f ca="1">IF(AND($B$294=1,LEN($S$239) * LEN($S$234)&gt;0),$S$239/$S$234*100,HLOOKUP(INDIRECT(ADDRESS(2,COLUMN())),OFFSET($AT$2,0,0,ROW()-1,40),ROW()-1,FALSE))</f>
        <v>30.015582389999999</v>
      </c>
      <c r="T106">
        <f ca="1">IF(AND($B$294=1,LEN($T$239) * LEN($T$234)&gt;0),$T$239/$T$234*100,HLOOKUP(INDIRECT(ADDRESS(2,COLUMN())),OFFSET($AT$2,0,0,ROW()-1,40),ROW()-1,FALSE))</f>
        <v>28.77495463</v>
      </c>
      <c r="U106">
        <f ca="1">IF(AND($B$294=1,LEN($U$239) * LEN($U$234)&gt;0),$U$239/$U$234*100,HLOOKUP(INDIRECT(ADDRESS(2,COLUMN())),OFFSET($AT$2,0,0,ROW()-1,40),ROW()-1,FALSE))</f>
        <v>26.074966809999999</v>
      </c>
      <c r="V106">
        <f ca="1">IF(AND($B$294=1,LEN($V$239) * LEN($V$234)&gt;0),$V$239/$V$234*100,HLOOKUP(INDIRECT(ADDRESS(2,COLUMN())),OFFSET($AT$2,0,0,ROW()-1,40),ROW()-1,FALSE))</f>
        <v>23.833896670000001</v>
      </c>
      <c r="W106">
        <f ca="1">IF(AND($B$294=1,LEN($W$239) * LEN($W$234)&gt;0),$W$239/$W$234*100,HLOOKUP(INDIRECT(ADDRESS(2,COLUMN())),OFFSET($AT$2,0,0,ROW()-1,40),ROW()-1,FALSE))</f>
        <v>23.457419680000001</v>
      </c>
      <c r="X106">
        <f ca="1">IF(AND($B$294=1,LEN($X$239) * LEN($X$234)&gt;0),$X$239/$X$234*100,HLOOKUP(INDIRECT(ADDRESS(2,COLUMN())),OFFSET($AT$2,0,0,ROW()-1,40),ROW()-1,FALSE))</f>
        <v>22.49408051</v>
      </c>
      <c r="Y106">
        <f ca="1">IF(AND($B$294=1,LEN($Y$239) * LEN($Y$234)&gt;0),$Y$239/$Y$234*100,HLOOKUP(INDIRECT(ADDRESS(2,COLUMN())),OFFSET($AT$2,0,0,ROW()-1,40),ROW()-1,FALSE))</f>
        <v>20.283533259999999</v>
      </c>
      <c r="Z106">
        <f ca="1">IF(AND($B$294=1,LEN($Z$239) * LEN($Z$234)&gt;0),$Z$239/$Z$234*100,HLOOKUP(INDIRECT(ADDRESS(2,COLUMN())),OFFSET($AT$2,0,0,ROW()-1,40),ROW()-1,FALSE))</f>
        <v>24.499305970000002</v>
      </c>
      <c r="AA106">
        <f ca="1">IF(AND($B$294=1,LEN($AA$239) * LEN($AA$234)&gt;0),$AA$239/$AA$234*100,HLOOKUP(INDIRECT(ADDRESS(2,COLUMN())),OFFSET($AT$2,0,0,ROW()-1,40),ROW()-1,FALSE))</f>
        <v>21.515756769999999</v>
      </c>
      <c r="AB106">
        <f ca="1">IF(AND($B$294=1,LEN($AB$239) * LEN($AB$234)&gt;0),$AB$239/$AB$234*100,HLOOKUP(INDIRECT(ADDRESS(2,COLUMN())),OFFSET($AT$2,0,0,ROW()-1,40),ROW()-1,FALSE))</f>
        <v>18.75303486</v>
      </c>
      <c r="AC106">
        <f ca="1">IF(AND($B$294=1,LEN($AC$239) * LEN($AC$234)&gt;0),$AC$239/$AC$234*100,HLOOKUP(INDIRECT(ADDRESS(2,COLUMN())),OFFSET($AT$2,0,0,ROW()-1,40),ROW()-1,FALSE))</f>
        <v>17.0183727</v>
      </c>
      <c r="AD106">
        <f ca="1">IF(AND($B$294=1,LEN($AD$239) * LEN($AD$234)&gt;0),$AD$239/$AD$234*100,HLOOKUP(INDIRECT(ADDRESS(2,COLUMN())),OFFSET($AT$2,0,0,ROW()-1,40),ROW()-1,FALSE))</f>
        <v>22.391224189999999</v>
      </c>
      <c r="AE106">
        <f ca="1">IF(AND($B$294=1,LEN($AE$239) * LEN($AE$234)&gt;0),$AE$239/$AE$234*100,HLOOKUP(INDIRECT(ADDRESS(2,COLUMN())),OFFSET($AT$2,0,0,ROW()-1,40),ROW()-1,FALSE))</f>
        <v>22.428801719999999</v>
      </c>
      <c r="AF106">
        <f ca="1">IF(AND($B$294=1,LEN($AF$239) * LEN($AF$234)&gt;0),$AF$239/$AF$234*100,HLOOKUP(INDIRECT(ADDRESS(2,COLUMN())),OFFSET($AT$2,0,0,ROW()-1,40),ROW()-1,FALSE))</f>
        <v>30.21625358</v>
      </c>
      <c r="AG106">
        <f ca="1">IF(AND($B$294=1,LEN($AG$239) * LEN($AG$234)&gt;0),$AG$239/$AG$234*100,HLOOKUP(INDIRECT(ADDRESS(2,COLUMN())),OFFSET($AT$2,0,0,ROW()-1,40),ROW()-1,FALSE))</f>
        <v>31.046228710000001</v>
      </c>
      <c r="AH106">
        <f ca="1">IF(AND($B$294=1,LEN($AH$239) * LEN($AH$234)&gt;0),$AH$239/$AH$234*100,HLOOKUP(INDIRECT(ADDRESS(2,COLUMN())),OFFSET($AT$2,0,0,ROW()-1,40),ROW()-1,FALSE))</f>
        <v>28.741747960000001</v>
      </c>
      <c r="AI106">
        <f ca="1">IF(AND($B$294=1,LEN($AI$239) * LEN($AI$234)&gt;0),$AI$239/$AI$234*100,HLOOKUP(INDIRECT(ADDRESS(2,COLUMN())),OFFSET($AT$2,0,0,ROW()-1,40),ROW()-1,FALSE))</f>
        <v>20.212380840000002</v>
      </c>
      <c r="AJ106">
        <f ca="1">IF(AND($B$294=1,LEN($AJ$239) * LEN($AJ$234)&gt;0),$AJ$239/$AJ$234*100,HLOOKUP(INDIRECT(ADDRESS(2,COLUMN())),OFFSET($AT$2,0,0,ROW()-1,40),ROW()-1,FALSE))</f>
        <v>23.249105799999999</v>
      </c>
      <c r="AK106">
        <f ca="1">IF(AND($B$294=1,LEN($AK$239) * LEN($AK$234)&gt;0),$AK$239/$AK$234*100,HLOOKUP(INDIRECT(ADDRESS(2,COLUMN())),OFFSET($AT$2,0,0,ROW()-1,40),ROW()-1,FALSE))</f>
        <v>25.182730729999999</v>
      </c>
      <c r="AL106">
        <f ca="1">IF(AND($B$294=1,LEN($AL$239) * LEN($AL$234)&gt;0),$AL$239/$AL$234*100,HLOOKUP(INDIRECT(ADDRESS(2,COLUMN())),OFFSET($AT$2,0,0,ROW()-1,40),ROW()-1,FALSE))</f>
        <v>25.612219140000001</v>
      </c>
      <c r="AM106">
        <f ca="1">IF(AND($B$294=1,LEN($AM$239) * LEN($AM$234)&gt;0),$AM$239/$AM$234*100,HLOOKUP(INDIRECT(ADDRESS(2,COLUMN())),OFFSET($AT$2,0,0,ROW()-1,40),ROW()-1,FALSE))</f>
        <v>25.050940910000001</v>
      </c>
      <c r="AN106">
        <f ca="1">IF(AND($B$294=1,LEN($AN$239) * LEN($AN$234)&gt;0),$AN$239/$AN$234*100,HLOOKUP(INDIRECT(ADDRESS(2,COLUMN())),OFFSET($AT$2,0,0,ROW()-1,40),ROW()-1,FALSE))</f>
        <v>19.720837490000001</v>
      </c>
      <c r="AO106">
        <f ca="1">IF(AND($B$294=1,LEN($AO$239) * LEN($AO$234)&gt;0),$AO$239/$AO$234*100,HLOOKUP(INDIRECT(ADDRESS(2,COLUMN())),OFFSET($AT$2,0,0,ROW()-1,40),ROW()-1,FALSE))</f>
        <v>17.642815930000001</v>
      </c>
      <c r="AP106">
        <f ca="1">IF(AND($B$294=1,LEN($AP$239) * LEN($AP$234)&gt;0),$AP$239/$AP$234*100,HLOOKUP(INDIRECT(ADDRESS(2,COLUMN())),OFFSET($AT$2,0,0,ROW()-1,40),ROW()-1,FALSE))</f>
        <v>23.498722319999999</v>
      </c>
      <c r="AQ106">
        <f ca="1">IF(AND($B$294=1,LEN($AQ$239) * LEN($AQ$234)&gt;0),$AQ$239/$AQ$234*100,HLOOKUP(INDIRECT(ADDRESS(2,COLUMN())),OFFSET($AT$2,0,0,ROW()-1,40),ROW()-1,FALSE))</f>
        <v>25.998476440000001</v>
      </c>
      <c r="AR106">
        <f ca="1">IF(AND($B$294=1,LEN($AR$239) * LEN($AR$234)&gt;0),$AR$239/$AR$234*100,HLOOKUP(INDIRECT(ADDRESS(2,COLUMN())),OFFSET($AT$2,0,0,ROW()-1,40),ROW()-1,FALSE))</f>
        <v>27.288021530000002</v>
      </c>
      <c r="AS106">
        <f ca="1">IF(AND($B$294=1,LEN($AS$239) * LEN($AS$234)&gt;0),$AS$239/$AS$234*100,HLOOKUP(INDIRECT(ADDRESS(2,COLUMN())),OFFSET($AT$2,0,0,ROW()-1,40),ROW()-1,FALSE))</f>
        <v>31.602329940000001</v>
      </c>
      <c r="AT106">
        <f>26.96981204</f>
        <v>26.969812040000001</v>
      </c>
      <c r="AU106">
        <f>25.89690722</f>
        <v>25.896907219999999</v>
      </c>
      <c r="AV106">
        <f>32.63732734</f>
        <v>32.637327339999999</v>
      </c>
      <c r="AW106">
        <f>30.89496519</f>
        <v>30.894965190000001</v>
      </c>
      <c r="AX106">
        <f>26.35575893</f>
        <v>26.35575893</v>
      </c>
      <c r="AY106">
        <f>24.28805573</f>
        <v>24.28805573</v>
      </c>
      <c r="AZ106">
        <f>23.17794486</f>
        <v>23.17794486</v>
      </c>
      <c r="BA106">
        <f>26.34920635</f>
        <v>26.349206349999999</v>
      </c>
      <c r="BB106">
        <f>24.57905544</f>
        <v>24.579055440000001</v>
      </c>
      <c r="BC106">
        <f>20.31827861</f>
        <v>20.31827861</v>
      </c>
      <c r="BD106">
        <f>18.18268954</f>
        <v>18.182689539999998</v>
      </c>
      <c r="BE106">
        <f>16.04994845</f>
        <v>16.049948449999999</v>
      </c>
      <c r="BF106">
        <f>21.06683271</f>
        <v>21.06683271</v>
      </c>
      <c r="BG106">
        <f>30.01558239</f>
        <v>30.015582389999999</v>
      </c>
      <c r="BH106">
        <f>28.77495463</f>
        <v>28.77495463</v>
      </c>
      <c r="BI106">
        <f>26.07496681</f>
        <v>26.074966809999999</v>
      </c>
      <c r="BJ106">
        <f>23.83389667</f>
        <v>23.833896670000001</v>
      </c>
      <c r="BK106">
        <f>23.45741968</f>
        <v>23.457419680000001</v>
      </c>
      <c r="BL106">
        <f>22.49408051</f>
        <v>22.49408051</v>
      </c>
      <c r="BM106">
        <f>20.28353326</f>
        <v>20.283533259999999</v>
      </c>
      <c r="BN106">
        <f>24.49930597</f>
        <v>24.499305970000002</v>
      </c>
      <c r="BO106">
        <f>21.51575677</f>
        <v>21.515756769999999</v>
      </c>
      <c r="BP106">
        <f>18.75303486</f>
        <v>18.75303486</v>
      </c>
      <c r="BQ106">
        <f>17.0183727</f>
        <v>17.0183727</v>
      </c>
      <c r="BR106">
        <f>22.39122419</f>
        <v>22.391224189999999</v>
      </c>
      <c r="BS106">
        <f>22.42880172</f>
        <v>22.428801719999999</v>
      </c>
      <c r="BT106">
        <f>30.21625358</f>
        <v>30.21625358</v>
      </c>
      <c r="BU106">
        <f>31.04622871</f>
        <v>31.046228710000001</v>
      </c>
      <c r="BV106">
        <f>28.74174796</f>
        <v>28.741747960000001</v>
      </c>
      <c r="BW106">
        <f>20.21238084</f>
        <v>20.212380840000002</v>
      </c>
      <c r="BX106">
        <f>23.2491058</f>
        <v>23.249105799999999</v>
      </c>
      <c r="BY106">
        <f>25.18273073</f>
        <v>25.182730729999999</v>
      </c>
      <c r="BZ106">
        <f>25.61221914</f>
        <v>25.612219140000001</v>
      </c>
      <c r="CA106">
        <f>25.05094091</f>
        <v>25.050940910000001</v>
      </c>
      <c r="CB106">
        <f>19.72083749</f>
        <v>19.720837490000001</v>
      </c>
      <c r="CC106">
        <f>17.64281593</f>
        <v>17.642815930000001</v>
      </c>
      <c r="CD106">
        <f>23.49872232</f>
        <v>23.498722319999999</v>
      </c>
      <c r="CE106">
        <f>25.99847644</f>
        <v>25.998476440000001</v>
      </c>
      <c r="CF106">
        <f>27.28802153</f>
        <v>27.288021530000002</v>
      </c>
      <c r="CG106">
        <f>31.60232994</f>
        <v>31.602329940000001</v>
      </c>
    </row>
    <row r="107" spans="1:85" x14ac:dyDescent="0.25">
      <c r="A107" t="str">
        <f>"    PACCAR"</f>
        <v xml:space="preserve">    PACCAR</v>
      </c>
      <c r="B107" t="str">
        <f>"PCAR US Equity"</f>
        <v>PCAR US Equity</v>
      </c>
      <c r="E107" t="str">
        <f>"Sum"</f>
        <v>Sum</v>
      </c>
      <c r="F107">
        <f ca="1">IF(ISERROR(IF(SUM($F$108:$F$109) = 0, "", SUM($F$108:$F$109))), "", (IF(SUM($F$108:$F$109) = 0, "", SUM($F$108:$F$109))))</f>
        <v>12.132143535000001</v>
      </c>
      <c r="G107">
        <f ca="1">IF(ISERROR(IF(SUM($G$108:$G$109) = 0, "", SUM($G$108:$G$109))), "", (IF(SUM($G$108:$G$109) = 0, "", SUM($G$108:$G$109))))</f>
        <v>11.701030928</v>
      </c>
      <c r="H107">
        <f ca="1">IF(ISERROR(IF(SUM($H$108:$H$109) = 0, "", SUM($H$108:$H$109))), "", (IF(SUM($H$108:$H$109) = 0, "", SUM($H$108:$H$109))))</f>
        <v>9.1953099900000002</v>
      </c>
      <c r="I107">
        <f ca="1">IF(ISERROR(IF(SUM($I$108:$I$109) = 0, "", SUM($I$108:$I$109))), "", (IF(SUM($I$108:$I$109) = 0, "", SUM($I$108:$I$109))))</f>
        <v>11.754616083</v>
      </c>
      <c r="J107">
        <f ca="1">IF(ISERROR(IF(SUM($J$108:$J$109) = 0, "", SUM($J$108:$J$109))), "", (IF(SUM($J$108:$J$109) = 0, "", SUM($J$108:$J$109))))</f>
        <v>10.748709959999999</v>
      </c>
      <c r="K107">
        <f ca="1">IF(ISERROR(IF(SUM($K$108:$K$109) = 0, "", SUM($K$108:$K$109))), "", (IF(SUM($K$108:$K$109) = 0, "", SUM($K$108:$K$109))))</f>
        <v>11.647203442</v>
      </c>
      <c r="L107">
        <f ca="1">IF(ISERROR(IF(SUM($L$108:$L$109) = 0, "", SUM($L$108:$L$109))), "", (IF(SUM($L$108:$L$109) = 0, "", SUM($L$108:$L$109))))</f>
        <v>10.335839599</v>
      </c>
      <c r="M107">
        <f ca="1">IF(ISERROR(IF(SUM($M$108:$M$109) = 0, "", SUM($M$108:$M$109))), "", (IF(SUM($M$108:$M$109) = 0, "", SUM($M$108:$M$109))))</f>
        <v>9.0793650799999988</v>
      </c>
      <c r="N107">
        <f ca="1">IF(ISERROR(IF(SUM($N$108:$N$109) = 0, "", SUM($N$108:$N$109))), "", (IF(SUM($N$108:$N$109) = 0, "", SUM($N$108:$N$109))))</f>
        <v>7.8131416829999996</v>
      </c>
      <c r="O107">
        <f ca="1">IF(ISERROR(IF(SUM($O$108:$O$109) = 0, "", SUM($O$108:$O$109))), "", (IF(SUM($O$108:$O$109) = 0, "", SUM($O$108:$O$109))))</f>
        <v>8.6854197020000008</v>
      </c>
      <c r="P107">
        <f ca="1">IF(ISERROR(IF(SUM($P$108:$P$109) = 0, "", SUM($P$108:$P$109))), "", (IF(SUM($P$108:$P$109) = 0, "", SUM($P$108:$P$109))))</f>
        <v>14.856704687000001</v>
      </c>
      <c r="Q107">
        <f ca="1">IF(ISERROR(IF(SUM($Q$108:$Q$109) = 0, "", SUM($Q$108:$Q$109))), "", (IF(SUM($Q$108:$Q$109) = 0, "", SUM($Q$108:$Q$109))))</f>
        <v>11.398785656999999</v>
      </c>
      <c r="R107">
        <f ca="1">IF(ISERROR(IF(SUM($R$108:$R$109) = 0, "", SUM($R$108:$R$109))), "", (IF(SUM($R$108:$R$109) = 0, "", SUM($R$108:$R$109))))</f>
        <v>12.785388126999999</v>
      </c>
      <c r="S107">
        <f ca="1">IF(ISERROR(IF(SUM($S$108:$S$109) = 0, "", SUM($S$108:$S$109))), "", (IF(SUM($S$108:$S$109) = 0, "", SUM($S$108:$S$109))))</f>
        <v>10.761589404</v>
      </c>
      <c r="T107">
        <f ca="1">IF(ISERROR(IF(SUM($T$108:$T$109) = 0, "", SUM($T$108:$T$109))), "", (IF(SUM($T$108:$T$109) = 0, "", SUM($T$108:$T$109))))</f>
        <v>10.090744100999999</v>
      </c>
      <c r="U107">
        <f ca="1">IF(ISERROR(IF(SUM($U$108:$U$109) = 0, "", SUM($U$108:$U$109))), "", (IF(SUM($U$108:$U$109) = 0, "", SUM($U$108:$U$109))))</f>
        <v>10.3564498</v>
      </c>
      <c r="V107">
        <f ca="1">IF(ISERROR(IF(SUM($V$108:$V$109) = 0, "", SUM($V$108:$V$109))), "", (IF(SUM($V$108:$V$109) = 0, "", SUM($V$108:$V$109))))</f>
        <v>11.549975858</v>
      </c>
      <c r="W107">
        <f ca="1">IF(ISERROR(IF(SUM($W$108:$W$109) = 0, "", SUM($W$108:$W$109))), "", (IF(SUM($W$108:$W$109) = 0, "", SUM($W$108:$W$109))))</f>
        <v>10.882202958000001</v>
      </c>
      <c r="X107">
        <f ca="1">IF(ISERROR(IF(SUM($X$108:$X$109) = 0, "", SUM($X$108:$X$109))), "", (IF(SUM($X$108:$X$109) = 0, "", SUM($X$108:$X$109))))</f>
        <v>10.68468824</v>
      </c>
      <c r="Y107">
        <f ca="1">IF(ISERROR(IF(SUM($Y$108:$Y$109) = 0, "", SUM($Y$108:$Y$109))), "", (IF(SUM($Y$108:$Y$109) = 0, "", SUM($Y$108:$Y$109))))</f>
        <v>9.5545675699999997</v>
      </c>
      <c r="Z107">
        <f ca="1">IF(ISERROR(IF(SUM($Z$108:$Z$109) = 0, "", SUM($Z$108:$Z$109))), "", (IF(SUM($Z$108:$Z$109) = 0, "", SUM($Z$108:$Z$109))))</f>
        <v>8.6456474320000005</v>
      </c>
      <c r="AA107">
        <f ca="1">IF(ISERROR(IF(SUM($AA$108:$AA$109) = 0, "", SUM($AA$108:$AA$109))), "", (IF(SUM($AA$108:$AA$109) = 0, "", SUM($AA$108:$AA$109))))</f>
        <v>9.3652907240000012</v>
      </c>
      <c r="AB107">
        <f ca="1">IF(ISERROR(IF(SUM($AB$108:$AB$109) = 0, "", SUM($AB$108:$AB$109))), "", (IF(SUM($AB$108:$AB$109) = 0, "", SUM($AB$108:$AB$109))))</f>
        <v>14.266291153000001</v>
      </c>
      <c r="AC107">
        <f ca="1">IF(ISERROR(IF(SUM($AC$108:$AC$109) = 0, "", SUM($AC$108:$AC$109))), "", (IF(SUM($AC$108:$AC$109) = 0, "", SUM($AC$108:$AC$109))))</f>
        <v>11.926509187000001</v>
      </c>
      <c r="AD107">
        <f ca="1">IF(ISERROR(IF(SUM($AD$108:$AD$109) = 0, "", SUM($AD$108:$AD$109))), "", (IF(SUM($AD$108:$AD$109) = 0, "", SUM($AD$108:$AD$109))))</f>
        <v>10.564159291999999</v>
      </c>
      <c r="AE107">
        <f ca="1">IF(ISERROR(IF(SUM($AE$108:$AE$109) = 0, "", SUM($AE$108:$AE$109))), "", (IF(SUM($AE$108:$AE$109) = 0, "", SUM($AE$108:$AE$109))))</f>
        <v>14.755507792</v>
      </c>
      <c r="AF107">
        <f ca="1">IF(ISERROR(IF(SUM($AF$108:$AF$109) = 0, "", SUM($AF$108:$AF$109))), "", (IF(SUM($AF$108:$AF$109) = 0, "", SUM($AF$108:$AF$109))))</f>
        <v>13.459069813999999</v>
      </c>
      <c r="AG107">
        <f ca="1">IF(ISERROR(IF(SUM($AG$108:$AG$109) = 0, "", SUM($AG$108:$AG$109))), "", (IF(SUM($AG$108:$AG$109) = 0, "", SUM($AG$108:$AG$109))))</f>
        <v>13.304136252999999</v>
      </c>
      <c r="AH107">
        <f ca="1">IF(ISERROR(IF(SUM($AH$108:$AH$109) = 0, "", SUM($AH$108:$AH$109))), "", (IF(SUM($AH$108:$AH$109) = 0, "", SUM($AH$108:$AH$109))))</f>
        <v>10.069957631000001</v>
      </c>
      <c r="AI107">
        <f ca="1">IF(ISERROR(IF(SUM($AI$108:$AI$109) = 0, "", SUM($AI$108:$AI$109))), "", (IF(SUM($AI$108:$AI$109) = 0, "", SUM($AI$108:$AI$109))))</f>
        <v>11.572342222</v>
      </c>
      <c r="AJ107">
        <f ca="1">IF(ISERROR(IF(SUM($AJ$108:$AJ$109) = 0, "", SUM($AJ$108:$AJ$109))), "", (IF(SUM($AJ$108:$AJ$109) = 0, "", SUM($AJ$108:$AJ$109))))</f>
        <v>11.27264336</v>
      </c>
      <c r="AK107">
        <f ca="1">IF(ISERROR(IF(SUM($AK$108:$AK$109) = 0, "", SUM($AK$108:$AK$109))), "", (IF(SUM($AK$108:$AK$109) = 0, "", SUM($AK$108:$AK$109))))</f>
        <v>8.7613293050000003</v>
      </c>
      <c r="AL107">
        <f ca="1">IF(ISERROR(IF(SUM($AL$108:$AL$109) = 0, "", SUM($AL$108:$AL$109))), "", (IF(SUM($AL$108:$AL$109) = 0, "", SUM($AL$108:$AL$109))))</f>
        <v>8.634183286999999</v>
      </c>
      <c r="AM107">
        <f ca="1">IF(ISERROR(IF(SUM($AM$108:$AM$109) = 0, "", SUM($AM$108:$AM$109))), "", (IF(SUM($AM$108:$AM$109) = 0, "", SUM($AM$108:$AM$109))))</f>
        <v>10.284070478</v>
      </c>
      <c r="AN107">
        <f ca="1">IF(ISERROR(IF(SUM($AN$108:$AN$109) = 0, "", SUM($AN$108:$AN$109))), "", (IF(SUM($AN$108:$AN$109) = 0, "", SUM($AN$108:$AN$109))))</f>
        <v>12.711864406</v>
      </c>
      <c r="AO107">
        <f ca="1">IF(ISERROR(IF(SUM($AO$108:$AO$109) = 0, "", SUM($AO$108:$AO$109))), "", (IF(SUM($AO$108:$AO$109) = 0, "", SUM($AO$108:$AO$109))))</f>
        <v>13.920946336</v>
      </c>
      <c r="AP107">
        <f ca="1">IF(ISERROR(IF(SUM($AP$108:$AP$109) = 0, "", SUM($AP$108:$AP$109))), "", (IF(SUM($AP$108:$AP$109) = 0, "", SUM($AP$108:$AP$109))))</f>
        <v>10.008517887</v>
      </c>
      <c r="AQ107">
        <f ca="1">IF(ISERROR(IF(SUM($AQ$108:$AQ$109) = 0, "", SUM($AQ$108:$AQ$109))), "", (IF(SUM($AQ$108:$AQ$109) = 0, "", SUM($AQ$108:$AQ$109))))</f>
        <v>10.414626183999999</v>
      </c>
      <c r="AR107">
        <f ca="1">IF(ISERROR(IF(SUM($AR$108:$AR$109) = 0, "", SUM($AR$108:$AR$109))), "", (IF(SUM($AR$108:$AR$109) = 0, "", SUM($AR$108:$AR$109))))</f>
        <v>9.5109914760000009</v>
      </c>
      <c r="AS107">
        <f ca="1">IF(ISERROR(IF(SUM($AS$108:$AS$109) = 0, "", SUM($AS$108:$AS$109))), "", (IF(SUM($AS$108:$AS$109) = 0, "", SUM($AS$108:$AS$109))))</f>
        <v>10.672326982</v>
      </c>
      <c r="AT107">
        <f>12.13214354</f>
        <v>12.13214354</v>
      </c>
      <c r="AU107">
        <f>11.70103093</f>
        <v>11.70103093</v>
      </c>
      <c r="AV107">
        <f>9.19530999</f>
        <v>9.1953099900000002</v>
      </c>
      <c r="AW107">
        <f>11.75461608</f>
        <v>11.75461608</v>
      </c>
      <c r="AX107">
        <f>10.74870996</f>
        <v>10.748709959999999</v>
      </c>
      <c r="AY107">
        <f>11.64720344</f>
        <v>11.64720344</v>
      </c>
      <c r="AZ107">
        <f>10.3358396</f>
        <v>10.3358396</v>
      </c>
      <c r="BA107">
        <f>9.079365079</f>
        <v>9.0793650790000004</v>
      </c>
      <c r="BB107">
        <f>7.813141684</f>
        <v>7.8131416839999996</v>
      </c>
      <c r="BC107">
        <f>8.685419702</f>
        <v>8.6854197020000008</v>
      </c>
      <c r="BD107">
        <f>14.85670469</f>
        <v>14.856704690000001</v>
      </c>
      <c r="BE107">
        <f>11.39878566</f>
        <v>11.39878566</v>
      </c>
      <c r="BF107">
        <f>12.78538813</f>
        <v>12.785388129999999</v>
      </c>
      <c r="BG107">
        <f>10.7615894</f>
        <v>10.7615894</v>
      </c>
      <c r="BH107">
        <f>10.0907441</f>
        <v>10.0907441</v>
      </c>
      <c r="BI107">
        <f>10.3564498</f>
        <v>10.3564498</v>
      </c>
      <c r="BJ107">
        <f>11.54997586</f>
        <v>11.54997586</v>
      </c>
      <c r="BK107">
        <f>10.88220296</f>
        <v>10.882202960000001</v>
      </c>
      <c r="BL107">
        <f>10.68468824</f>
        <v>10.68468824</v>
      </c>
      <c r="BM107">
        <f>9.55456757</f>
        <v>9.5545675699999997</v>
      </c>
      <c r="BN107">
        <f>8.645647432</f>
        <v>8.6456474320000005</v>
      </c>
      <c r="BO107">
        <f>9.365290723</f>
        <v>9.3652907229999993</v>
      </c>
      <c r="BP107">
        <f>14.26629115</f>
        <v>14.266291150000001</v>
      </c>
      <c r="BQ107">
        <f>11.92650919</f>
        <v>11.926509190000001</v>
      </c>
      <c r="BR107">
        <f>10.56415929</f>
        <v>10.564159289999999</v>
      </c>
      <c r="BS107">
        <f>14.75550779</f>
        <v>14.755507789999999</v>
      </c>
      <c r="BT107">
        <f>13.45906981</f>
        <v>13.459069810000001</v>
      </c>
      <c r="BU107">
        <f>13.30413625</f>
        <v>13.304136250000001</v>
      </c>
      <c r="BV107">
        <f>10.06995763</f>
        <v>10.069957629999999</v>
      </c>
      <c r="BW107">
        <f>11.57234222</f>
        <v>11.572342219999999</v>
      </c>
      <c r="BX107">
        <f>11.27264336</f>
        <v>11.27264336</v>
      </c>
      <c r="BY107">
        <f>8.761329305</f>
        <v>8.7613293050000003</v>
      </c>
      <c r="BZ107">
        <f>8.634183287</f>
        <v>8.6341832870000008</v>
      </c>
      <c r="CA107">
        <f>10.28407048</f>
        <v>10.28407048</v>
      </c>
      <c r="CB107">
        <f>12.71186441</f>
        <v>12.71186441</v>
      </c>
      <c r="CC107">
        <f>13.92094634</f>
        <v>13.92094634</v>
      </c>
      <c r="CD107">
        <f>10.00851789</f>
        <v>10.00851789</v>
      </c>
      <c r="CE107">
        <f>10.41462618</f>
        <v>10.414626180000001</v>
      </c>
      <c r="CF107">
        <f>9.510991476</f>
        <v>9.5109914759999992</v>
      </c>
      <c r="CG107">
        <f>10.67232698</f>
        <v>10.672326979999999</v>
      </c>
    </row>
    <row r="108" spans="1:85" x14ac:dyDescent="0.25">
      <c r="A108" t="str">
        <f>"        Kenworth"</f>
        <v xml:space="preserve">        Kenworth</v>
      </c>
      <c r="B108" t="str">
        <f>"PCAR US Equity"</f>
        <v>PCAR US Equity</v>
      </c>
      <c r="E108" t="str">
        <f>"Expression"</f>
        <v>Expression</v>
      </c>
      <c r="F108">
        <f ca="1">IF(AND($B$294=1,LEN($F$240) * LEN($F$234)&gt;0),$F$240/$F$234*100,HLOOKUP(INDIRECT(ADDRESS(2,COLUMN())),OFFSET($AT$2,0,0,ROW()-1,40),ROW()-1,FALSE))</f>
        <v>5.8192519459999996</v>
      </c>
      <c r="G108">
        <f ca="1">IF(AND($B$294=1,LEN($G$240) * LEN($G$234)&gt;0),$G$240/$G$234*100,HLOOKUP(INDIRECT(ADDRESS(2,COLUMN())),OFFSET($AT$2,0,0,ROW()-1,40),ROW()-1,FALSE))</f>
        <v>6.3298969070000002</v>
      </c>
      <c r="H108">
        <f ca="1">IF(AND($B$294=1,LEN($H$240) * LEN($H$234)&gt;0),$H$240/$H$234*100,HLOOKUP(INDIRECT(ADDRESS(2,COLUMN())),OFFSET($AT$2,0,0,ROW()-1,40),ROW()-1,FALSE))</f>
        <v>5.0915515579999999</v>
      </c>
      <c r="I108">
        <f ca="1">IF(AND($B$294=1,LEN($I$240) * LEN($I$234)&gt;0),$I$240/$I$234*100,HLOOKUP(INDIRECT(ADDRESS(2,COLUMN())),OFFSET($AT$2,0,0,ROW()-1,40),ROW()-1,FALSE))</f>
        <v>6.5482796890000001</v>
      </c>
      <c r="J108">
        <f ca="1">IF(AND($B$294=1,LEN($J$240) * LEN($J$234)&gt;0),$J$240/$J$234*100,HLOOKUP(INDIRECT(ADDRESS(2,COLUMN())),OFFSET($AT$2,0,0,ROW()-1,40),ROW()-1,FALSE))</f>
        <v>6.0850939540000004</v>
      </c>
      <c r="K108">
        <f ca="1">IF(AND($B$294=1,LEN($K$240) * LEN($K$234)&gt;0),$K$240/$K$234*100,HLOOKUP(INDIRECT(ADDRESS(2,COLUMN())),OFFSET($AT$2,0,0,ROW()-1,40),ROW()-1,FALSE))</f>
        <v>6.2487195250000003</v>
      </c>
      <c r="L108">
        <f ca="1">IF(AND($B$294=1,LEN($L$240) * LEN($L$234)&gt;0),$L$240/$L$234*100,HLOOKUP(INDIRECT(ADDRESS(2,COLUMN())),OFFSET($AT$2,0,0,ROW()-1,40),ROW()-1,FALSE))</f>
        <v>6.1052631579999996</v>
      </c>
      <c r="M108">
        <f ca="1">IF(AND($B$294=1,LEN($M$240) * LEN($M$234)&gt;0),$M$240/$M$234*100,HLOOKUP(INDIRECT(ADDRESS(2,COLUMN())),OFFSET($AT$2,0,0,ROW()-1,40),ROW()-1,FALSE))</f>
        <v>4.5238095239999998</v>
      </c>
      <c r="N108">
        <f ca="1">IF(AND($B$294=1,LEN($N$240) * LEN($N$234)&gt;0),$N$240/$N$234*100,HLOOKUP(INDIRECT(ADDRESS(2,COLUMN())),OFFSET($AT$2,0,0,ROW()-1,40),ROW()-1,FALSE))</f>
        <v>3.6242299789999999</v>
      </c>
      <c r="O108">
        <f ca="1">IF(AND($B$294=1,LEN($O$240) * LEN($O$234)&gt;0),$O$240/$O$234*100,HLOOKUP(INDIRECT(ADDRESS(2,COLUMN())),OFFSET($AT$2,0,0,ROW()-1,40),ROW()-1,FALSE))</f>
        <v>4.6733161489999997</v>
      </c>
      <c r="P108">
        <f ca="1">IF(AND($B$294=1,LEN($P$240) * LEN($P$234)&gt;0),$P$240/$P$234*100,HLOOKUP(INDIRECT(ADDRESS(2,COLUMN())),OFFSET($AT$2,0,0,ROW()-1,40),ROW()-1,FALSE))</f>
        <v>7.8117511740000003</v>
      </c>
      <c r="Q108">
        <f ca="1">IF(AND($B$294=1,LEN($Q$240) * LEN($Q$234)&gt;0),$Q$240/$Q$234*100,HLOOKUP(INDIRECT(ADDRESS(2,COLUMN())),OFFSET($AT$2,0,0,ROW()-1,40),ROW()-1,FALSE))</f>
        <v>6.3122923589999997</v>
      </c>
      <c r="R108">
        <f ca="1">IF(AND($B$294=1,LEN($R$240) * LEN($R$234)&gt;0),$R$240/$R$234*100,HLOOKUP(INDIRECT(ADDRESS(2,COLUMN())),OFFSET($AT$2,0,0,ROW()-1,40),ROW()-1,FALSE))</f>
        <v>7.0464923199999996</v>
      </c>
      <c r="S108">
        <f ca="1">IF(AND($B$294=1,LEN($S$240) * LEN($S$234)&gt;0),$S$240/$S$234*100,HLOOKUP(INDIRECT(ADDRESS(2,COLUMN())),OFFSET($AT$2,0,0,ROW()-1,40),ROW()-1,FALSE))</f>
        <v>5.5025321390000004</v>
      </c>
      <c r="T108">
        <f ca="1">IF(AND($B$294=1,LEN($T$240) * LEN($T$234)&gt;0),$T$240/$T$234*100,HLOOKUP(INDIRECT(ADDRESS(2,COLUMN())),OFFSET($AT$2,0,0,ROW()-1,40),ROW()-1,FALSE))</f>
        <v>5.7894736839999998</v>
      </c>
      <c r="U108">
        <f ca="1">IF(AND($B$294=1,LEN($U$240) * LEN($U$234)&gt;0),$U$240/$U$234*100,HLOOKUP(INDIRECT(ADDRESS(2,COLUMN())),OFFSET($AT$2,0,0,ROW()-1,40),ROW()-1,FALSE))</f>
        <v>5.1169441320000004</v>
      </c>
      <c r="V108">
        <f ca="1">IF(AND($B$294=1,LEN($V$240) * LEN($V$234)&gt;0),$V$240/$V$234*100,HLOOKUP(INDIRECT(ADDRESS(2,COLUMN())),OFFSET($AT$2,0,0,ROW()-1,40),ROW()-1,FALSE))</f>
        <v>6.2481892810000002</v>
      </c>
      <c r="W108">
        <f ca="1">IF(AND($B$294=1,LEN($W$240) * LEN($W$234)&gt;0),$W$240/$W$234*100,HLOOKUP(INDIRECT(ADDRESS(2,COLUMN())),OFFSET($AT$2,0,0,ROW()-1,40),ROW()-1,FALSE))</f>
        <v>6.3539010710000001</v>
      </c>
      <c r="X108">
        <f ca="1">IF(AND($B$294=1,LEN($X$240) * LEN($X$234)&gt;0),$X$240/$X$234*100,HLOOKUP(INDIRECT(ADDRESS(2,COLUMN())),OFFSET($AT$2,0,0,ROW()-1,40),ROW()-1,FALSE))</f>
        <v>5.712312549</v>
      </c>
      <c r="Y108">
        <f ca="1">IF(AND($B$294=1,LEN($Y$240) * LEN($Y$234)&gt;0),$Y$240/$Y$234*100,HLOOKUP(INDIRECT(ADDRESS(2,COLUMN())),OFFSET($AT$2,0,0,ROW()-1,40),ROW()-1,FALSE))</f>
        <v>5.0750775939999997</v>
      </c>
      <c r="Z108">
        <f ca="1">IF(AND($B$294=1,LEN($Z$240) * LEN($Z$234)&gt;0),$Z$240/$Z$234*100,HLOOKUP(INDIRECT(ADDRESS(2,COLUMN())),OFFSET($AT$2,0,0,ROW()-1,40),ROW()-1,FALSE))</f>
        <v>4.0650406500000003</v>
      </c>
      <c r="AA108">
        <f ca="1">IF(AND($B$294=1,LEN($AA$240) * LEN($AA$234)&gt;0),$AA$240/$AA$234*100,HLOOKUP(INDIRECT(ADDRESS(2,COLUMN())),OFFSET($AT$2,0,0,ROW()-1,40),ROW()-1,FALSE))</f>
        <v>4.3164669330000001</v>
      </c>
      <c r="AB108">
        <f ca="1">IF(AND($B$294=1,LEN($AB$240) * LEN($AB$234)&gt;0),$AB$240/$AB$234*100,HLOOKUP(INDIRECT(ADDRESS(2,COLUMN())),OFFSET($AT$2,0,0,ROW()-1,40),ROW()-1,FALSE))</f>
        <v>7.7692531809999998</v>
      </c>
      <c r="AC108">
        <f ca="1">IF(AND($B$294=1,LEN($AC$240) * LEN($AC$234)&gt;0),$AC$240/$AC$234*100,HLOOKUP(INDIRECT(ADDRESS(2,COLUMN())),OFFSET($AT$2,0,0,ROW()-1,40),ROW()-1,FALSE))</f>
        <v>6.8556430449999999</v>
      </c>
      <c r="AD108">
        <f ca="1">IF(AND($B$294=1,LEN($AD$240) * LEN($AD$234)&gt;0),$AD$240/$AD$234*100,HLOOKUP(INDIRECT(ADDRESS(2,COLUMN())),OFFSET($AT$2,0,0,ROW()-1,40),ROW()-1,FALSE))</f>
        <v>5.8075221240000001</v>
      </c>
      <c r="AE108">
        <f ca="1">IF(AND($B$294=1,LEN($AE$240) * LEN($AE$234)&gt;0),$AE$240/$AE$234*100,HLOOKUP(INDIRECT(ADDRESS(2,COLUMN())),OFFSET($AT$2,0,0,ROW()-1,40),ROW()-1,FALSE))</f>
        <v>7.3293927999999999</v>
      </c>
      <c r="AF108">
        <f ca="1">IF(AND($B$294=1,LEN($AF$240) * LEN($AF$234)&gt;0),$AF$240/$AF$234*100,HLOOKUP(INDIRECT(ADDRESS(2,COLUMN())),OFFSET($AT$2,0,0,ROW()-1,40),ROW()-1,FALSE))</f>
        <v>8.0181692509999998</v>
      </c>
      <c r="AG108">
        <f ca="1">IF(AND($B$294=1,LEN($AG$240) * LEN($AG$234)&gt;0),$AG$240/$AG$234*100,HLOOKUP(INDIRECT(ADDRESS(2,COLUMN())),OFFSET($AT$2,0,0,ROW()-1,40),ROW()-1,FALSE))</f>
        <v>7.6301703160000001</v>
      </c>
      <c r="AH108">
        <f ca="1">IF(AND($B$294=1,LEN($AH$240) * LEN($AH$234)&gt;0),$AH$240/$AH$234*100,HLOOKUP(INDIRECT(ADDRESS(2,COLUMN())),OFFSET($AT$2,0,0,ROW()-1,40),ROW()-1,FALSE))</f>
        <v>4.54231944</v>
      </c>
      <c r="AI108">
        <f ca="1">IF(AND($B$294=1,LEN($AI$240) * LEN($AI$234)&gt;0),$AI$240/$AI$234*100,HLOOKUP(INDIRECT(ADDRESS(2,COLUMN())),OFFSET($AT$2,0,0,ROW()-1,40),ROW()-1,FALSE))</f>
        <v>6.2628212860000003</v>
      </c>
      <c r="AJ108">
        <f ca="1">IF(AND($B$294=1,LEN($AJ$240) * LEN($AJ$234)&gt;0),$AJ$240/$AJ$234*100,HLOOKUP(INDIRECT(ADDRESS(2,COLUMN())),OFFSET($AT$2,0,0,ROW()-1,40),ROW()-1,FALSE))</f>
        <v>5.5382485289999996</v>
      </c>
      <c r="AK108">
        <f ca="1">IF(AND($B$294=1,LEN($AK$240) * LEN($AK$234)&gt;0),$AK$240/$AK$234*100,HLOOKUP(INDIRECT(ADDRESS(2,COLUMN())),OFFSET($AT$2,0,0,ROW()-1,40),ROW()-1,FALSE))</f>
        <v>4.1418965009999997</v>
      </c>
      <c r="AL108">
        <f ca="1">IF(AND($B$294=1,LEN($AL$240) * LEN($AL$234)&gt;0),$AL$240/$AL$234*100,HLOOKUP(INDIRECT(ADDRESS(2,COLUMN())),OFFSET($AT$2,0,0,ROW()-1,40),ROW()-1,FALSE))</f>
        <v>4.4306993180000003</v>
      </c>
      <c r="AM108">
        <f ca="1">IF(AND($B$294=1,LEN($AM$240) * LEN($AM$234)&gt;0),$AM$240/$AM$234*100,HLOOKUP(INDIRECT(ADDRESS(2,COLUMN())),OFFSET($AT$2,0,0,ROW()-1,40),ROW()-1,FALSE))</f>
        <v>5.7053817569999996</v>
      </c>
      <c r="AN108">
        <f ca="1">IF(AND($B$294=1,LEN($AN$240) * LEN($AN$234)&gt;0),$AN$240/$AN$234*100,HLOOKUP(INDIRECT(ADDRESS(2,COLUMN())),OFFSET($AT$2,0,0,ROW()-1,40),ROW()-1,FALSE))</f>
        <v>7.3579262209999996</v>
      </c>
      <c r="AO108">
        <f ca="1">IF(AND($B$294=1,LEN($AO$240) * LEN($AO$234)&gt;0),$AO$240/$AO$234*100,HLOOKUP(INDIRECT(ADDRESS(2,COLUMN())),OFFSET($AT$2,0,0,ROW()-1,40),ROW()-1,FALSE))</f>
        <v>7.1407963069999996</v>
      </c>
      <c r="AP108">
        <f ca="1">IF(AND($B$294=1,LEN($AP$240) * LEN($AP$234)&gt;0),$AP$240/$AP$234*100,HLOOKUP(INDIRECT(ADDRESS(2,COLUMN())),OFFSET($AT$2,0,0,ROW()-1,40),ROW()-1,FALSE))</f>
        <v>5.1320272569999998</v>
      </c>
      <c r="AQ108">
        <f ca="1">IF(AND($B$294=1,LEN($AQ$240) * LEN($AQ$234)&gt;0),$AQ$240/$AQ$234*100,HLOOKUP(INDIRECT(ADDRESS(2,COLUMN())),OFFSET($AT$2,0,0,ROW()-1,40),ROW()-1,FALSE))</f>
        <v>5.8983567309999998</v>
      </c>
      <c r="AR108">
        <f ca="1">IF(AND($B$294=1,LEN($AR$240) * LEN($AR$234)&gt;0),$AR$240/$AR$234*100,HLOOKUP(INDIRECT(ADDRESS(2,COLUMN())),OFFSET($AT$2,0,0,ROW()-1,40),ROW()-1,FALSE))</f>
        <v>4.9125168239999999</v>
      </c>
      <c r="AS108">
        <f ca="1">IF(AND($B$294=1,LEN($AS$240) * LEN($AS$234)&gt;0),$AS$240/$AS$234*100,HLOOKUP(INDIRECT(ADDRESS(2,COLUMN())),OFFSET($AT$2,0,0,ROW()-1,40),ROW()-1,FALSE))</f>
        <v>6.4369631749999998</v>
      </c>
      <c r="AT108">
        <f>5.819251946</f>
        <v>5.8192519459999996</v>
      </c>
      <c r="AU108">
        <f>6.329896907</f>
        <v>6.3298969070000002</v>
      </c>
      <c r="AV108">
        <f>5.091551558</f>
        <v>5.0915515579999999</v>
      </c>
      <c r="AW108">
        <f>6.548279689</f>
        <v>6.5482796890000001</v>
      </c>
      <c r="AX108">
        <f>6.085093954</f>
        <v>6.0850939540000004</v>
      </c>
      <c r="AY108">
        <f>6.248719525</f>
        <v>6.2487195250000003</v>
      </c>
      <c r="AZ108">
        <f>6.105263158</f>
        <v>6.1052631579999996</v>
      </c>
      <c r="BA108">
        <f>4.523809524</f>
        <v>4.5238095239999998</v>
      </c>
      <c r="BB108">
        <f>3.624229979</f>
        <v>3.6242299789999999</v>
      </c>
      <c r="BC108">
        <f>4.673316149</f>
        <v>4.6733161489999997</v>
      </c>
      <c r="BD108">
        <f>7.811751174</f>
        <v>7.8117511740000003</v>
      </c>
      <c r="BE108">
        <f>6.312292359</f>
        <v>6.3122923589999997</v>
      </c>
      <c r="BF108">
        <f>7.04649232</f>
        <v>7.0464923199999996</v>
      </c>
      <c r="BG108">
        <f>5.502532139</f>
        <v>5.5025321390000004</v>
      </c>
      <c r="BH108">
        <f>5.789473684</f>
        <v>5.7894736839999998</v>
      </c>
      <c r="BI108">
        <f>5.116944132</f>
        <v>5.1169441320000004</v>
      </c>
      <c r="BJ108">
        <f>6.248189281</f>
        <v>6.2481892810000002</v>
      </c>
      <c r="BK108">
        <f>6.353901071</f>
        <v>6.3539010710000001</v>
      </c>
      <c r="BL108">
        <f>5.712312549</f>
        <v>5.712312549</v>
      </c>
      <c r="BM108">
        <f>5.075077594</f>
        <v>5.0750775939999997</v>
      </c>
      <c r="BN108">
        <f>4.06504065</f>
        <v>4.0650406500000003</v>
      </c>
      <c r="BO108">
        <f>4.316466933</f>
        <v>4.3164669330000001</v>
      </c>
      <c r="BP108">
        <f>7.769253181</f>
        <v>7.7692531809999998</v>
      </c>
      <c r="BQ108">
        <f>6.855643045</f>
        <v>6.8556430449999999</v>
      </c>
      <c r="BR108">
        <f>5.807522124</f>
        <v>5.8075221240000001</v>
      </c>
      <c r="BS108">
        <f>7.3293928</f>
        <v>7.3293927999999999</v>
      </c>
      <c r="BT108">
        <f>8.018169251</f>
        <v>8.0181692509999998</v>
      </c>
      <c r="BU108">
        <f>7.630170316</f>
        <v>7.6301703160000001</v>
      </c>
      <c r="BV108">
        <f>4.54231944</f>
        <v>4.54231944</v>
      </c>
      <c r="BW108">
        <f>6.262821286</f>
        <v>6.2628212860000003</v>
      </c>
      <c r="BX108">
        <f>5.538248529</f>
        <v>5.5382485289999996</v>
      </c>
      <c r="BY108">
        <f>4.141896501</f>
        <v>4.1418965009999997</v>
      </c>
      <c r="BZ108">
        <f>4.430699318</f>
        <v>4.4306993180000003</v>
      </c>
      <c r="CA108">
        <f>5.705381757</f>
        <v>5.7053817569999996</v>
      </c>
      <c r="CB108">
        <f>7.357926221</f>
        <v>7.3579262209999996</v>
      </c>
      <c r="CC108">
        <f>7.140796307</f>
        <v>7.1407963069999996</v>
      </c>
      <c r="CD108">
        <f>5.132027257</f>
        <v>5.1320272569999998</v>
      </c>
      <c r="CE108">
        <f>5.898356731</f>
        <v>5.8983567309999998</v>
      </c>
      <c r="CF108">
        <f>4.912516824</f>
        <v>4.9125168239999999</v>
      </c>
      <c r="CG108">
        <f>6.436963175</f>
        <v>6.4369631749999998</v>
      </c>
    </row>
    <row r="109" spans="1:85" x14ac:dyDescent="0.25">
      <c r="A109" t="str">
        <f>"        Peterbilt"</f>
        <v xml:space="preserve">        Peterbilt</v>
      </c>
      <c r="B109" t="str">
        <f>"PCAR US Equity"</f>
        <v>PCAR US Equity</v>
      </c>
      <c r="E109" t="str">
        <f>"Expression"</f>
        <v>Expression</v>
      </c>
      <c r="F109">
        <f ca="1">IF(AND($B$294=1,LEN($F$241) * LEN($F$234)&gt;0),$F$241/$F$234*100,HLOOKUP(INDIRECT(ADDRESS(2,COLUMN())),OFFSET($AT$2,0,0,ROW()-1,40),ROW()-1,FALSE))</f>
        <v>6.3128915890000004</v>
      </c>
      <c r="G109">
        <f ca="1">IF(AND($B$294=1,LEN($G$241) * LEN($G$234)&gt;0),$G$241/$G$234*100,HLOOKUP(INDIRECT(ADDRESS(2,COLUMN())),OFFSET($AT$2,0,0,ROW()-1,40),ROW()-1,FALSE))</f>
        <v>5.3711340209999996</v>
      </c>
      <c r="H109">
        <f ca="1">IF(AND($B$294=1,LEN($H$241) * LEN($H$234)&gt;0),$H$241/$H$234*100,HLOOKUP(INDIRECT(ADDRESS(2,COLUMN())),OFFSET($AT$2,0,0,ROW()-1,40),ROW()-1,FALSE))</f>
        <v>4.1037584320000002</v>
      </c>
      <c r="I109">
        <f ca="1">IF(AND($B$294=1,LEN($I$241) * LEN($I$234)&gt;0),$I$241/$I$234*100,HLOOKUP(INDIRECT(ADDRESS(2,COLUMN())),OFFSET($AT$2,0,0,ROW()-1,40),ROW()-1,FALSE))</f>
        <v>5.206336394</v>
      </c>
      <c r="J109">
        <f ca="1">IF(AND($B$294=1,LEN($J$241) * LEN($J$234)&gt;0),$J$241/$J$234*100,HLOOKUP(INDIRECT(ADDRESS(2,COLUMN())),OFFSET($AT$2,0,0,ROW()-1,40),ROW()-1,FALSE))</f>
        <v>4.6636160059999998</v>
      </c>
      <c r="K109">
        <f ca="1">IF(AND($B$294=1,LEN($K$241) * LEN($K$234)&gt;0),$K$241/$K$234*100,HLOOKUP(INDIRECT(ADDRESS(2,COLUMN())),OFFSET($AT$2,0,0,ROW()-1,40),ROW()-1,FALSE))</f>
        <v>5.3984839170000001</v>
      </c>
      <c r="L109">
        <f ca="1">IF(AND($B$294=1,LEN($L$241) * LEN($L$234)&gt;0),$L$241/$L$234*100,HLOOKUP(INDIRECT(ADDRESS(2,COLUMN())),OFFSET($AT$2,0,0,ROW()-1,40),ROW()-1,FALSE))</f>
        <v>4.2305764410000002</v>
      </c>
      <c r="M109">
        <f ca="1">IF(AND($B$294=1,LEN($M$241) * LEN($M$234)&gt;0),$M$241/$M$234*100,HLOOKUP(INDIRECT(ADDRESS(2,COLUMN())),OFFSET($AT$2,0,0,ROW()-1,40),ROW()-1,FALSE))</f>
        <v>4.5555555559999998</v>
      </c>
      <c r="N109">
        <f ca="1">IF(AND($B$294=1,LEN($N$241) * LEN($N$234)&gt;0),$N$241/$N$234*100,HLOOKUP(INDIRECT(ADDRESS(2,COLUMN())),OFFSET($AT$2,0,0,ROW()-1,40),ROW()-1,FALSE))</f>
        <v>4.1889117039999997</v>
      </c>
      <c r="O109">
        <f ca="1">IF(AND($B$294=1,LEN($O$241) * LEN($O$234)&gt;0),$O$241/$O$234*100,HLOOKUP(INDIRECT(ADDRESS(2,COLUMN())),OFFSET($AT$2,0,0,ROW()-1,40),ROW()-1,FALSE))</f>
        <v>4.0121035530000002</v>
      </c>
      <c r="P109">
        <f ca="1">IF(AND($B$294=1,LEN($P$241) * LEN($P$234)&gt;0),$P$241/$P$234*100,HLOOKUP(INDIRECT(ADDRESS(2,COLUMN())),OFFSET($AT$2,0,0,ROW()-1,40),ROW()-1,FALSE))</f>
        <v>7.0449535130000003</v>
      </c>
      <c r="Q109">
        <f ca="1">IF(AND($B$294=1,LEN($Q$241) * LEN($Q$234)&gt;0),$Q$241/$Q$234*100,HLOOKUP(INDIRECT(ADDRESS(2,COLUMN())),OFFSET($AT$2,0,0,ROW()-1,40),ROW()-1,FALSE))</f>
        <v>5.0864932979999997</v>
      </c>
      <c r="R109">
        <f ca="1">IF(AND($B$294=1,LEN($R$241) * LEN($R$234)&gt;0),$R$241/$R$234*100,HLOOKUP(INDIRECT(ADDRESS(2,COLUMN())),OFFSET($AT$2,0,0,ROW()-1,40),ROW()-1,FALSE))</f>
        <v>5.7388958069999996</v>
      </c>
      <c r="S109">
        <f ca="1">IF(AND($B$294=1,LEN($S$241) * LEN($S$234)&gt;0),$S$241/$S$234*100,HLOOKUP(INDIRECT(ADDRESS(2,COLUMN())),OFFSET($AT$2,0,0,ROW()-1,40),ROW()-1,FALSE))</f>
        <v>5.259057265</v>
      </c>
      <c r="T109">
        <f ca="1">IF(AND($B$294=1,LEN($T$241) * LEN($T$234)&gt;0),$T$241/$T$234*100,HLOOKUP(INDIRECT(ADDRESS(2,COLUMN())),OFFSET($AT$2,0,0,ROW()-1,40),ROW()-1,FALSE))</f>
        <v>4.3012704169999996</v>
      </c>
      <c r="U109">
        <f ca="1">IF(AND($B$294=1,LEN($U$241) * LEN($U$234)&gt;0),$U$241/$U$234*100,HLOOKUP(INDIRECT(ADDRESS(2,COLUMN())),OFFSET($AT$2,0,0,ROW()-1,40),ROW()-1,FALSE))</f>
        <v>5.2395056679999996</v>
      </c>
      <c r="V109">
        <f ca="1">IF(AND($B$294=1,LEN($V$241) * LEN($V$234)&gt;0),$V$241/$V$234*100,HLOOKUP(INDIRECT(ADDRESS(2,COLUMN())),OFFSET($AT$2,0,0,ROW()-1,40),ROW()-1,FALSE))</f>
        <v>5.3017865769999997</v>
      </c>
      <c r="W109">
        <f ca="1">IF(AND($B$294=1,LEN($W$241) * LEN($W$234)&gt;0),$W$241/$W$234*100,HLOOKUP(INDIRECT(ADDRESS(2,COLUMN())),OFFSET($AT$2,0,0,ROW()-1,40),ROW()-1,FALSE))</f>
        <v>4.5283018869999996</v>
      </c>
      <c r="X109">
        <f ca="1">IF(AND($B$294=1,LEN($X$241) * LEN($X$234)&gt;0),$X$241/$X$234*100,HLOOKUP(INDIRECT(ADDRESS(2,COLUMN())),OFFSET($AT$2,0,0,ROW()-1,40),ROW()-1,FALSE))</f>
        <v>4.9723756909999999</v>
      </c>
      <c r="Y109">
        <f ca="1">IF(AND($B$294=1,LEN($Y$241) * LEN($Y$234)&gt;0),$Y$241/$Y$234*100,HLOOKUP(INDIRECT(ADDRESS(2,COLUMN())),OFFSET($AT$2,0,0,ROW()-1,40),ROW()-1,FALSE))</f>
        <v>4.479489976</v>
      </c>
      <c r="Z109">
        <f ca="1">IF(AND($B$294=1,LEN($Z$241) * LEN($Z$234)&gt;0),$Z$241/$Z$234*100,HLOOKUP(INDIRECT(ADDRESS(2,COLUMN())),OFFSET($AT$2,0,0,ROW()-1,40),ROW()-1,FALSE))</f>
        <v>4.5806067820000003</v>
      </c>
      <c r="AA109">
        <f ca="1">IF(AND($B$294=1,LEN($AA$241) * LEN($AA$234)&gt;0),$AA$241/$AA$234*100,HLOOKUP(INDIRECT(ADDRESS(2,COLUMN())),OFFSET($AT$2,0,0,ROW()-1,40),ROW()-1,FALSE))</f>
        <v>5.0488237910000002</v>
      </c>
      <c r="AB109">
        <f ca="1">IF(AND($B$294=1,LEN($AB$241) * LEN($AB$234)&gt;0),$AB$241/$AB$234*100,HLOOKUP(INDIRECT(ADDRESS(2,COLUMN())),OFFSET($AT$2,0,0,ROW()-1,40),ROW()-1,FALSE))</f>
        <v>6.4970379720000002</v>
      </c>
      <c r="AC109">
        <f ca="1">IF(AND($B$294=1,LEN($AC$241) * LEN($AC$234)&gt;0),$AC$241/$AC$234*100,HLOOKUP(INDIRECT(ADDRESS(2,COLUMN())),OFFSET($AT$2,0,0,ROW()-1,40),ROW()-1,FALSE))</f>
        <v>5.0708661419999999</v>
      </c>
      <c r="AD109">
        <f ca="1">IF(AND($B$294=1,LEN($AD$241) * LEN($AD$234)&gt;0),$AD$241/$AD$234*100,HLOOKUP(INDIRECT(ADDRESS(2,COLUMN())),OFFSET($AT$2,0,0,ROW()-1,40),ROW()-1,FALSE))</f>
        <v>4.7566371680000001</v>
      </c>
      <c r="AE109">
        <f ca="1">IF(AND($B$294=1,LEN($AE$241) * LEN($AE$234)&gt;0),$AE$241/$AE$234*100,HLOOKUP(INDIRECT(ADDRESS(2,COLUMN())),OFFSET($AT$2,0,0,ROW()-1,40),ROW()-1,FALSE))</f>
        <v>7.4261149919999996</v>
      </c>
      <c r="AF109">
        <f ca="1">IF(AND($B$294=1,LEN($AF$241) * LEN($AF$234)&gt;0),$AF$241/$AF$234*100,HLOOKUP(INDIRECT(ADDRESS(2,COLUMN())),OFFSET($AT$2,0,0,ROW()-1,40),ROW()-1,FALSE))</f>
        <v>5.4409005629999996</v>
      </c>
      <c r="AG109">
        <f ca="1">IF(AND($B$294=1,LEN($AG$241) * LEN($AG$234)&gt;0),$AG$241/$AG$234*100,HLOOKUP(INDIRECT(ADDRESS(2,COLUMN())),OFFSET($AT$2,0,0,ROW()-1,40),ROW()-1,FALSE))</f>
        <v>5.6739659370000002</v>
      </c>
      <c r="AH109">
        <f ca="1">IF(AND($B$294=1,LEN($AH$241) * LEN($AH$234)&gt;0),$AH$241/$AH$234*100,HLOOKUP(INDIRECT(ADDRESS(2,COLUMN())),OFFSET($AT$2,0,0,ROW()-1,40),ROW()-1,FALSE))</f>
        <v>5.5276381910000003</v>
      </c>
      <c r="AI109">
        <f ca="1">IF(AND($B$294=1,LEN($AI$241) * LEN($AI$234)&gt;0),$AI$241/$AI$234*100,HLOOKUP(INDIRECT(ADDRESS(2,COLUMN())),OFFSET($AT$2,0,0,ROW()-1,40),ROW()-1,FALSE))</f>
        <v>5.3095209360000002</v>
      </c>
      <c r="AJ109">
        <f ca="1">IF(AND($B$294=1,LEN($AJ$241) * LEN($AJ$234)&gt;0),$AJ$241/$AJ$234*100,HLOOKUP(INDIRECT(ADDRESS(2,COLUMN())),OFFSET($AT$2,0,0,ROW()-1,40),ROW()-1,FALSE))</f>
        <v>5.7343948310000004</v>
      </c>
      <c r="AK109">
        <f ca="1">IF(AND($B$294=1,LEN($AK$241) * LEN($AK$234)&gt;0),$AK$241/$AK$234*100,HLOOKUP(INDIRECT(ADDRESS(2,COLUMN())),OFFSET($AT$2,0,0,ROW()-1,40),ROW()-1,FALSE))</f>
        <v>4.6194328039999997</v>
      </c>
      <c r="AL109">
        <f ca="1">IF(AND($B$294=1,LEN($AL$241) * LEN($AL$234)&gt;0),$AL$241/$AL$234*100,HLOOKUP(INDIRECT(ADDRESS(2,COLUMN())),OFFSET($AT$2,0,0,ROW()-1,40),ROW()-1,FALSE))</f>
        <v>4.2034839689999997</v>
      </c>
      <c r="AM109">
        <f ca="1">IF(AND($B$294=1,LEN($AM$241) * LEN($AM$234)&gt;0),$AM$241/$AM$234*100,HLOOKUP(INDIRECT(ADDRESS(2,COLUMN())),OFFSET($AT$2,0,0,ROW()-1,40),ROW()-1,FALSE))</f>
        <v>4.5786887209999998</v>
      </c>
      <c r="AN109">
        <f ca="1">IF(AND($B$294=1,LEN($AN$241) * LEN($AN$234)&gt;0),$AN$241/$AN$234*100,HLOOKUP(INDIRECT(ADDRESS(2,COLUMN())),OFFSET($AT$2,0,0,ROW()-1,40),ROW()-1,FALSE))</f>
        <v>5.3539381849999996</v>
      </c>
      <c r="AO109">
        <f ca="1">IF(AND($B$294=1,LEN($AO$241) * LEN($AO$234)&gt;0),$AO$241/$AO$234*100,HLOOKUP(INDIRECT(ADDRESS(2,COLUMN())),OFFSET($AT$2,0,0,ROW()-1,40),ROW()-1,FALSE))</f>
        <v>6.7801500289999996</v>
      </c>
      <c r="AP109">
        <f ca="1">IF(AND($B$294=1,LEN($AP$241) * LEN($AP$234)&gt;0),$AP$241/$AP$234*100,HLOOKUP(INDIRECT(ADDRESS(2,COLUMN())),OFFSET($AT$2,0,0,ROW()-1,40),ROW()-1,FALSE))</f>
        <v>4.8764906300000002</v>
      </c>
      <c r="AQ109">
        <f ca="1">IF(AND($B$294=1,LEN($AQ$241) * LEN($AQ$234)&gt;0),$AQ$241/$AQ$234*100,HLOOKUP(INDIRECT(ADDRESS(2,COLUMN())),OFFSET($AT$2,0,0,ROW()-1,40),ROW()-1,FALSE))</f>
        <v>4.5162694529999996</v>
      </c>
      <c r="AR109">
        <f ca="1">IF(AND($B$294=1,LEN($AR$241) * LEN($AR$234)&gt;0),$AR$241/$AR$234*100,HLOOKUP(INDIRECT(ADDRESS(2,COLUMN())),OFFSET($AT$2,0,0,ROW()-1,40),ROW()-1,FALSE))</f>
        <v>4.5984746520000002</v>
      </c>
      <c r="AS109">
        <f ca="1">IF(AND($B$294=1,LEN($AS$241) * LEN($AS$234)&gt;0),$AS$241/$AS$234*100,HLOOKUP(INDIRECT(ADDRESS(2,COLUMN())),OFFSET($AT$2,0,0,ROW()-1,40),ROW()-1,FALSE))</f>
        <v>4.2353638069999997</v>
      </c>
      <c r="AT109">
        <f>6.312891589</f>
        <v>6.3128915890000004</v>
      </c>
      <c r="AU109">
        <f>5.371134021</f>
        <v>5.3711340209999996</v>
      </c>
      <c r="AV109">
        <f>4.103758432</f>
        <v>4.1037584320000002</v>
      </c>
      <c r="AW109">
        <f>5.206336394</f>
        <v>5.206336394</v>
      </c>
      <c r="AX109">
        <f>4.663616006</f>
        <v>4.6636160059999998</v>
      </c>
      <c r="AY109">
        <f>5.398483917</f>
        <v>5.3984839170000001</v>
      </c>
      <c r="AZ109">
        <f>4.230576441</f>
        <v>4.2305764410000002</v>
      </c>
      <c r="BA109">
        <f>4.555555556</f>
        <v>4.5555555559999998</v>
      </c>
      <c r="BB109">
        <f>4.188911704</f>
        <v>4.1889117039999997</v>
      </c>
      <c r="BC109">
        <f>4.012103553</f>
        <v>4.0121035530000002</v>
      </c>
      <c r="BD109">
        <f>7.044953513</f>
        <v>7.0449535130000003</v>
      </c>
      <c r="BE109">
        <f>5.086493298</f>
        <v>5.0864932979999997</v>
      </c>
      <c r="BF109">
        <f>5.738895807</f>
        <v>5.7388958069999996</v>
      </c>
      <c r="BG109">
        <f>5.259057265</f>
        <v>5.259057265</v>
      </c>
      <c r="BH109">
        <f>4.301270417</f>
        <v>4.3012704169999996</v>
      </c>
      <c r="BI109">
        <f>5.239505668</f>
        <v>5.2395056679999996</v>
      </c>
      <c r="BJ109">
        <f>5.301786577</f>
        <v>5.3017865769999997</v>
      </c>
      <c r="BK109">
        <f>4.528301887</f>
        <v>4.5283018869999996</v>
      </c>
      <c r="BL109">
        <f>4.972375691</f>
        <v>4.9723756909999999</v>
      </c>
      <c r="BM109">
        <f>4.479489976</f>
        <v>4.479489976</v>
      </c>
      <c r="BN109">
        <f>4.580606782</f>
        <v>4.5806067820000003</v>
      </c>
      <c r="BO109">
        <f>5.048823791</f>
        <v>5.0488237910000002</v>
      </c>
      <c r="BP109">
        <f>6.497037972</f>
        <v>6.4970379720000002</v>
      </c>
      <c r="BQ109">
        <f>5.070866142</f>
        <v>5.0708661419999999</v>
      </c>
      <c r="BR109">
        <f>4.756637168</f>
        <v>4.7566371680000001</v>
      </c>
      <c r="BS109">
        <f>7.426114992</f>
        <v>7.4261149919999996</v>
      </c>
      <c r="BT109">
        <f>5.440900563</f>
        <v>5.4409005629999996</v>
      </c>
      <c r="BU109">
        <f>5.673965937</f>
        <v>5.6739659370000002</v>
      </c>
      <c r="BV109">
        <f>5.527638191</f>
        <v>5.5276381910000003</v>
      </c>
      <c r="BW109">
        <f>5.309520936</f>
        <v>5.3095209360000002</v>
      </c>
      <c r="BX109">
        <f>5.734394831</f>
        <v>5.7343948310000004</v>
      </c>
      <c r="BY109">
        <f>4.619432804</f>
        <v>4.6194328039999997</v>
      </c>
      <c r="BZ109">
        <f>4.203483969</f>
        <v>4.2034839689999997</v>
      </c>
      <c r="CA109">
        <f>4.578688721</f>
        <v>4.5786887209999998</v>
      </c>
      <c r="CB109">
        <f>5.353938185</f>
        <v>5.3539381849999996</v>
      </c>
      <c r="CC109">
        <f>6.780150029</f>
        <v>6.7801500289999996</v>
      </c>
      <c r="CD109">
        <f>4.87649063</f>
        <v>4.8764906300000002</v>
      </c>
      <c r="CE109">
        <f>4.516269453</f>
        <v>4.5162694529999996</v>
      </c>
      <c r="CF109">
        <f>4.598474652</f>
        <v>4.5984746520000002</v>
      </c>
      <c r="CG109">
        <f>4.235363807</f>
        <v>4.2353638069999997</v>
      </c>
    </row>
    <row r="110" spans="1:85" x14ac:dyDescent="0.25">
      <c r="A110" t="str">
        <f>"    Ford"</f>
        <v xml:space="preserve">    Ford</v>
      </c>
      <c r="B110" t="str">
        <f>"F US Equity"</f>
        <v>F US Equity</v>
      </c>
      <c r="E110" t="str">
        <f>"Expression"</f>
        <v>Expression</v>
      </c>
      <c r="F110">
        <f ca="1">IF(AND($B$294=1,LEN($F$242) * LEN($F$234)&gt;0),$F$242/$F$234*100,HLOOKUP(INDIRECT(ADDRESS(2,COLUMN())),OFFSET($AT$2,0,0,ROW()-1,40),ROW()-1,FALSE))</f>
        <v>14.923106130000001</v>
      </c>
      <c r="G110">
        <f ca="1">IF(AND($B$294=1,LEN($G$242) * LEN($G$234)&gt;0),$G$242/$G$234*100,HLOOKUP(INDIRECT(ADDRESS(2,COLUMN())),OFFSET($AT$2,0,0,ROW()-1,40),ROW()-1,FALSE))</f>
        <v>14.268041240000001</v>
      </c>
      <c r="H110">
        <f ca="1">IF(AND($B$294=1,LEN($H$242) * LEN($H$234)&gt;0),$H$242/$H$234*100,HLOOKUP(INDIRECT(ADDRESS(2,COLUMN())),OFFSET($AT$2,0,0,ROW()-1,40),ROW()-1,FALSE))</f>
        <v>14.51975586</v>
      </c>
      <c r="I110">
        <f ca="1">IF(AND($B$294=1,LEN($I$242) * LEN($I$234)&gt;0),$I$242/$I$234*100,HLOOKUP(INDIRECT(ADDRESS(2,COLUMN())),OFFSET($AT$2,0,0,ROW()-1,40),ROW()-1,FALSE))</f>
        <v>14.83200484</v>
      </c>
      <c r="J110">
        <f ca="1">IF(AND($B$294=1,LEN($J$242) * LEN($J$234)&gt;0),$J$242/$J$234*100,HLOOKUP(INDIRECT(ADDRESS(2,COLUMN())),OFFSET($AT$2,0,0,ROW()-1,40),ROW()-1,FALSE))</f>
        <v>18.381851820000001</v>
      </c>
      <c r="K110">
        <f ca="1">IF(AND($B$294=1,LEN($K$242) * LEN($K$234)&gt;0),$K$242/$K$234*100,HLOOKUP(INDIRECT(ADDRESS(2,COLUMN())),OFFSET($AT$2,0,0,ROW()-1,40),ROW()-1,FALSE))</f>
        <v>12.989141569999999</v>
      </c>
      <c r="L110">
        <f ca="1">IF(AND($B$294=1,LEN($L$242) * LEN($L$234)&gt;0),$L$242/$L$234*100,HLOOKUP(INDIRECT(ADDRESS(2,COLUMN())),OFFSET($AT$2,0,0,ROW()-1,40),ROW()-1,FALSE))</f>
        <v>20.802005009999998</v>
      </c>
      <c r="M110">
        <f ca="1">IF(AND($B$294=1,LEN($M$242) * LEN($M$234)&gt;0),$M$242/$M$234*100,HLOOKUP(INDIRECT(ADDRESS(2,COLUMN())),OFFSET($AT$2,0,0,ROW()-1,40),ROW()-1,FALSE))</f>
        <v>19.015873020000001</v>
      </c>
      <c r="N110">
        <f ca="1">IF(AND($B$294=1,LEN($N$242) * LEN($N$234)&gt;0),$N$242/$N$234*100,HLOOKUP(INDIRECT(ADDRESS(2,COLUMN())),OFFSET($AT$2,0,0,ROW()-1,40),ROW()-1,FALSE))</f>
        <v>18.583162219999998</v>
      </c>
      <c r="O110">
        <f ca="1">IF(AND($B$294=1,LEN($O$242) * LEN($O$234)&gt;0),$O$242/$O$234*100,HLOOKUP(INDIRECT(ADDRESS(2,COLUMN())),OFFSET($AT$2,0,0,ROW()-1,40),ROW()-1,FALSE))</f>
        <v>24.823489859999999</v>
      </c>
      <c r="P110">
        <f ca="1">IF(AND($B$294=1,LEN($P$242) * LEN($P$234)&gt;0),$P$242/$P$234*100,HLOOKUP(INDIRECT(ADDRESS(2,COLUMN())),OFFSET($AT$2,0,0,ROW()-1,40),ROW()-1,FALSE))</f>
        <v>29.224575869999999</v>
      </c>
      <c r="Q110">
        <f ca="1">IF(AND($B$294=1,LEN($Q$242) * LEN($Q$234)&gt;0),$Q$242/$Q$234*100,HLOOKUP(INDIRECT(ADDRESS(2,COLUMN())),OFFSET($AT$2,0,0,ROW()-1,40),ROW()-1,FALSE))</f>
        <v>24.90548746</v>
      </c>
      <c r="R110">
        <f ca="1">IF(AND($B$294=1,LEN($R$242) * LEN($R$234)&gt;0),$R$242/$R$234*100,HLOOKUP(INDIRECT(ADDRESS(2,COLUMN())),OFFSET($AT$2,0,0,ROW()-1,40),ROW()-1,FALSE))</f>
        <v>19.001660439999998</v>
      </c>
      <c r="S110">
        <f ca="1">IF(AND($B$294=1,LEN($S$242) * LEN($S$234)&gt;0),$S$242/$S$234*100,HLOOKUP(INDIRECT(ADDRESS(2,COLUMN())),OFFSET($AT$2,0,0,ROW()-1,40),ROW()-1,FALSE))</f>
        <v>16.371250490000001</v>
      </c>
      <c r="T110">
        <f ca="1">IF(AND($B$294=1,LEN($T$242) * LEN($T$234)&gt;0),$T$242/$T$234*100,HLOOKUP(INDIRECT(ADDRESS(2,COLUMN())),OFFSET($AT$2,0,0,ROW()-1,40),ROW()-1,FALSE))</f>
        <v>14.963702359999999</v>
      </c>
      <c r="U110">
        <f ca="1">IF(AND($B$294=1,LEN($U$242) * LEN($U$234)&gt;0),$U$242/$U$234*100,HLOOKUP(INDIRECT(ADDRESS(2,COLUMN())),OFFSET($AT$2,0,0,ROW()-1,40),ROW()-1,FALSE))</f>
        <v>17.934838119999998</v>
      </c>
      <c r="V110">
        <f ca="1">IF(AND($B$294=1,LEN($V$242) * LEN($V$234)&gt;0),$V$242/$V$234*100,HLOOKUP(INDIRECT(ADDRESS(2,COLUMN())),OFFSET($AT$2,0,0,ROW()-1,40),ROW()-1,FALSE))</f>
        <v>17.199420570000001</v>
      </c>
      <c r="W110">
        <f ca="1">IF(AND($B$294=1,LEN($W$242) * LEN($W$234)&gt;0),$W$242/$W$234*100,HLOOKUP(INDIRECT(ADDRESS(2,COLUMN())),OFFSET($AT$2,0,0,ROW()-1,40),ROW()-1,FALSE))</f>
        <v>19.530851609999999</v>
      </c>
      <c r="X110">
        <f ca="1">IF(AND($B$294=1,LEN($X$242) * LEN($X$234)&gt;0),$X$242/$X$234*100,HLOOKUP(INDIRECT(ADDRESS(2,COLUMN())),OFFSET($AT$2,0,0,ROW()-1,40),ROW()-1,FALSE))</f>
        <v>25.473559590000001</v>
      </c>
      <c r="Y110">
        <f ca="1">IF(AND($B$294=1,LEN($Y$242) * LEN($Y$234)&gt;0),$Y$242/$Y$234*100,HLOOKUP(INDIRECT(ADDRESS(2,COLUMN())),OFFSET($AT$2,0,0,ROW()-1,40),ROW()-1,FALSE))</f>
        <v>23.412465399999999</v>
      </c>
      <c r="Z110">
        <f ca="1">IF(AND($B$294=1,LEN($Z$242) * LEN($Z$234)&gt;0),$Z$242/$Z$234*100,HLOOKUP(INDIRECT(ADDRESS(2,COLUMN())),OFFSET($AT$2,0,0,ROW()-1,40),ROW()-1,FALSE))</f>
        <v>17.65814</v>
      </c>
      <c r="AA110">
        <f ca="1">IF(AND($B$294=1,LEN($AA$242) * LEN($AA$234)&gt;0),$AA$242/$AA$234*100,HLOOKUP(INDIRECT(ADDRESS(2,COLUMN())),OFFSET($AT$2,0,0,ROW()-1,40),ROW()-1,FALSE))</f>
        <v>19.984465159999999</v>
      </c>
      <c r="AB110">
        <f ca="1">IF(AND($B$294=1,LEN($AB$242) * LEN($AB$234)&gt;0),$AB$242/$AB$234*100,HLOOKUP(INDIRECT(ADDRESS(2,COLUMN())),OFFSET($AT$2,0,0,ROW()-1,40),ROW()-1,FALSE))</f>
        <v>24.104107989999999</v>
      </c>
      <c r="AC110">
        <f ca="1">IF(AND($B$294=1,LEN($AC$242) * LEN($AC$234)&gt;0),$AC$242/$AC$234*100,HLOOKUP(INDIRECT(ADDRESS(2,COLUMN())),OFFSET($AT$2,0,0,ROW()-1,40),ROW()-1,FALSE))</f>
        <v>17.196850390000002</v>
      </c>
      <c r="AD110">
        <f ca="1">IF(AND($B$294=1,LEN($AD$242) * LEN($AD$234)&gt;0),$AD$242/$AD$234*100,HLOOKUP(INDIRECT(ADDRESS(2,COLUMN())),OFFSET($AT$2,0,0,ROW()-1,40),ROW()-1,FALSE))</f>
        <v>16.12278761</v>
      </c>
      <c r="AE110">
        <f ca="1">IF(AND($B$294=1,LEN($AE$242) * LEN($AE$234)&gt;0),$AE$242/$AE$234*100,HLOOKUP(INDIRECT(ADDRESS(2,COLUMN())),OFFSET($AT$2,0,0,ROW()-1,40),ROW()-1,FALSE))</f>
        <v>10.29554003</v>
      </c>
      <c r="AF110">
        <f ca="1">IF(AND($B$294=1,LEN($AF$242) * LEN($AF$234)&gt;0),$AF$242/$AF$234*100,HLOOKUP(INDIRECT(ADDRESS(2,COLUMN())),OFFSET($AT$2,0,0,ROW()-1,40),ROW()-1,FALSE))</f>
        <v>9.5882294859999995</v>
      </c>
      <c r="AG110">
        <f ca="1">IF(AND($B$294=1,LEN($AG$242) * LEN($AG$234)&gt;0),$AG$242/$AG$234*100,HLOOKUP(INDIRECT(ADDRESS(2,COLUMN())),OFFSET($AT$2,0,0,ROW()-1,40),ROW()-1,FALSE))</f>
        <v>12.642335770000001</v>
      </c>
      <c r="AH110">
        <f ca="1">IF(AND($B$294=1,LEN($AH$242) * LEN($AH$234)&gt;0),$AH$242/$AH$234*100,HLOOKUP(INDIRECT(ADDRESS(2,COLUMN())),OFFSET($AT$2,0,0,ROW()-1,40),ROW()-1,FALSE))</f>
        <v>14.415213319999999</v>
      </c>
      <c r="AI110">
        <f ca="1">IF(AND($B$294=1,LEN($AI$242) * LEN($AI$234)&gt;0),$AI$242/$AI$234*100,HLOOKUP(INDIRECT(ADDRESS(2,COLUMN())),OFFSET($AT$2,0,0,ROW()-1,40),ROW()-1,FALSE))</f>
        <v>15.120067580000001</v>
      </c>
      <c r="AJ110">
        <f ca="1">IF(AND($B$294=1,LEN($AJ$242) * LEN($AJ$234)&gt;0),$AJ$242/$AJ$234*100,HLOOKUP(INDIRECT(ADDRESS(2,COLUMN())),OFFSET($AT$2,0,0,ROW()-1,40),ROW()-1,FALSE))</f>
        <v>15.96861659</v>
      </c>
      <c r="AK110">
        <f ca="1">IF(AND($B$294=1,LEN($AK$242) * LEN($AK$234)&gt;0),$AK$242/$AK$234*100,HLOOKUP(INDIRECT(ADDRESS(2,COLUMN())),OFFSET($AT$2,0,0,ROW()-1,40),ROW()-1,FALSE))</f>
        <v>16.012084590000001</v>
      </c>
      <c r="AL110">
        <f ca="1">IF(AND($B$294=1,LEN($AL$242) * LEN($AL$234)&gt;0),$AL$242/$AL$234*100,HLOOKUP(INDIRECT(ADDRESS(2,COLUMN())),OFFSET($AT$2,0,0,ROW()-1,40),ROW()-1,FALSE))</f>
        <v>17.079020450000002</v>
      </c>
      <c r="AM110">
        <f ca="1">IF(AND($B$294=1,LEN($AM$242) * LEN($AM$234)&gt;0),$AM$242/$AM$234*100,HLOOKUP(INDIRECT(ADDRESS(2,COLUMN())),OFFSET($AT$2,0,0,ROW()-1,40),ROW()-1,FALSE))</f>
        <v>17.59558912</v>
      </c>
      <c r="AN110">
        <f ca="1">IF(AND($B$294=1,LEN($AN$242) * LEN($AN$234)&gt;0),$AN$242/$AN$234*100,HLOOKUP(INDIRECT(ADDRESS(2,COLUMN())),OFFSET($AT$2,0,0,ROW()-1,40),ROW()-1,FALSE))</f>
        <v>20.977068790000001</v>
      </c>
      <c r="AO110">
        <f ca="1">IF(AND($B$294=1,LEN($AO$242) * LEN($AO$234)&gt;0),$AO$242/$AO$234*100,HLOOKUP(INDIRECT(ADDRESS(2,COLUMN())),OFFSET($AT$2,0,0,ROW()-1,40),ROW()-1,FALSE))</f>
        <v>18.840161569999999</v>
      </c>
      <c r="AP110">
        <f ca="1">IF(AND($B$294=1,LEN($AP$242) * LEN($AP$234)&gt;0),$AP$242/$AP$234*100,HLOOKUP(INDIRECT(ADDRESS(2,COLUMN())),OFFSET($AT$2,0,0,ROW()-1,40),ROW()-1,FALSE))</f>
        <v>17.301959109999999</v>
      </c>
      <c r="AQ110">
        <f ca="1">IF(AND($B$294=1,LEN($AQ$242) * LEN($AQ$234)&gt;0),$AQ$242/$AQ$234*100,HLOOKUP(INDIRECT(ADDRESS(2,COLUMN())),OFFSET($AT$2,0,0,ROW()-1,40),ROW()-1,FALSE))</f>
        <v>15.823266950000001</v>
      </c>
      <c r="AR110">
        <f ca="1">IF(AND($B$294=1,LEN($AR$242) * LEN($AR$234)&gt;0),$AR$242/$AR$234*100,HLOOKUP(INDIRECT(ADDRESS(2,COLUMN())),OFFSET($AT$2,0,0,ROW()-1,40),ROW()-1,FALSE))</f>
        <v>14.50201884</v>
      </c>
      <c r="AS110">
        <f ca="1">IF(AND($B$294=1,LEN($AS$242) * LEN($AS$234)&gt;0),$AS$242/$AS$234*100,HLOOKUP(INDIRECT(ADDRESS(2,COLUMN())),OFFSET($AT$2,0,0,ROW()-1,40),ROW()-1,FALSE))</f>
        <v>11.87678942</v>
      </c>
      <c r="AT110">
        <f>14.92310613</f>
        <v>14.923106130000001</v>
      </c>
      <c r="AU110">
        <f>14.26804124</f>
        <v>14.268041240000001</v>
      </c>
      <c r="AV110">
        <f>14.51975586</f>
        <v>14.51975586</v>
      </c>
      <c r="AW110">
        <f>14.83200484</f>
        <v>14.83200484</v>
      </c>
      <c r="AX110">
        <f>18.38185182</f>
        <v>18.381851820000001</v>
      </c>
      <c r="AY110">
        <f>12.98914157</f>
        <v>12.989141569999999</v>
      </c>
      <c r="AZ110">
        <f>20.80200501</f>
        <v>20.802005009999998</v>
      </c>
      <c r="BA110">
        <f>19.01587302</f>
        <v>19.015873020000001</v>
      </c>
      <c r="BB110">
        <f>18.58316222</f>
        <v>18.583162219999998</v>
      </c>
      <c r="BC110">
        <f>24.82348986</f>
        <v>24.823489859999999</v>
      </c>
      <c r="BD110">
        <f>29.22457587</f>
        <v>29.224575869999999</v>
      </c>
      <c r="BE110">
        <f>24.90548746</f>
        <v>24.90548746</v>
      </c>
      <c r="BF110">
        <f>19.00166044</f>
        <v>19.001660439999998</v>
      </c>
      <c r="BG110">
        <f>16.37125049</f>
        <v>16.371250490000001</v>
      </c>
      <c r="BH110">
        <f>14.96370236</f>
        <v>14.963702359999999</v>
      </c>
      <c r="BI110">
        <f>17.93483812</f>
        <v>17.934838119999998</v>
      </c>
      <c r="BJ110">
        <f>17.19942057</f>
        <v>17.199420570000001</v>
      </c>
      <c r="BK110">
        <f>19.53085161</f>
        <v>19.530851609999999</v>
      </c>
      <c r="BL110">
        <f>25.47355959</f>
        <v>25.473559590000001</v>
      </c>
      <c r="BM110">
        <f>23.4124654</f>
        <v>23.412465399999999</v>
      </c>
      <c r="BN110">
        <f>17.65814</f>
        <v>17.65814</v>
      </c>
      <c r="BO110">
        <f>19.98446516</f>
        <v>19.984465159999999</v>
      </c>
      <c r="BP110">
        <f>24.10410799</f>
        <v>24.104107989999999</v>
      </c>
      <c r="BQ110">
        <f>17.19685039</f>
        <v>17.196850390000002</v>
      </c>
      <c r="BR110">
        <f>16.12278761</f>
        <v>16.12278761</v>
      </c>
      <c r="BS110">
        <f>10.29554003</f>
        <v>10.29554003</v>
      </c>
      <c r="BT110">
        <f>9.588229486</f>
        <v>9.5882294859999995</v>
      </c>
      <c r="BU110">
        <f>12.64233577</f>
        <v>12.642335770000001</v>
      </c>
      <c r="BV110">
        <f>14.41521332</f>
        <v>14.415213319999999</v>
      </c>
      <c r="BW110">
        <f>15.12006758</f>
        <v>15.120067580000001</v>
      </c>
      <c r="BX110">
        <f>15.96861659</f>
        <v>15.96861659</v>
      </c>
      <c r="BY110">
        <f>16.01208459</f>
        <v>16.012084590000001</v>
      </c>
      <c r="BZ110">
        <f>17.07902045</f>
        <v>17.079020450000002</v>
      </c>
      <c r="CA110">
        <f>17.59558912</f>
        <v>17.59558912</v>
      </c>
      <c r="CB110">
        <f>20.97706879</f>
        <v>20.977068790000001</v>
      </c>
      <c r="CC110">
        <f>18.84016157</f>
        <v>18.840161569999999</v>
      </c>
      <c r="CD110">
        <f>17.30195911</f>
        <v>17.301959109999999</v>
      </c>
      <c r="CE110">
        <f>15.82326695</f>
        <v>15.823266950000001</v>
      </c>
      <c r="CF110">
        <f>14.50201884</f>
        <v>14.50201884</v>
      </c>
      <c r="CG110">
        <f>11.87678942</f>
        <v>11.87678942</v>
      </c>
    </row>
    <row r="111" spans="1:85" x14ac:dyDescent="0.25">
      <c r="A111" t="str">
        <f>"    Hino"</f>
        <v xml:space="preserve">    Hino</v>
      </c>
      <c r="B111" t="str">
        <f>"7205 JP Equity"</f>
        <v>7205 JP Equity</v>
      </c>
      <c r="E111" t="str">
        <f>"Expression"</f>
        <v>Expression</v>
      </c>
      <c r="F111">
        <f ca="1">IF(AND($B$294=1,LEN($F$243) * LEN($F$234)&gt;0),$F$243/$F$234*100,HLOOKUP(INDIRECT(ADDRESS(2,COLUMN())),OFFSET($AT$2,0,0,ROW()-1,40),ROW()-1,FALSE))</f>
        <v>6.7970381619999998</v>
      </c>
      <c r="G111">
        <f ca="1">IF(AND($B$294=1,LEN($G$243) * LEN($G$234)&gt;0),$G$243/$G$234*100,HLOOKUP(INDIRECT(ADDRESS(2,COLUMN())),OFFSET($AT$2,0,0,ROW()-1,40),ROW()-1,FALSE))</f>
        <v>7.3298969070000002</v>
      </c>
      <c r="H111">
        <f ca="1">IF(AND($B$294=1,LEN($H$243) * LEN($H$234)&gt;0),$H$243/$H$234*100,HLOOKUP(INDIRECT(ADDRESS(2,COLUMN())),OFFSET($AT$2,0,0,ROW()-1,40),ROW()-1,FALSE))</f>
        <v>6.0713138449999997</v>
      </c>
      <c r="I111">
        <f ca="1">IF(AND($B$294=1,LEN($I$243) * LEN($I$234)&gt;0),$I$243/$I$234*100,HLOOKUP(INDIRECT(ADDRESS(2,COLUMN())),OFFSET($AT$2,0,0,ROW()-1,40),ROW()-1,FALSE))</f>
        <v>6.4675612960000004</v>
      </c>
      <c r="J111">
        <f ca="1">IF(AND($B$294=1,LEN($J$243) * LEN($J$234)&gt;0),$J$243/$J$234*100,HLOOKUP(INDIRECT(ADDRESS(2,COLUMN())),OFFSET($AT$2,0,0,ROW()-1,40),ROW()-1,FALSE))</f>
        <v>8.178366274</v>
      </c>
      <c r="K111">
        <f ca="1">IF(AND($B$294=1,LEN($K$243) * LEN($K$234)&gt;0),$K$243/$K$234*100,HLOOKUP(INDIRECT(ADDRESS(2,COLUMN())),OFFSET($AT$2,0,0,ROW()-1,40),ROW()-1,FALSE))</f>
        <v>7.0067609099999997</v>
      </c>
      <c r="L111">
        <f ca="1">IF(AND($B$294=1,LEN($L$243) * LEN($L$234)&gt;0),$L$243/$L$234*100,HLOOKUP(INDIRECT(ADDRESS(2,COLUMN())),OFFSET($AT$2,0,0,ROW()-1,40),ROW()-1,FALSE))</f>
        <v>5.8345864660000002</v>
      </c>
      <c r="M111">
        <f ca="1">IF(AND($B$294=1,LEN($M$243) * LEN($M$234)&gt;0),$M$243/$M$234*100,HLOOKUP(INDIRECT(ADDRESS(2,COLUMN())),OFFSET($AT$2,0,0,ROW()-1,40),ROW()-1,FALSE))</f>
        <v>7.3730158729999999</v>
      </c>
      <c r="N111">
        <f ca="1">IF(AND($B$294=1,LEN($N$243) * LEN($N$234)&gt;0),$N$243/$N$234*100,HLOOKUP(INDIRECT(ADDRESS(2,COLUMN())),OFFSET($AT$2,0,0,ROW()-1,40),ROW()-1,FALSE))</f>
        <v>6.5605749490000003</v>
      </c>
      <c r="O111">
        <f ca="1">IF(AND($B$294=1,LEN($O$243) * LEN($O$234)&gt;0),$O$243/$O$234*100,HLOOKUP(INDIRECT(ADDRESS(2,COLUMN())),OFFSET($AT$2,0,0,ROW()-1,40),ROW()-1,FALSE))</f>
        <v>6.5672979939999996</v>
      </c>
      <c r="P111">
        <f ca="1">IF(AND($B$294=1,LEN($P$243) * LEN($P$234)&gt;0),$P$243/$P$234*100,HLOOKUP(INDIRECT(ADDRESS(2,COLUMN())),OFFSET($AT$2,0,0,ROW()-1,40),ROW()-1,FALSE))</f>
        <v>7.0737084250000004</v>
      </c>
      <c r="Q111">
        <f ca="1">IF(AND($B$294=1,LEN($Q$243) * LEN($Q$234)&gt;0),$Q$243/$Q$234*100,HLOOKUP(INDIRECT(ADDRESS(2,COLUMN())),OFFSET($AT$2,0,0,ROW()-1,40),ROW()-1,FALSE))</f>
        <v>8.4545766980000003</v>
      </c>
      <c r="R111">
        <f ca="1">IF(AND($B$294=1,LEN($R$243) * LEN($R$234)&gt;0),$R$243/$R$234*100,HLOOKUP(INDIRECT(ADDRESS(2,COLUMN())),OFFSET($AT$2,0,0,ROW()-1,40),ROW()-1,FALSE))</f>
        <v>6.4445828140000003</v>
      </c>
      <c r="S111">
        <f ca="1">IF(AND($B$294=1,LEN($S$243) * LEN($S$234)&gt;0),$S$243/$S$234*100,HLOOKUP(INDIRECT(ADDRESS(2,COLUMN())),OFFSET($AT$2,0,0,ROW()-1,40),ROW()-1,FALSE))</f>
        <v>6.3400857029999997</v>
      </c>
      <c r="T111">
        <f ca="1">IF(AND($B$294=1,LEN($T$243) * LEN($T$234)&gt;0),$T$243/$T$234*100,HLOOKUP(INDIRECT(ADDRESS(2,COLUMN())),OFFSET($AT$2,0,0,ROW()-1,40),ROW()-1,FALSE))</f>
        <v>5.7168784029999999</v>
      </c>
      <c r="U111">
        <f ca="1">IF(AND($B$294=1,LEN($U$243) * LEN($U$234)&gt;0),$U$243/$U$234*100,HLOOKUP(INDIRECT(ADDRESS(2,COLUMN())),OFFSET($AT$2,0,0,ROW()-1,40),ROW()-1,FALSE))</f>
        <v>5.8931671940000001</v>
      </c>
      <c r="V111">
        <f ca="1">IF(AND($B$294=1,LEN($V$243) * LEN($V$234)&gt;0),$V$243/$V$234*100,HLOOKUP(INDIRECT(ADDRESS(2,COLUMN())),OFFSET($AT$2,0,0,ROW()-1,40),ROW()-1,FALSE))</f>
        <v>7.3201352000000002</v>
      </c>
      <c r="W111">
        <f ca="1">IF(AND($B$294=1,LEN($W$243) * LEN($W$234)&gt;0),$W$243/$W$234*100,HLOOKUP(INDIRECT(ADDRESS(2,COLUMN())),OFFSET($AT$2,0,0,ROW()-1,40),ROW()-1,FALSE))</f>
        <v>7.1290158080000001</v>
      </c>
      <c r="X111">
        <f ca="1">IF(AND($B$294=1,LEN($X$243) * LEN($X$234)&gt;0),$X$243/$X$234*100,HLOOKUP(INDIRECT(ADDRESS(2,COLUMN())),OFFSET($AT$2,0,0,ROW()-1,40),ROW()-1,FALSE))</f>
        <v>4.9921073399999996</v>
      </c>
      <c r="Y111">
        <f ca="1">IF(AND($B$294=1,LEN($Y$243) * LEN($Y$234)&gt;0),$Y$243/$Y$234*100,HLOOKUP(INDIRECT(ADDRESS(2,COLUMN())),OFFSET($AT$2,0,0,ROW()-1,40),ROW()-1,FALSE))</f>
        <v>11.15678215</v>
      </c>
      <c r="Z111">
        <f ca="1">IF(AND($B$294=1,LEN($Z$243) * LEN($Z$234)&gt;0),$Z$243/$Z$234*100,HLOOKUP(INDIRECT(ADDRESS(2,COLUMN())),OFFSET($AT$2,0,0,ROW()-1,40),ROW()-1,FALSE))</f>
        <v>7.029545905</v>
      </c>
      <c r="AA111">
        <f ca="1">IF(AND($B$294=1,LEN($AA$243) * LEN($AA$234)&gt;0),$AA$243/$AA$234*100,HLOOKUP(INDIRECT(ADDRESS(2,COLUMN())),OFFSET($AT$2,0,0,ROW()-1,40),ROW()-1,FALSE))</f>
        <v>6.1251664449999996</v>
      </c>
      <c r="AB111">
        <f ca="1">IF(AND($B$294=1,LEN($AB$243) * LEN($AB$234)&gt;0),$AB$243/$AB$234*100,HLOOKUP(INDIRECT(ADDRESS(2,COLUMN())),OFFSET($AT$2,0,0,ROW()-1,40),ROW()-1,FALSE))</f>
        <v>10.439933959999999</v>
      </c>
      <c r="AC111">
        <f ca="1">IF(AND($B$294=1,LEN($AC$243) * LEN($AC$234)&gt;0),$AC$243/$AC$234*100,HLOOKUP(INDIRECT(ADDRESS(2,COLUMN())),OFFSET($AT$2,0,0,ROW()-1,40),ROW()-1,FALSE))</f>
        <v>7.727034121</v>
      </c>
      <c r="AD111">
        <f ca="1">IF(AND($B$294=1,LEN($AD$243) * LEN($AD$234)&gt;0),$AD$243/$AD$234*100,HLOOKUP(INDIRECT(ADDRESS(2,COLUMN())),OFFSET($AT$2,0,0,ROW()-1,40),ROW()-1,FALSE))</f>
        <v>7.6788348080000004</v>
      </c>
      <c r="AE111">
        <f ca="1">IF(AND($B$294=1,LEN($AE$243) * LEN($AE$234)&gt;0),$AE$243/$AE$234*100,HLOOKUP(INDIRECT(ADDRESS(2,COLUMN())),OFFSET($AT$2,0,0,ROW()-1,40),ROW()-1,FALSE))</f>
        <v>8.5437936590000003</v>
      </c>
      <c r="AF111">
        <f ca="1">IF(AND($B$294=1,LEN($AF$243) * LEN($AF$234)&gt;0),$AF$243/$AF$234*100,HLOOKUP(INDIRECT(ADDRESS(2,COLUMN())),OFFSET($AT$2,0,0,ROW()-1,40),ROW()-1,FALSE))</f>
        <v>7.692307692</v>
      </c>
      <c r="AG111">
        <f ca="1">IF(AND($B$294=1,LEN($AG$243) * LEN($AG$234)&gt;0),$AG$243/$AG$234*100,HLOOKUP(INDIRECT(ADDRESS(2,COLUMN())),OFFSET($AT$2,0,0,ROW()-1,40),ROW()-1,FALSE))</f>
        <v>7.2603406330000002</v>
      </c>
      <c r="AH111">
        <f ca="1">IF(AND($B$294=1,LEN($AH$243) * LEN($AH$234)&gt;0),$AH$243/$AH$234*100,HLOOKUP(INDIRECT(ADDRESS(2,COLUMN())),OFFSET($AT$2,0,0,ROW()-1,40),ROW()-1,FALSE))</f>
        <v>7.3603310669999997</v>
      </c>
      <c r="AI111">
        <f ca="1">IF(AND($B$294=1,LEN($AI$243) * LEN($AI$234)&gt;0),$AI$243/$AI$234*100,HLOOKUP(INDIRECT(ADDRESS(2,COLUMN())),OFFSET($AT$2,0,0,ROW()-1,40),ROW()-1,FALSE))</f>
        <v>6.9868468689999998</v>
      </c>
      <c r="AJ111">
        <f ca="1">IF(AND($B$294=1,LEN($AJ$243) * LEN($AJ$234)&gt;0),$AJ$243/$AJ$234*100,HLOOKUP(INDIRECT(ADDRESS(2,COLUMN())),OFFSET($AT$2,0,0,ROW()-1,40),ROW()-1,FALSE))</f>
        <v>7.6727818159999996</v>
      </c>
      <c r="AK111">
        <f ca="1">IF(AND($B$294=1,LEN($AK$243) * LEN($AK$234)&gt;0),$AK$243/$AK$234*100,HLOOKUP(INDIRECT(ADDRESS(2,COLUMN())),OFFSET($AT$2,0,0,ROW()-1,40),ROW()-1,FALSE))</f>
        <v>12.26001364</v>
      </c>
      <c r="AL111">
        <f ca="1">IF(AND($B$294=1,LEN($AL$243) * LEN($AL$234)&gt;0),$AL$243/$AL$234*100,HLOOKUP(INDIRECT(ADDRESS(2,COLUMN())),OFFSET($AT$2,0,0,ROW()-1,40),ROW()-1,FALSE))</f>
        <v>8.381721787</v>
      </c>
      <c r="AM111">
        <f ca="1">IF(AND($B$294=1,LEN($AM$243) * LEN($AM$234)&gt;0),$AM$243/$AM$234*100,HLOOKUP(INDIRECT(ADDRESS(2,COLUMN())),OFFSET($AT$2,0,0,ROW()-1,40),ROW()-1,FALSE))</f>
        <v>5.9211314870000002</v>
      </c>
      <c r="AN111">
        <f ca="1">IF(AND($B$294=1,LEN($AN$243) * LEN($AN$234)&gt;0),$AN$243/$AN$234*100,HLOOKUP(INDIRECT(ADDRESS(2,COLUMN())),OFFSET($AT$2,0,0,ROW()-1,40),ROW()-1,FALSE))</f>
        <v>12.04386839</v>
      </c>
      <c r="AO111">
        <f ca="1">IF(AND($B$294=1,LEN($AO$243) * LEN($AO$234)&gt;0),$AO$243/$AO$234*100,HLOOKUP(INDIRECT(ADDRESS(2,COLUMN())),OFFSET($AT$2,0,0,ROW()-1,40),ROW()-1,FALSE))</f>
        <v>10.112521640000001</v>
      </c>
      <c r="AP111">
        <f ca="1">IF(AND($B$294=1,LEN($AP$243) * LEN($AP$234)&gt;0),$AP$243/$AP$234*100,HLOOKUP(INDIRECT(ADDRESS(2,COLUMN())),OFFSET($AT$2,0,0,ROW()-1,40),ROW()-1,FALSE))</f>
        <v>6.5800681430000001</v>
      </c>
      <c r="AQ111">
        <f ca="1">IF(AND($B$294=1,LEN($AQ$243) * LEN($AQ$234)&gt;0),$AQ$243/$AQ$234*100,HLOOKUP(INDIRECT(ADDRESS(2,COLUMN())),OFFSET($AT$2,0,0,ROW()-1,40),ROW()-1,FALSE))</f>
        <v>6.9322015449999999</v>
      </c>
      <c r="AR111">
        <f ca="1">IF(AND($B$294=1,LEN($AR$243) * LEN($AR$234)&gt;0),$AR$243/$AR$234*100,HLOOKUP(INDIRECT(ADDRESS(2,COLUMN())),OFFSET($AT$2,0,0,ROW()-1,40),ROW()-1,FALSE))</f>
        <v>7.2341857340000004</v>
      </c>
      <c r="AS111">
        <f ca="1">IF(AND($B$294=1,LEN($AS$243) * LEN($AS$234)&gt;0),$AS$243/$AS$234*100,HLOOKUP(INDIRECT(ADDRESS(2,COLUMN())),OFFSET($AT$2,0,0,ROW()-1,40),ROW()-1,FALSE))</f>
        <v>5.9038404580000003</v>
      </c>
      <c r="AT111">
        <f>6.797038162</f>
        <v>6.7970381619999998</v>
      </c>
      <c r="AU111">
        <f>7.329896907</f>
        <v>7.3298969070000002</v>
      </c>
      <c r="AV111">
        <f>6.071313845</f>
        <v>6.0713138449999997</v>
      </c>
      <c r="AW111">
        <f>6.467561296</f>
        <v>6.4675612960000004</v>
      </c>
      <c r="AX111">
        <f>8.178366274</f>
        <v>8.178366274</v>
      </c>
      <c r="AY111">
        <f>7.00676091</f>
        <v>7.0067609099999997</v>
      </c>
      <c r="AZ111">
        <f>5.834586466</f>
        <v>5.8345864660000002</v>
      </c>
      <c r="BA111">
        <f>7.373015873</f>
        <v>7.3730158729999999</v>
      </c>
      <c r="BB111">
        <f>6.560574949</f>
        <v>6.5605749490000003</v>
      </c>
      <c r="BC111">
        <f>6.567297994</f>
        <v>6.5672979939999996</v>
      </c>
      <c r="BD111">
        <f>7.073708425</f>
        <v>7.0737084250000004</v>
      </c>
      <c r="BE111">
        <f>8.454576698</f>
        <v>8.4545766980000003</v>
      </c>
      <c r="BF111">
        <f>6.444582814</f>
        <v>6.4445828140000003</v>
      </c>
      <c r="BG111">
        <f>6.340085703</f>
        <v>6.3400857029999997</v>
      </c>
      <c r="BH111">
        <f>5.716878403</f>
        <v>5.7168784029999999</v>
      </c>
      <c r="BI111">
        <f>5.893167194</f>
        <v>5.8931671940000001</v>
      </c>
      <c r="BJ111">
        <f>7.3201352</f>
        <v>7.3201352000000002</v>
      </c>
      <c r="BK111">
        <f>7.129015808</f>
        <v>7.1290158080000001</v>
      </c>
      <c r="BL111">
        <f>4.99210734</f>
        <v>4.9921073399999996</v>
      </c>
      <c r="BM111">
        <f>11.15678215</f>
        <v>11.15678215</v>
      </c>
      <c r="BN111">
        <f>7.029545905</f>
        <v>7.029545905</v>
      </c>
      <c r="BO111">
        <f>6.125166445</f>
        <v>6.1251664449999996</v>
      </c>
      <c r="BP111">
        <f>10.43993396</f>
        <v>10.439933959999999</v>
      </c>
      <c r="BQ111">
        <f>7.727034121</f>
        <v>7.727034121</v>
      </c>
      <c r="BR111">
        <f>7.678834808</f>
        <v>7.6788348080000004</v>
      </c>
      <c r="BS111">
        <f>8.543793659</f>
        <v>8.5437936590000003</v>
      </c>
      <c r="BT111">
        <f>7.692307692</f>
        <v>7.692307692</v>
      </c>
      <c r="BU111">
        <f>7.260340633</f>
        <v>7.2603406330000002</v>
      </c>
      <c r="BV111">
        <f>7.360331067</f>
        <v>7.3603310669999997</v>
      </c>
      <c r="BW111">
        <f>6.986846869</f>
        <v>6.9868468689999998</v>
      </c>
      <c r="BX111">
        <f>7.672781816</f>
        <v>7.6727818159999996</v>
      </c>
      <c r="BY111">
        <f>12.26001364</f>
        <v>12.26001364</v>
      </c>
      <c r="BZ111">
        <f>8.381721787</f>
        <v>8.381721787</v>
      </c>
      <c r="CA111">
        <f>5.921131487</f>
        <v>5.9211314870000002</v>
      </c>
      <c r="CB111">
        <f>12.04386839</f>
        <v>12.04386839</v>
      </c>
      <c r="CC111">
        <f>10.11252164</f>
        <v>10.112521640000001</v>
      </c>
      <c r="CD111">
        <f>6.580068143</f>
        <v>6.5800681430000001</v>
      </c>
      <c r="CE111">
        <f>6.932201545</f>
        <v>6.9322015449999999</v>
      </c>
      <c r="CF111">
        <f>7.234185734</f>
        <v>7.2341857340000004</v>
      </c>
      <c r="CG111">
        <f>5.903840458</f>
        <v>5.9038404580000003</v>
      </c>
    </row>
    <row r="112" spans="1:85" x14ac:dyDescent="0.25">
      <c r="A112" t="str">
        <f>"    Volvo"</f>
        <v xml:space="preserve">    Volvo</v>
      </c>
      <c r="B112" t="str">
        <f>"VOLVB SS Equity"</f>
        <v>VOLVB SS Equity</v>
      </c>
      <c r="E112" t="str">
        <f>"Sum"</f>
        <v>Sum</v>
      </c>
      <c r="F112" t="str">
        <f ca="1">IF(ISERROR(IF(SUM($F$113:$F$114) = 0, "", SUM($F$113:$F$114))), "", (IF(SUM($F$113:$F$114) = 0, "", SUM($F$113:$F$114))))</f>
        <v/>
      </c>
      <c r="G112" t="str">
        <f ca="1">IF(ISERROR(IF(SUM($G$113:$G$114) = 0, "", SUM($G$113:$G$114))), "", (IF(SUM($G$113:$G$114) = 0, "", SUM($G$113:$G$114))))</f>
        <v/>
      </c>
      <c r="H112" t="str">
        <f ca="1">IF(ISERROR(IF(SUM($H$113:$H$114) = 0, "", SUM($H$113:$H$114))), "", (IF(SUM($H$113:$H$114) = 0, "", SUM($H$113:$H$114))))</f>
        <v/>
      </c>
      <c r="I112" t="str">
        <f ca="1">IF(ISERROR(IF(SUM($I$113:$I$114) = 0, "", SUM($I$113:$I$114))), "", (IF(SUM($I$113:$I$114) = 0, "", SUM($I$113:$I$114))))</f>
        <v/>
      </c>
      <c r="J112" t="str">
        <f ca="1">IF(ISERROR(IF(SUM($J$113:$J$114) = 0, "", SUM($J$113:$J$114))), "", (IF(SUM($J$113:$J$114) = 0, "", SUM($J$113:$J$114))))</f>
        <v/>
      </c>
      <c r="K112" t="str">
        <f ca="1">IF(ISERROR(IF(SUM($K$113:$K$114) = 0, "", SUM($K$113:$K$114))), "", (IF(SUM($K$113:$K$114) = 0, "", SUM($K$113:$K$114))))</f>
        <v/>
      </c>
      <c r="L112" t="str">
        <f ca="1">IF(ISERROR(IF(SUM($L$113:$L$114) = 0, "", SUM($L$113:$L$114))), "", (IF(SUM($L$113:$L$114) = 0, "", SUM($L$113:$L$114))))</f>
        <v/>
      </c>
      <c r="M112" t="str">
        <f ca="1">IF(ISERROR(IF(SUM($M$113:$M$114) = 0, "", SUM($M$113:$M$114))), "", (IF(SUM($M$113:$M$114) = 0, "", SUM($M$113:$M$114))))</f>
        <v/>
      </c>
      <c r="N112" t="str">
        <f ca="1">IF(ISERROR(IF(SUM($N$113:$N$114) = 0, "", SUM($N$113:$N$114))), "", (IF(SUM($N$113:$N$114) = 0, "", SUM($N$113:$N$114))))</f>
        <v/>
      </c>
      <c r="O112" t="str">
        <f ca="1">IF(ISERROR(IF(SUM($O$113:$O$114) = 0, "", SUM($O$113:$O$114))), "", (IF(SUM($O$113:$O$114) = 0, "", SUM($O$113:$O$114))))</f>
        <v/>
      </c>
      <c r="P112" t="str">
        <f ca="1">IF(ISERROR(IF(SUM($P$113:$P$114) = 0, "", SUM($P$113:$P$114))), "", (IF(SUM($P$113:$P$114) = 0, "", SUM($P$113:$P$114))))</f>
        <v/>
      </c>
      <c r="Q112" t="str">
        <f ca="1">IF(ISERROR(IF(SUM($Q$113:$Q$114) = 0, "", SUM($Q$113:$Q$114))), "", (IF(SUM($Q$113:$Q$114) = 0, "", SUM($Q$113:$Q$114))))</f>
        <v/>
      </c>
      <c r="R112" t="str">
        <f ca="1">IF(ISERROR(IF(SUM($R$113:$R$114) = 0, "", SUM($R$113:$R$114))), "", (IF(SUM($R$113:$R$114) = 0, "", SUM($R$113:$R$114))))</f>
        <v/>
      </c>
      <c r="S112" t="str">
        <f ca="1">IF(ISERROR(IF(SUM($S$113:$S$114) = 0, "", SUM($S$113:$S$114))), "", (IF(SUM($S$113:$S$114) = 0, "", SUM($S$113:$S$114))))</f>
        <v/>
      </c>
      <c r="T112" t="str">
        <f ca="1">IF(ISERROR(IF(SUM($T$113:$T$114) = 0, "", SUM($T$113:$T$114))), "", (IF(SUM($T$113:$T$114) = 0, "", SUM($T$113:$T$114))))</f>
        <v/>
      </c>
      <c r="U112" t="str">
        <f ca="1">IF(ISERROR(IF(SUM($U$113:$U$114) = 0, "", SUM($U$113:$U$114))), "", (IF(SUM($U$113:$U$114) = 0, "", SUM($U$113:$U$114))))</f>
        <v/>
      </c>
      <c r="V112" t="str">
        <f ca="1">IF(ISERROR(IF(SUM($V$113:$V$114) = 0, "", SUM($V$113:$V$114))), "", (IF(SUM($V$113:$V$114) = 0, "", SUM($V$113:$V$114))))</f>
        <v/>
      </c>
      <c r="W112" t="str">
        <f ca="1">IF(ISERROR(IF(SUM($W$113:$W$114) = 0, "", SUM($W$113:$W$114))), "", (IF(SUM($W$113:$W$114) = 0, "", SUM($W$113:$W$114))))</f>
        <v/>
      </c>
      <c r="X112" t="str">
        <f ca="1">IF(ISERROR(IF(SUM($X$113:$X$114) = 0, "", SUM($X$113:$X$114))), "", (IF(SUM($X$113:$X$114) = 0, "", SUM($X$113:$X$114))))</f>
        <v/>
      </c>
      <c r="Y112" t="str">
        <f ca="1">IF(ISERROR(IF(SUM($Y$113:$Y$114) = 0, "", SUM($Y$113:$Y$114))), "", (IF(SUM($Y$113:$Y$114) = 0, "", SUM($Y$113:$Y$114))))</f>
        <v/>
      </c>
      <c r="Z112" t="str">
        <f ca="1">IF(ISERROR(IF(SUM($Z$113:$Z$114) = 0, "", SUM($Z$113:$Z$114))), "", (IF(SUM($Z$113:$Z$114) = 0, "", SUM($Z$113:$Z$114))))</f>
        <v/>
      </c>
      <c r="AA112" t="str">
        <f ca="1">IF(ISERROR(IF(SUM($AA$113:$AA$114) = 0, "", SUM($AA$113:$AA$114))), "", (IF(SUM($AA$113:$AA$114) = 0, "", SUM($AA$113:$AA$114))))</f>
        <v/>
      </c>
      <c r="AB112" t="str">
        <f ca="1">IF(ISERROR(IF(SUM($AB$113:$AB$114) = 0, "", SUM($AB$113:$AB$114))), "", (IF(SUM($AB$113:$AB$114) = 0, "", SUM($AB$113:$AB$114))))</f>
        <v/>
      </c>
      <c r="AC112" t="str">
        <f ca="1">IF(ISERROR(IF(SUM($AC$113:$AC$114) = 0, "", SUM($AC$113:$AC$114))), "", (IF(SUM($AC$113:$AC$114) = 0, "", SUM($AC$113:$AC$114))))</f>
        <v/>
      </c>
      <c r="AD112" t="str">
        <f ca="1">IF(ISERROR(IF(SUM($AD$113:$AD$114) = 0, "", SUM($AD$113:$AD$114))), "", (IF(SUM($AD$113:$AD$114) = 0, "", SUM($AD$113:$AD$114))))</f>
        <v/>
      </c>
      <c r="AE112" t="str">
        <f ca="1">IF(ISERROR(IF(SUM($AE$113:$AE$114) = 0, "", SUM($AE$113:$AE$114))), "", (IF(SUM($AE$113:$AE$114) = 0, "", SUM($AE$113:$AE$114))))</f>
        <v/>
      </c>
      <c r="AF112" t="str">
        <f ca="1">IF(ISERROR(IF(SUM($AF$113:$AF$114) = 0, "", SUM($AF$113:$AF$114))), "", (IF(SUM($AF$113:$AF$114) = 0, "", SUM($AF$113:$AF$114))))</f>
        <v/>
      </c>
      <c r="AG112" t="str">
        <f ca="1">IF(ISERROR(IF(SUM($AG$113:$AG$114) = 0, "", SUM($AG$113:$AG$114))), "", (IF(SUM($AG$113:$AG$114) = 0, "", SUM($AG$113:$AG$114))))</f>
        <v/>
      </c>
      <c r="AH112" t="str">
        <f ca="1">IF(ISERROR(IF(SUM($AH$113:$AH$114) = 0, "", SUM($AH$113:$AH$114))), "", (IF(SUM($AH$113:$AH$114) = 0, "", SUM($AH$113:$AH$114))))</f>
        <v/>
      </c>
      <c r="AI112" t="str">
        <f ca="1">IF(ISERROR(IF(SUM($AI$113:$AI$114) = 0, "", SUM($AI$113:$AI$114))), "", (IF(SUM($AI$113:$AI$114) = 0, "", SUM($AI$113:$AI$114))))</f>
        <v/>
      </c>
      <c r="AJ112" t="str">
        <f ca="1">IF(ISERROR(IF(SUM($AJ$113:$AJ$114) = 0, "", SUM($AJ$113:$AJ$114))), "", (IF(SUM($AJ$113:$AJ$114) = 0, "", SUM($AJ$113:$AJ$114))))</f>
        <v/>
      </c>
      <c r="AK112" t="str">
        <f ca="1">IF(ISERROR(IF(SUM($AK$113:$AK$114) = 0, "", SUM($AK$113:$AK$114))), "", (IF(SUM($AK$113:$AK$114) = 0, "", SUM($AK$113:$AK$114))))</f>
        <v/>
      </c>
      <c r="AL112" t="str">
        <f ca="1">IF(ISERROR(IF(SUM($AL$113:$AL$114) = 0, "", SUM($AL$113:$AL$114))), "", (IF(SUM($AL$113:$AL$114) = 0, "", SUM($AL$113:$AL$114))))</f>
        <v/>
      </c>
      <c r="AM112" t="str">
        <f ca="1">IF(ISERROR(IF(SUM($AM$113:$AM$114) = 0, "", SUM($AM$113:$AM$114))), "", (IF(SUM($AM$113:$AM$114) = 0, "", SUM($AM$113:$AM$114))))</f>
        <v/>
      </c>
      <c r="AN112" t="str">
        <f ca="1">IF(ISERROR(IF(SUM($AN$113:$AN$114) = 0, "", SUM($AN$113:$AN$114))), "", (IF(SUM($AN$113:$AN$114) = 0, "", SUM($AN$113:$AN$114))))</f>
        <v/>
      </c>
      <c r="AO112" t="str">
        <f ca="1">IF(ISERROR(IF(SUM($AO$113:$AO$114) = 0, "", SUM($AO$113:$AO$114))), "", (IF(SUM($AO$113:$AO$114) = 0, "", SUM($AO$113:$AO$114))))</f>
        <v/>
      </c>
      <c r="AP112" t="str">
        <f ca="1">IF(ISERROR(IF(SUM($AP$113:$AP$114) = 0, "", SUM($AP$113:$AP$114))), "", (IF(SUM($AP$113:$AP$114) = 0, "", SUM($AP$113:$AP$114))))</f>
        <v/>
      </c>
      <c r="AQ112" t="str">
        <f ca="1">IF(ISERROR(IF(SUM($AQ$113:$AQ$114) = 0, "", SUM($AQ$113:$AQ$114))), "", (IF(SUM($AQ$113:$AQ$114) = 0, "", SUM($AQ$113:$AQ$114))))</f>
        <v/>
      </c>
      <c r="AR112" t="str">
        <f ca="1">IF(ISERROR(IF(SUM($AR$113:$AR$114) = 0, "", SUM($AR$113:$AR$114))), "", (IF(SUM($AR$113:$AR$114) = 0, "", SUM($AR$113:$AR$114))))</f>
        <v/>
      </c>
      <c r="AS112" t="str">
        <f ca="1">IF(ISERROR(IF(SUM($AS$113:$AS$114) = 0, "", SUM($AS$113:$AS$114))), "", (IF(SUM($AS$113:$AS$114) = 0, "", SUM($AS$113:$AS$114))))</f>
        <v/>
      </c>
      <c r="AT112" t="str">
        <f>""</f>
        <v/>
      </c>
      <c r="AU112" t="str">
        <f>""</f>
        <v/>
      </c>
      <c r="AV112" t="str">
        <f>""</f>
        <v/>
      </c>
      <c r="AW112" t="str">
        <f>""</f>
        <v/>
      </c>
      <c r="AX112" t="str">
        <f>""</f>
        <v/>
      </c>
      <c r="AY112" t="str">
        <f>""</f>
        <v/>
      </c>
      <c r="AZ112" t="str">
        <f>""</f>
        <v/>
      </c>
      <c r="BA112" t="str">
        <f>""</f>
        <v/>
      </c>
      <c r="BB112" t="str">
        <f>""</f>
        <v/>
      </c>
      <c r="BC112" t="str">
        <f>""</f>
        <v/>
      </c>
      <c r="BD112" t="str">
        <f>""</f>
        <v/>
      </c>
      <c r="BE112" t="str">
        <f>""</f>
        <v/>
      </c>
      <c r="BF112" t="str">
        <f>""</f>
        <v/>
      </c>
      <c r="BG112" t="str">
        <f>""</f>
        <v/>
      </c>
      <c r="BH112" t="str">
        <f>""</f>
        <v/>
      </c>
      <c r="BI112" t="str">
        <f>""</f>
        <v/>
      </c>
      <c r="BJ112" t="str">
        <f>""</f>
        <v/>
      </c>
      <c r="BK112" t="str">
        <f>""</f>
        <v/>
      </c>
      <c r="BL112" t="str">
        <f>""</f>
        <v/>
      </c>
      <c r="BM112" t="str">
        <f>""</f>
        <v/>
      </c>
      <c r="BN112" t="str">
        <f>""</f>
        <v/>
      </c>
      <c r="BO112" t="str">
        <f>""</f>
        <v/>
      </c>
      <c r="BP112" t="str">
        <f>""</f>
        <v/>
      </c>
      <c r="BQ112" t="str">
        <f>""</f>
        <v/>
      </c>
      <c r="BR112" t="str">
        <f>""</f>
        <v/>
      </c>
      <c r="BS112" t="str">
        <f>""</f>
        <v/>
      </c>
      <c r="BT112" t="str">
        <f>""</f>
        <v/>
      </c>
      <c r="BU112" t="str">
        <f>""</f>
        <v/>
      </c>
      <c r="BV112" t="str">
        <f>""</f>
        <v/>
      </c>
      <c r="BW112" t="str">
        <f>""</f>
        <v/>
      </c>
      <c r="BX112" t="str">
        <f>""</f>
        <v/>
      </c>
      <c r="BY112" t="str">
        <f>""</f>
        <v/>
      </c>
      <c r="BZ112" t="str">
        <f>""</f>
        <v/>
      </c>
      <c r="CA112" t="str">
        <f>""</f>
        <v/>
      </c>
      <c r="CB112" t="str">
        <f>""</f>
        <v/>
      </c>
      <c r="CC112" t="str">
        <f>""</f>
        <v/>
      </c>
      <c r="CD112" t="str">
        <f>""</f>
        <v/>
      </c>
      <c r="CE112" t="str">
        <f>""</f>
        <v/>
      </c>
      <c r="CF112" t="str">
        <f>""</f>
        <v/>
      </c>
      <c r="CG112" t="str">
        <f>""</f>
        <v/>
      </c>
    </row>
    <row r="113" spans="1:85" x14ac:dyDescent="0.25">
      <c r="A113" t="str">
        <f>"        Mack"</f>
        <v xml:space="preserve">        Mack</v>
      </c>
      <c r="B113" t="str">
        <f>"VOLVB SS Equity"</f>
        <v>VOLVB SS Equity</v>
      </c>
      <c r="E113" t="str">
        <f>"Expression"</f>
        <v>Expression</v>
      </c>
      <c r="F113" t="str">
        <f ca="1">IF(AND($B$294=1,LEN($F$244) * LEN($F$234)&gt;0),$F$244/$F$234*100,HLOOKUP(INDIRECT(ADDRESS(2,COLUMN())),OFFSET($AT$2,0,0,ROW()-1,40),ROW()-1,FALSE))</f>
        <v/>
      </c>
      <c r="G113" t="str">
        <f ca="1">IF(AND($B$294=1,LEN($G$244) * LEN($G$234)&gt;0),$G$244/$G$234*100,HLOOKUP(INDIRECT(ADDRESS(2,COLUMN())),OFFSET($AT$2,0,0,ROW()-1,40),ROW()-1,FALSE))</f>
        <v/>
      </c>
      <c r="H113" t="str">
        <f ca="1">IF(AND($B$294=1,LEN($H$244) * LEN($H$234)&gt;0),$H$244/$H$234*100,HLOOKUP(INDIRECT(ADDRESS(2,COLUMN())),OFFSET($AT$2,0,0,ROW()-1,40),ROW()-1,FALSE))</f>
        <v/>
      </c>
      <c r="I113" t="str">
        <f ca="1">IF(AND($B$294=1,LEN($I$244) * LEN($I$234)&gt;0),$I$244/$I$234*100,HLOOKUP(INDIRECT(ADDRESS(2,COLUMN())),OFFSET($AT$2,0,0,ROW()-1,40),ROW()-1,FALSE))</f>
        <v/>
      </c>
      <c r="J113" t="str">
        <f ca="1">IF(AND($B$294=1,LEN($J$244) * LEN($J$234)&gt;0),$J$244/$J$234*100,HLOOKUP(INDIRECT(ADDRESS(2,COLUMN())),OFFSET($AT$2,0,0,ROW()-1,40),ROW()-1,FALSE))</f>
        <v/>
      </c>
      <c r="K113" t="str">
        <f ca="1">IF(AND($B$294=1,LEN($K$244) * LEN($K$234)&gt;0),$K$244/$K$234*100,HLOOKUP(INDIRECT(ADDRESS(2,COLUMN())),OFFSET($AT$2,0,0,ROW()-1,40),ROW()-1,FALSE))</f>
        <v/>
      </c>
      <c r="L113" t="str">
        <f ca="1">IF(AND($B$294=1,LEN($L$244) * LEN($L$234)&gt;0),$L$244/$L$234*100,HLOOKUP(INDIRECT(ADDRESS(2,COLUMN())),OFFSET($AT$2,0,0,ROW()-1,40),ROW()-1,FALSE))</f>
        <v/>
      </c>
      <c r="M113" t="str">
        <f ca="1">IF(AND($B$294=1,LEN($M$244) * LEN($M$234)&gt;0),$M$244/$M$234*100,HLOOKUP(INDIRECT(ADDRESS(2,COLUMN())),OFFSET($AT$2,0,0,ROW()-1,40),ROW()-1,FALSE))</f>
        <v/>
      </c>
      <c r="N113" t="str">
        <f ca="1">IF(AND($B$294=1,LEN($N$244) * LEN($N$234)&gt;0),$N$244/$N$234*100,HLOOKUP(INDIRECT(ADDRESS(2,COLUMN())),OFFSET($AT$2,0,0,ROW()-1,40),ROW()-1,FALSE))</f>
        <v/>
      </c>
      <c r="O113" t="str">
        <f ca="1">IF(AND($B$294=1,LEN($O$244) * LEN($O$234)&gt;0),$O$244/$O$234*100,HLOOKUP(INDIRECT(ADDRESS(2,COLUMN())),OFFSET($AT$2,0,0,ROW()-1,40),ROW()-1,FALSE))</f>
        <v/>
      </c>
      <c r="P113" t="str">
        <f ca="1">IF(AND($B$294=1,LEN($P$244) * LEN($P$234)&gt;0),$P$244/$P$234*100,HLOOKUP(INDIRECT(ADDRESS(2,COLUMN())),OFFSET($AT$2,0,0,ROW()-1,40),ROW()-1,FALSE))</f>
        <v/>
      </c>
      <c r="Q113" t="str">
        <f ca="1">IF(AND($B$294=1,LEN($Q$244) * LEN($Q$234)&gt;0),$Q$244/$Q$234*100,HLOOKUP(INDIRECT(ADDRESS(2,COLUMN())),OFFSET($AT$2,0,0,ROW()-1,40),ROW()-1,FALSE))</f>
        <v/>
      </c>
      <c r="R113" t="str">
        <f ca="1">IF(AND($B$294=1,LEN($R$244) * LEN($R$234)&gt;0),$R$244/$R$234*100,HLOOKUP(INDIRECT(ADDRESS(2,COLUMN())),OFFSET($AT$2,0,0,ROW()-1,40),ROW()-1,FALSE))</f>
        <v/>
      </c>
      <c r="S113" t="str">
        <f ca="1">IF(AND($B$294=1,LEN($S$244) * LEN($S$234)&gt;0),$S$244/$S$234*100,HLOOKUP(INDIRECT(ADDRESS(2,COLUMN())),OFFSET($AT$2,0,0,ROW()-1,40),ROW()-1,FALSE))</f>
        <v/>
      </c>
      <c r="T113" t="str">
        <f ca="1">IF(AND($B$294=1,LEN($T$244) * LEN($T$234)&gt;0),$T$244/$T$234*100,HLOOKUP(INDIRECT(ADDRESS(2,COLUMN())),OFFSET($AT$2,0,0,ROW()-1,40),ROW()-1,FALSE))</f>
        <v/>
      </c>
      <c r="U113" t="str">
        <f ca="1">IF(AND($B$294=1,LEN($U$244) * LEN($U$234)&gt;0),$U$244/$U$234*100,HLOOKUP(INDIRECT(ADDRESS(2,COLUMN())),OFFSET($AT$2,0,0,ROW()-1,40),ROW()-1,FALSE))</f>
        <v/>
      </c>
      <c r="V113" t="str">
        <f ca="1">IF(AND($B$294=1,LEN($V$244) * LEN($V$234)&gt;0),$V$244/$V$234*100,HLOOKUP(INDIRECT(ADDRESS(2,COLUMN())),OFFSET($AT$2,0,0,ROW()-1,40),ROW()-1,FALSE))</f>
        <v/>
      </c>
      <c r="W113" t="str">
        <f ca="1">IF(AND($B$294=1,LEN($W$244) * LEN($W$234)&gt;0),$W$244/$W$234*100,HLOOKUP(INDIRECT(ADDRESS(2,COLUMN())),OFFSET($AT$2,0,0,ROW()-1,40),ROW()-1,FALSE))</f>
        <v/>
      </c>
      <c r="X113" t="str">
        <f ca="1">IF(AND($B$294=1,LEN($X$244) * LEN($X$234)&gt;0),$X$244/$X$234*100,HLOOKUP(INDIRECT(ADDRESS(2,COLUMN())),OFFSET($AT$2,0,0,ROW()-1,40),ROW()-1,FALSE))</f>
        <v/>
      </c>
      <c r="Y113" t="str">
        <f ca="1">IF(AND($B$294=1,LEN($Y$244) * LEN($Y$234)&gt;0),$Y$244/$Y$234*100,HLOOKUP(INDIRECT(ADDRESS(2,COLUMN())),OFFSET($AT$2,0,0,ROW()-1,40),ROW()-1,FALSE))</f>
        <v/>
      </c>
      <c r="Z113" t="str">
        <f ca="1">IF(AND($B$294=1,LEN($Z$244) * LEN($Z$234)&gt;0),$Z$244/$Z$234*100,HLOOKUP(INDIRECT(ADDRESS(2,COLUMN())),OFFSET($AT$2,0,0,ROW()-1,40),ROW()-1,FALSE))</f>
        <v/>
      </c>
      <c r="AA113" t="str">
        <f ca="1">IF(AND($B$294=1,LEN($AA$244) * LEN($AA$234)&gt;0),$AA$244/$AA$234*100,HLOOKUP(INDIRECT(ADDRESS(2,COLUMN())),OFFSET($AT$2,0,0,ROW()-1,40),ROW()-1,FALSE))</f>
        <v/>
      </c>
      <c r="AB113" t="str">
        <f ca="1">IF(AND($B$294=1,LEN($AB$244) * LEN($AB$234)&gt;0),$AB$244/$AB$234*100,HLOOKUP(INDIRECT(ADDRESS(2,COLUMN())),OFFSET($AT$2,0,0,ROW()-1,40),ROW()-1,FALSE))</f>
        <v/>
      </c>
      <c r="AC113" t="str">
        <f ca="1">IF(AND($B$294=1,LEN($AC$244) * LEN($AC$234)&gt;0),$AC$244/$AC$234*100,HLOOKUP(INDIRECT(ADDRESS(2,COLUMN())),OFFSET($AT$2,0,0,ROW()-1,40),ROW()-1,FALSE))</f>
        <v/>
      </c>
      <c r="AD113" t="str">
        <f ca="1">IF(AND($B$294=1,LEN($AD$244) * LEN($AD$234)&gt;0),$AD$244/$AD$234*100,HLOOKUP(INDIRECT(ADDRESS(2,COLUMN())),OFFSET($AT$2,0,0,ROW()-1,40),ROW()-1,FALSE))</f>
        <v/>
      </c>
      <c r="AE113" t="str">
        <f ca="1">IF(AND($B$294=1,LEN($AE$244) * LEN($AE$234)&gt;0),$AE$244/$AE$234*100,HLOOKUP(INDIRECT(ADDRESS(2,COLUMN())),OFFSET($AT$2,0,0,ROW()-1,40),ROW()-1,FALSE))</f>
        <v/>
      </c>
      <c r="AF113" t="str">
        <f ca="1">IF(AND($B$294=1,LEN($AF$244) * LEN($AF$234)&gt;0),$AF$244/$AF$234*100,HLOOKUP(INDIRECT(ADDRESS(2,COLUMN())),OFFSET($AT$2,0,0,ROW()-1,40),ROW()-1,FALSE))</f>
        <v/>
      </c>
      <c r="AG113" t="str">
        <f ca="1">IF(AND($B$294=1,LEN($AG$244) * LEN($AG$234)&gt;0),$AG$244/$AG$234*100,HLOOKUP(INDIRECT(ADDRESS(2,COLUMN())),OFFSET($AT$2,0,0,ROW()-1,40),ROW()-1,FALSE))</f>
        <v/>
      </c>
      <c r="AH113" t="str">
        <f ca="1">IF(AND($B$294=1,LEN($AH$244) * LEN($AH$234)&gt;0),$AH$244/$AH$234*100,HLOOKUP(INDIRECT(ADDRESS(2,COLUMN())),OFFSET($AT$2,0,0,ROW()-1,40),ROW()-1,FALSE))</f>
        <v/>
      </c>
      <c r="AI113" t="str">
        <f ca="1">IF(AND($B$294=1,LEN($AI$244) * LEN($AI$234)&gt;0),$AI$244/$AI$234*100,HLOOKUP(INDIRECT(ADDRESS(2,COLUMN())),OFFSET($AT$2,0,0,ROW()-1,40),ROW()-1,FALSE))</f>
        <v/>
      </c>
      <c r="AJ113" t="str">
        <f ca="1">IF(AND($B$294=1,LEN($AJ$244) * LEN($AJ$234)&gt;0),$AJ$244/$AJ$234*100,HLOOKUP(INDIRECT(ADDRESS(2,COLUMN())),OFFSET($AT$2,0,0,ROW()-1,40),ROW()-1,FALSE))</f>
        <v/>
      </c>
      <c r="AK113" t="str">
        <f ca="1">IF(AND($B$294=1,LEN($AK$244) * LEN($AK$234)&gt;0),$AK$244/$AK$234*100,HLOOKUP(INDIRECT(ADDRESS(2,COLUMN())),OFFSET($AT$2,0,0,ROW()-1,40),ROW()-1,FALSE))</f>
        <v/>
      </c>
      <c r="AL113" t="str">
        <f ca="1">IF(AND($B$294=1,LEN($AL$244) * LEN($AL$234)&gt;0),$AL$244/$AL$234*100,HLOOKUP(INDIRECT(ADDRESS(2,COLUMN())),OFFSET($AT$2,0,0,ROW()-1,40),ROW()-1,FALSE))</f>
        <v/>
      </c>
      <c r="AM113" t="str">
        <f ca="1">IF(AND($B$294=1,LEN($AM$244) * LEN($AM$234)&gt;0),$AM$244/$AM$234*100,HLOOKUP(INDIRECT(ADDRESS(2,COLUMN())),OFFSET($AT$2,0,0,ROW()-1,40),ROW()-1,FALSE))</f>
        <v/>
      </c>
      <c r="AN113" t="str">
        <f ca="1">IF(AND($B$294=1,LEN($AN$244) * LEN($AN$234)&gt;0),$AN$244/$AN$234*100,HLOOKUP(INDIRECT(ADDRESS(2,COLUMN())),OFFSET($AT$2,0,0,ROW()-1,40),ROW()-1,FALSE))</f>
        <v/>
      </c>
      <c r="AO113" t="str">
        <f ca="1">IF(AND($B$294=1,LEN($AO$244) * LEN($AO$234)&gt;0),$AO$244/$AO$234*100,HLOOKUP(INDIRECT(ADDRESS(2,COLUMN())),OFFSET($AT$2,0,0,ROW()-1,40),ROW()-1,FALSE))</f>
        <v/>
      </c>
      <c r="AP113" t="str">
        <f ca="1">IF(AND($B$294=1,LEN($AP$244) * LEN($AP$234)&gt;0),$AP$244/$AP$234*100,HLOOKUP(INDIRECT(ADDRESS(2,COLUMN())),OFFSET($AT$2,0,0,ROW()-1,40),ROW()-1,FALSE))</f>
        <v/>
      </c>
      <c r="AQ113" t="str">
        <f ca="1">IF(AND($B$294=1,LEN($AQ$244) * LEN($AQ$234)&gt;0),$AQ$244/$AQ$234*100,HLOOKUP(INDIRECT(ADDRESS(2,COLUMN())),OFFSET($AT$2,0,0,ROW()-1,40),ROW()-1,FALSE))</f>
        <v/>
      </c>
      <c r="AR113" t="str">
        <f ca="1">IF(AND($B$294=1,LEN($AR$244) * LEN($AR$234)&gt;0),$AR$244/$AR$234*100,HLOOKUP(INDIRECT(ADDRESS(2,COLUMN())),OFFSET($AT$2,0,0,ROW()-1,40),ROW()-1,FALSE))</f>
        <v/>
      </c>
      <c r="AS113" t="str">
        <f ca="1">IF(AND($B$294=1,LEN($AS$244) * LEN($AS$234)&gt;0),$AS$244/$AS$234*100,HLOOKUP(INDIRECT(ADDRESS(2,COLUMN())),OFFSET($AT$2,0,0,ROW()-1,40),ROW()-1,FALSE))</f>
        <v/>
      </c>
      <c r="AT113" t="str">
        <f>""</f>
        <v/>
      </c>
      <c r="AU113" t="str">
        <f>""</f>
        <v/>
      </c>
      <c r="AV113" t="str">
        <f>""</f>
        <v/>
      </c>
      <c r="AW113" t="str">
        <f>""</f>
        <v/>
      </c>
      <c r="AX113" t="str">
        <f>""</f>
        <v/>
      </c>
      <c r="AY113" t="str">
        <f>""</f>
        <v/>
      </c>
      <c r="AZ113" t="str">
        <f>""</f>
        <v/>
      </c>
      <c r="BA113" t="str">
        <f>""</f>
        <v/>
      </c>
      <c r="BB113" t="str">
        <f>""</f>
        <v/>
      </c>
      <c r="BC113" t="str">
        <f>""</f>
        <v/>
      </c>
      <c r="BD113" t="str">
        <f>""</f>
        <v/>
      </c>
      <c r="BE113" t="str">
        <f>""</f>
        <v/>
      </c>
      <c r="BF113" t="str">
        <f>""</f>
        <v/>
      </c>
      <c r="BG113" t="str">
        <f>""</f>
        <v/>
      </c>
      <c r="BH113" t="str">
        <f>""</f>
        <v/>
      </c>
      <c r="BI113" t="str">
        <f>""</f>
        <v/>
      </c>
      <c r="BJ113" t="str">
        <f>""</f>
        <v/>
      </c>
      <c r="BK113" t="str">
        <f>""</f>
        <v/>
      </c>
      <c r="BL113" t="str">
        <f>""</f>
        <v/>
      </c>
      <c r="BM113" t="str">
        <f>""</f>
        <v/>
      </c>
      <c r="BN113" t="str">
        <f>""</f>
        <v/>
      </c>
      <c r="BO113" t="str">
        <f>""</f>
        <v/>
      </c>
      <c r="BP113" t="str">
        <f>""</f>
        <v/>
      </c>
      <c r="BQ113" t="str">
        <f>""</f>
        <v/>
      </c>
      <c r="BR113" t="str">
        <f>""</f>
        <v/>
      </c>
      <c r="BS113" t="str">
        <f>""</f>
        <v/>
      </c>
      <c r="BT113" t="str">
        <f>""</f>
        <v/>
      </c>
      <c r="BU113" t="str">
        <f>""</f>
        <v/>
      </c>
      <c r="BV113" t="str">
        <f>""</f>
        <v/>
      </c>
      <c r="BW113" t="str">
        <f>""</f>
        <v/>
      </c>
      <c r="BX113" t="str">
        <f>""</f>
        <v/>
      </c>
      <c r="BY113" t="str">
        <f>""</f>
        <v/>
      </c>
      <c r="BZ113" t="str">
        <f>""</f>
        <v/>
      </c>
      <c r="CA113" t="str">
        <f>""</f>
        <v/>
      </c>
      <c r="CB113" t="str">
        <f>""</f>
        <v/>
      </c>
      <c r="CC113" t="str">
        <f>""</f>
        <v/>
      </c>
      <c r="CD113" t="str">
        <f>""</f>
        <v/>
      </c>
      <c r="CE113" t="str">
        <f>""</f>
        <v/>
      </c>
      <c r="CF113" t="str">
        <f>""</f>
        <v/>
      </c>
      <c r="CG113" t="str">
        <f>""</f>
        <v/>
      </c>
    </row>
    <row r="114" spans="1:85" x14ac:dyDescent="0.25">
      <c r="A114" t="str">
        <f>"        UD Truck"</f>
        <v xml:space="preserve">        UD Truck</v>
      </c>
      <c r="B114" t="str">
        <f>"VOLVB SS Equity"</f>
        <v>VOLVB SS Equity</v>
      </c>
      <c r="E114" t="str">
        <f>"Expression"</f>
        <v>Expression</v>
      </c>
      <c r="F114" t="str">
        <f ca="1">IF(AND($B$294=1,LEN($F$245) * LEN($F$234)&gt;0),$F$245/$F$234*100,HLOOKUP(INDIRECT(ADDRESS(2,COLUMN())),OFFSET($AT$2,0,0,ROW()-1,40),ROW()-1,FALSE))</f>
        <v/>
      </c>
      <c r="G114" t="str">
        <f ca="1">IF(AND($B$294=1,LEN($G$245) * LEN($G$234)&gt;0),$G$245/$G$234*100,HLOOKUP(INDIRECT(ADDRESS(2,COLUMN())),OFFSET($AT$2,0,0,ROW()-1,40),ROW()-1,FALSE))</f>
        <v/>
      </c>
      <c r="H114" t="str">
        <f ca="1">IF(AND($B$294=1,LEN($H$245) * LEN($H$234)&gt;0),$H$245/$H$234*100,HLOOKUP(INDIRECT(ADDRESS(2,COLUMN())),OFFSET($AT$2,0,0,ROW()-1,40),ROW()-1,FALSE))</f>
        <v/>
      </c>
      <c r="I114" t="str">
        <f ca="1">IF(AND($B$294=1,LEN($I$245) * LEN($I$234)&gt;0),$I$245/$I$234*100,HLOOKUP(INDIRECT(ADDRESS(2,COLUMN())),OFFSET($AT$2,0,0,ROW()-1,40),ROW()-1,FALSE))</f>
        <v/>
      </c>
      <c r="J114" t="str">
        <f ca="1">IF(AND($B$294=1,LEN($J$245) * LEN($J$234)&gt;0),$J$245/$J$234*100,HLOOKUP(INDIRECT(ADDRESS(2,COLUMN())),OFFSET($AT$2,0,0,ROW()-1,40),ROW()-1,FALSE))</f>
        <v/>
      </c>
      <c r="K114" t="str">
        <f ca="1">IF(AND($B$294=1,LEN($K$245) * LEN($K$234)&gt;0),$K$245/$K$234*100,HLOOKUP(INDIRECT(ADDRESS(2,COLUMN())),OFFSET($AT$2,0,0,ROW()-1,40),ROW()-1,FALSE))</f>
        <v/>
      </c>
      <c r="L114" t="str">
        <f ca="1">IF(AND($B$294=1,LEN($L$245) * LEN($L$234)&gt;0),$L$245/$L$234*100,HLOOKUP(INDIRECT(ADDRESS(2,COLUMN())),OFFSET($AT$2,0,0,ROW()-1,40),ROW()-1,FALSE))</f>
        <v/>
      </c>
      <c r="M114" t="str">
        <f ca="1">IF(AND($B$294=1,LEN($M$245) * LEN($M$234)&gt;0),$M$245/$M$234*100,HLOOKUP(INDIRECT(ADDRESS(2,COLUMN())),OFFSET($AT$2,0,0,ROW()-1,40),ROW()-1,FALSE))</f>
        <v/>
      </c>
      <c r="N114" t="str">
        <f ca="1">IF(AND($B$294=1,LEN($N$245) * LEN($N$234)&gt;0),$N$245/$N$234*100,HLOOKUP(INDIRECT(ADDRESS(2,COLUMN())),OFFSET($AT$2,0,0,ROW()-1,40),ROW()-1,FALSE))</f>
        <v/>
      </c>
      <c r="O114" t="str">
        <f ca="1">IF(AND($B$294=1,LEN($O$245) * LEN($O$234)&gt;0),$O$245/$O$234*100,HLOOKUP(INDIRECT(ADDRESS(2,COLUMN())),OFFSET($AT$2,0,0,ROW()-1,40),ROW()-1,FALSE))</f>
        <v/>
      </c>
      <c r="P114" t="str">
        <f ca="1">IF(AND($B$294=1,LEN($P$245) * LEN($P$234)&gt;0),$P$245/$P$234*100,HLOOKUP(INDIRECT(ADDRESS(2,COLUMN())),OFFSET($AT$2,0,0,ROW()-1,40),ROW()-1,FALSE))</f>
        <v/>
      </c>
      <c r="Q114" t="str">
        <f ca="1">IF(AND($B$294=1,LEN($Q$245) * LEN($Q$234)&gt;0),$Q$245/$Q$234*100,HLOOKUP(INDIRECT(ADDRESS(2,COLUMN())),OFFSET($AT$2,0,0,ROW()-1,40),ROW()-1,FALSE))</f>
        <v/>
      </c>
      <c r="R114" t="str">
        <f ca="1">IF(AND($B$294=1,LEN($R$245) * LEN($R$234)&gt;0),$R$245/$R$234*100,HLOOKUP(INDIRECT(ADDRESS(2,COLUMN())),OFFSET($AT$2,0,0,ROW()-1,40),ROW()-1,FALSE))</f>
        <v/>
      </c>
      <c r="S114" t="str">
        <f ca="1">IF(AND($B$294=1,LEN($S$245) * LEN($S$234)&gt;0),$S$245/$S$234*100,HLOOKUP(INDIRECT(ADDRESS(2,COLUMN())),OFFSET($AT$2,0,0,ROW()-1,40),ROW()-1,FALSE))</f>
        <v/>
      </c>
      <c r="T114" t="str">
        <f ca="1">IF(AND($B$294=1,LEN($T$245) * LEN($T$234)&gt;0),$T$245/$T$234*100,HLOOKUP(INDIRECT(ADDRESS(2,COLUMN())),OFFSET($AT$2,0,0,ROW()-1,40),ROW()-1,FALSE))</f>
        <v/>
      </c>
      <c r="U114" t="str">
        <f ca="1">IF(AND($B$294=1,LEN($U$245) * LEN($U$234)&gt;0),$U$245/$U$234*100,HLOOKUP(INDIRECT(ADDRESS(2,COLUMN())),OFFSET($AT$2,0,0,ROW()-1,40),ROW()-1,FALSE))</f>
        <v/>
      </c>
      <c r="V114" t="str">
        <f ca="1">IF(AND($B$294=1,LEN($V$245) * LEN($V$234)&gt;0),$V$245/$V$234*100,HLOOKUP(INDIRECT(ADDRESS(2,COLUMN())),OFFSET($AT$2,0,0,ROW()-1,40),ROW()-1,FALSE))</f>
        <v/>
      </c>
      <c r="W114" t="str">
        <f ca="1">IF(AND($B$294=1,LEN($W$245) * LEN($W$234)&gt;0),$W$245/$W$234*100,HLOOKUP(INDIRECT(ADDRESS(2,COLUMN())),OFFSET($AT$2,0,0,ROW()-1,40),ROW()-1,FALSE))</f>
        <v/>
      </c>
      <c r="X114" t="str">
        <f ca="1">IF(AND($B$294=1,LEN($X$245) * LEN($X$234)&gt;0),$X$245/$X$234*100,HLOOKUP(INDIRECT(ADDRESS(2,COLUMN())),OFFSET($AT$2,0,0,ROW()-1,40),ROW()-1,FALSE))</f>
        <v/>
      </c>
      <c r="Y114" t="str">
        <f ca="1">IF(AND($B$294=1,LEN($Y$245) * LEN($Y$234)&gt;0),$Y$245/$Y$234*100,HLOOKUP(INDIRECT(ADDRESS(2,COLUMN())),OFFSET($AT$2,0,0,ROW()-1,40),ROW()-1,FALSE))</f>
        <v/>
      </c>
      <c r="Z114" t="str">
        <f ca="1">IF(AND($B$294=1,LEN($Z$245) * LEN($Z$234)&gt;0),$Z$245/$Z$234*100,HLOOKUP(INDIRECT(ADDRESS(2,COLUMN())),OFFSET($AT$2,0,0,ROW()-1,40),ROW()-1,FALSE))</f>
        <v/>
      </c>
      <c r="AA114" t="str">
        <f ca="1">IF(AND($B$294=1,LEN($AA$245) * LEN($AA$234)&gt;0),$AA$245/$AA$234*100,HLOOKUP(INDIRECT(ADDRESS(2,COLUMN())),OFFSET($AT$2,0,0,ROW()-1,40),ROW()-1,FALSE))</f>
        <v/>
      </c>
      <c r="AB114" t="str">
        <f ca="1">IF(AND($B$294=1,LEN($AB$245) * LEN($AB$234)&gt;0),$AB$245/$AB$234*100,HLOOKUP(INDIRECT(ADDRESS(2,COLUMN())),OFFSET($AT$2,0,0,ROW()-1,40),ROW()-1,FALSE))</f>
        <v/>
      </c>
      <c r="AC114" t="str">
        <f ca="1">IF(AND($B$294=1,LEN($AC$245) * LEN($AC$234)&gt;0),$AC$245/$AC$234*100,HLOOKUP(INDIRECT(ADDRESS(2,COLUMN())),OFFSET($AT$2,0,0,ROW()-1,40),ROW()-1,FALSE))</f>
        <v/>
      </c>
      <c r="AD114" t="str">
        <f ca="1">IF(AND($B$294=1,LEN($AD$245) * LEN($AD$234)&gt;0),$AD$245/$AD$234*100,HLOOKUP(INDIRECT(ADDRESS(2,COLUMN())),OFFSET($AT$2,0,0,ROW()-1,40),ROW()-1,FALSE))</f>
        <v/>
      </c>
      <c r="AE114" t="str">
        <f ca="1">IF(AND($B$294=1,LEN($AE$245) * LEN($AE$234)&gt;0),$AE$245/$AE$234*100,HLOOKUP(INDIRECT(ADDRESS(2,COLUMN())),OFFSET($AT$2,0,0,ROW()-1,40),ROW()-1,FALSE))</f>
        <v/>
      </c>
      <c r="AF114" t="str">
        <f ca="1">IF(AND($B$294=1,LEN($AF$245) * LEN($AF$234)&gt;0),$AF$245/$AF$234*100,HLOOKUP(INDIRECT(ADDRESS(2,COLUMN())),OFFSET($AT$2,0,0,ROW()-1,40),ROW()-1,FALSE))</f>
        <v/>
      </c>
      <c r="AG114" t="str">
        <f ca="1">IF(AND($B$294=1,LEN($AG$245) * LEN($AG$234)&gt;0),$AG$245/$AG$234*100,HLOOKUP(INDIRECT(ADDRESS(2,COLUMN())),OFFSET($AT$2,0,0,ROW()-1,40),ROW()-1,FALSE))</f>
        <v/>
      </c>
      <c r="AH114" t="str">
        <f ca="1">IF(AND($B$294=1,LEN($AH$245) * LEN($AH$234)&gt;0),$AH$245/$AH$234*100,HLOOKUP(INDIRECT(ADDRESS(2,COLUMN())),OFFSET($AT$2,0,0,ROW()-1,40),ROW()-1,FALSE))</f>
        <v/>
      </c>
      <c r="AI114" t="str">
        <f ca="1">IF(AND($B$294=1,LEN($AI$245) * LEN($AI$234)&gt;0),$AI$245/$AI$234*100,HLOOKUP(INDIRECT(ADDRESS(2,COLUMN())),OFFSET($AT$2,0,0,ROW()-1,40),ROW()-1,FALSE))</f>
        <v/>
      </c>
      <c r="AJ114" t="str">
        <f ca="1">IF(AND($B$294=1,LEN($AJ$245) * LEN($AJ$234)&gt;0),$AJ$245/$AJ$234*100,HLOOKUP(INDIRECT(ADDRESS(2,COLUMN())),OFFSET($AT$2,0,0,ROW()-1,40),ROW()-1,FALSE))</f>
        <v/>
      </c>
      <c r="AK114" t="str">
        <f ca="1">IF(AND($B$294=1,LEN($AK$245) * LEN($AK$234)&gt;0),$AK$245/$AK$234*100,HLOOKUP(INDIRECT(ADDRESS(2,COLUMN())),OFFSET($AT$2,0,0,ROW()-1,40),ROW()-1,FALSE))</f>
        <v/>
      </c>
      <c r="AL114" t="str">
        <f ca="1">IF(AND($B$294=1,LEN($AL$245) * LEN($AL$234)&gt;0),$AL$245/$AL$234*100,HLOOKUP(INDIRECT(ADDRESS(2,COLUMN())),OFFSET($AT$2,0,0,ROW()-1,40),ROW()-1,FALSE))</f>
        <v/>
      </c>
      <c r="AM114" t="str">
        <f ca="1">IF(AND($B$294=1,LEN($AM$245) * LEN($AM$234)&gt;0),$AM$245/$AM$234*100,HLOOKUP(INDIRECT(ADDRESS(2,COLUMN())),OFFSET($AT$2,0,0,ROW()-1,40),ROW()-1,FALSE))</f>
        <v/>
      </c>
      <c r="AN114" t="str">
        <f ca="1">IF(AND($B$294=1,LEN($AN$245) * LEN($AN$234)&gt;0),$AN$245/$AN$234*100,HLOOKUP(INDIRECT(ADDRESS(2,COLUMN())),OFFSET($AT$2,0,0,ROW()-1,40),ROW()-1,FALSE))</f>
        <v/>
      </c>
      <c r="AO114" t="str">
        <f ca="1">IF(AND($B$294=1,LEN($AO$245) * LEN($AO$234)&gt;0),$AO$245/$AO$234*100,HLOOKUP(INDIRECT(ADDRESS(2,COLUMN())),OFFSET($AT$2,0,0,ROW()-1,40),ROW()-1,FALSE))</f>
        <v/>
      </c>
      <c r="AP114" t="str">
        <f ca="1">IF(AND($B$294=1,LEN($AP$245) * LEN($AP$234)&gt;0),$AP$245/$AP$234*100,HLOOKUP(INDIRECT(ADDRESS(2,COLUMN())),OFFSET($AT$2,0,0,ROW()-1,40),ROW()-1,FALSE))</f>
        <v/>
      </c>
      <c r="AQ114" t="str">
        <f ca="1">IF(AND($B$294=1,LEN($AQ$245) * LEN($AQ$234)&gt;0),$AQ$245/$AQ$234*100,HLOOKUP(INDIRECT(ADDRESS(2,COLUMN())),OFFSET($AT$2,0,0,ROW()-1,40),ROW()-1,FALSE))</f>
        <v/>
      </c>
      <c r="AR114" t="str">
        <f ca="1">IF(AND($B$294=1,LEN($AR$245) * LEN($AR$234)&gt;0),$AR$245/$AR$234*100,HLOOKUP(INDIRECT(ADDRESS(2,COLUMN())),OFFSET($AT$2,0,0,ROW()-1,40),ROW()-1,FALSE))</f>
        <v/>
      </c>
      <c r="AS114" t="str">
        <f ca="1">IF(AND($B$294=1,LEN($AS$245) * LEN($AS$234)&gt;0),$AS$245/$AS$234*100,HLOOKUP(INDIRECT(ADDRESS(2,COLUMN())),OFFSET($AT$2,0,0,ROW()-1,40),ROW()-1,FALSE))</f>
        <v/>
      </c>
      <c r="AT114" t="str">
        <f>""</f>
        <v/>
      </c>
      <c r="AU114" t="str">
        <f>""</f>
        <v/>
      </c>
      <c r="AV114" t="str">
        <f>""</f>
        <v/>
      </c>
      <c r="AW114" t="str">
        <f>""</f>
        <v/>
      </c>
      <c r="AX114" t="str">
        <f>""</f>
        <v/>
      </c>
      <c r="AY114" t="str">
        <f>""</f>
        <v/>
      </c>
      <c r="AZ114" t="str">
        <f>""</f>
        <v/>
      </c>
      <c r="BA114" t="str">
        <f>""</f>
        <v/>
      </c>
      <c r="BB114" t="str">
        <f>""</f>
        <v/>
      </c>
      <c r="BC114" t="str">
        <f>""</f>
        <v/>
      </c>
      <c r="BD114" t="str">
        <f>""</f>
        <v/>
      </c>
      <c r="BE114" t="str">
        <f>""</f>
        <v/>
      </c>
      <c r="BF114" t="str">
        <f>""</f>
        <v/>
      </c>
      <c r="BG114" t="str">
        <f>""</f>
        <v/>
      </c>
      <c r="BH114" t="str">
        <f>""</f>
        <v/>
      </c>
      <c r="BI114" t="str">
        <f>""</f>
        <v/>
      </c>
      <c r="BJ114" t="str">
        <f>""</f>
        <v/>
      </c>
      <c r="BK114" t="str">
        <f>""</f>
        <v/>
      </c>
      <c r="BL114" t="str">
        <f>""</f>
        <v/>
      </c>
      <c r="BM114" t="str">
        <f>""</f>
        <v/>
      </c>
      <c r="BN114" t="str">
        <f>""</f>
        <v/>
      </c>
      <c r="BO114" t="str">
        <f>""</f>
        <v/>
      </c>
      <c r="BP114" t="str">
        <f>""</f>
        <v/>
      </c>
      <c r="BQ114" t="str">
        <f>""</f>
        <v/>
      </c>
      <c r="BR114" t="str">
        <f>""</f>
        <v/>
      </c>
      <c r="BS114" t="str">
        <f>""</f>
        <v/>
      </c>
      <c r="BT114" t="str">
        <f>""</f>
        <v/>
      </c>
      <c r="BU114" t="str">
        <f>""</f>
        <v/>
      </c>
      <c r="BV114" t="str">
        <f>""</f>
        <v/>
      </c>
      <c r="BW114" t="str">
        <f>""</f>
        <v/>
      </c>
      <c r="BX114" t="str">
        <f>""</f>
        <v/>
      </c>
      <c r="BY114" t="str">
        <f>""</f>
        <v/>
      </c>
      <c r="BZ114" t="str">
        <f>""</f>
        <v/>
      </c>
      <c r="CA114" t="str">
        <f>""</f>
        <v/>
      </c>
      <c r="CB114" t="str">
        <f>""</f>
        <v/>
      </c>
      <c r="CC114" t="str">
        <f>""</f>
        <v/>
      </c>
      <c r="CD114" t="str">
        <f>""</f>
        <v/>
      </c>
      <c r="CE114" t="str">
        <f>""</f>
        <v/>
      </c>
      <c r="CF114" t="str">
        <f>""</f>
        <v/>
      </c>
      <c r="CG114" t="str">
        <f>""</f>
        <v/>
      </c>
    </row>
    <row r="115" spans="1:85" x14ac:dyDescent="0.25">
      <c r="A115" t="str">
        <f>"    General Motors"</f>
        <v xml:space="preserve">    General Motors</v>
      </c>
      <c r="B115" t="str">
        <f>"MTLQQ US Equity"</f>
        <v>MTLQQ US Equity</v>
      </c>
      <c r="E115" t="str">
        <f>"Sum"</f>
        <v>Sum</v>
      </c>
      <c r="F115" t="str">
        <f ca="1">IF(ISERROR(IF(SUM($F$116:$F$117) = 0, "", SUM($F$116:$F$117))), "", (IF(SUM($F$116:$F$117) = 0, "", SUM($F$116:$F$117))))</f>
        <v/>
      </c>
      <c r="G115" t="str">
        <f ca="1">IF(ISERROR(IF(SUM($G$116:$G$117) = 0, "", SUM($G$116:$G$117))), "", (IF(SUM($G$116:$G$117) = 0, "", SUM($G$116:$G$117))))</f>
        <v/>
      </c>
      <c r="H115" t="str">
        <f ca="1">IF(ISERROR(IF(SUM($H$116:$H$117) = 0, "", SUM($H$116:$H$117))), "", (IF(SUM($H$116:$H$117) = 0, "", SUM($H$116:$H$117))))</f>
        <v/>
      </c>
      <c r="I115" t="str">
        <f ca="1">IF(ISERROR(IF(SUM($I$116:$I$117) = 0, "", SUM($I$116:$I$117))), "", (IF(SUM($I$116:$I$117) = 0, "", SUM($I$116:$I$117))))</f>
        <v/>
      </c>
      <c r="J115" t="str">
        <f ca="1">IF(ISERROR(IF(SUM($J$116:$J$117) = 0, "", SUM($J$116:$J$117))), "", (IF(SUM($J$116:$J$117) = 0, "", SUM($J$116:$J$117))))</f>
        <v/>
      </c>
      <c r="K115" t="str">
        <f ca="1">IF(ISERROR(IF(SUM($K$116:$K$117) = 0, "", SUM($K$116:$K$117))), "", (IF(SUM($K$116:$K$117) = 0, "", SUM($K$116:$K$117))))</f>
        <v/>
      </c>
      <c r="L115" t="str">
        <f ca="1">IF(ISERROR(IF(SUM($L$116:$L$117) = 0, "", SUM($L$116:$L$117))), "", (IF(SUM($L$116:$L$117) = 0, "", SUM($L$116:$L$117))))</f>
        <v/>
      </c>
      <c r="M115" t="str">
        <f ca="1">IF(ISERROR(IF(SUM($M$116:$M$117) = 0, "", SUM($M$116:$M$117))), "", (IF(SUM($M$116:$M$117) = 0, "", SUM($M$116:$M$117))))</f>
        <v/>
      </c>
      <c r="N115" t="str">
        <f ca="1">IF(ISERROR(IF(SUM($N$116:$N$117) = 0, "", SUM($N$116:$N$117))), "", (IF(SUM($N$116:$N$117) = 0, "", SUM($N$116:$N$117))))</f>
        <v/>
      </c>
      <c r="O115" t="str">
        <f ca="1">IF(ISERROR(IF(SUM($O$116:$O$117) = 0, "", SUM($O$116:$O$117))), "", (IF(SUM($O$116:$O$117) = 0, "", SUM($O$116:$O$117))))</f>
        <v/>
      </c>
      <c r="P115" t="str">
        <f ca="1">IF(ISERROR(IF(SUM($P$116:$P$117) = 0, "", SUM($P$116:$P$117))), "", (IF(SUM($P$116:$P$117) = 0, "", SUM($P$116:$P$117))))</f>
        <v/>
      </c>
      <c r="Q115" t="str">
        <f ca="1">IF(ISERROR(IF(SUM($Q$116:$Q$117) = 0, "", SUM($Q$116:$Q$117))), "", (IF(SUM($Q$116:$Q$117) = 0, "", SUM($Q$116:$Q$117))))</f>
        <v/>
      </c>
      <c r="R115" t="str">
        <f ca="1">IF(ISERROR(IF(SUM($R$116:$R$117) = 0, "", SUM($R$116:$R$117))), "", (IF(SUM($R$116:$R$117) = 0, "", SUM($R$116:$R$117))))</f>
        <v/>
      </c>
      <c r="S115" t="str">
        <f ca="1">IF(ISERROR(IF(SUM($S$116:$S$117) = 0, "", SUM($S$116:$S$117))), "", (IF(SUM($S$116:$S$117) = 0, "", SUM($S$116:$S$117))))</f>
        <v/>
      </c>
      <c r="T115" t="str">
        <f ca="1">IF(ISERROR(IF(SUM($T$116:$T$117) = 0, "", SUM($T$116:$T$117))), "", (IF(SUM($T$116:$T$117) = 0, "", SUM($T$116:$T$117))))</f>
        <v/>
      </c>
      <c r="U115" t="str">
        <f ca="1">IF(ISERROR(IF(SUM($U$116:$U$117) = 0, "", SUM($U$116:$U$117))), "", (IF(SUM($U$116:$U$117) = 0, "", SUM($U$116:$U$117))))</f>
        <v/>
      </c>
      <c r="V115" t="str">
        <f ca="1">IF(ISERROR(IF(SUM($V$116:$V$117) = 0, "", SUM($V$116:$V$117))), "", (IF(SUM($V$116:$V$117) = 0, "", SUM($V$116:$V$117))))</f>
        <v/>
      </c>
      <c r="W115" t="str">
        <f ca="1">IF(ISERROR(IF(SUM($W$116:$W$117) = 0, "", SUM($W$116:$W$117))), "", (IF(SUM($W$116:$W$117) = 0, "", SUM($W$116:$W$117))))</f>
        <v/>
      </c>
      <c r="X115" t="str">
        <f ca="1">IF(ISERROR(IF(SUM($X$116:$X$117) = 0, "", SUM($X$116:$X$117))), "", (IF(SUM($X$116:$X$117) = 0, "", SUM($X$116:$X$117))))</f>
        <v/>
      </c>
      <c r="Y115" t="str">
        <f ca="1">IF(ISERROR(IF(SUM($Y$116:$Y$117) = 0, "", SUM($Y$116:$Y$117))), "", (IF(SUM($Y$116:$Y$117) = 0, "", SUM($Y$116:$Y$117))))</f>
        <v/>
      </c>
      <c r="Z115" t="str">
        <f ca="1">IF(ISERROR(IF(SUM($Z$116:$Z$117) = 0, "", SUM($Z$116:$Z$117))), "", (IF(SUM($Z$116:$Z$117) = 0, "", SUM($Z$116:$Z$117))))</f>
        <v/>
      </c>
      <c r="AA115" t="str">
        <f ca="1">IF(ISERROR(IF(SUM($AA$116:$AA$117) = 0, "", SUM($AA$116:$AA$117))), "", (IF(SUM($AA$116:$AA$117) = 0, "", SUM($AA$116:$AA$117))))</f>
        <v/>
      </c>
      <c r="AB115" t="str">
        <f ca="1">IF(ISERROR(IF(SUM($AB$116:$AB$117) = 0, "", SUM($AB$116:$AB$117))), "", (IF(SUM($AB$116:$AB$117) = 0, "", SUM($AB$116:$AB$117))))</f>
        <v/>
      </c>
      <c r="AC115" t="str">
        <f ca="1">IF(ISERROR(IF(SUM($AC$116:$AC$117) = 0, "", SUM($AC$116:$AC$117))), "", (IF(SUM($AC$116:$AC$117) = 0, "", SUM($AC$116:$AC$117))))</f>
        <v/>
      </c>
      <c r="AD115" t="str">
        <f ca="1">IF(ISERROR(IF(SUM($AD$116:$AD$117) = 0, "", SUM($AD$116:$AD$117))), "", (IF(SUM($AD$116:$AD$117) = 0, "", SUM($AD$116:$AD$117))))</f>
        <v/>
      </c>
      <c r="AE115" t="str">
        <f ca="1">IF(ISERROR(IF(SUM($AE$116:$AE$117) = 0, "", SUM($AE$116:$AE$117))), "", (IF(SUM($AE$116:$AE$117) = 0, "", SUM($AE$116:$AE$117))))</f>
        <v/>
      </c>
      <c r="AF115" t="str">
        <f ca="1">IF(ISERROR(IF(SUM($AF$116:$AF$117) = 0, "", SUM($AF$116:$AF$117))), "", (IF(SUM($AF$116:$AF$117) = 0, "", SUM($AF$116:$AF$117))))</f>
        <v/>
      </c>
      <c r="AG115" t="str">
        <f ca="1">IF(ISERROR(IF(SUM($AG$116:$AG$117) = 0, "", SUM($AG$116:$AG$117))), "", (IF(SUM($AG$116:$AG$117) = 0, "", SUM($AG$116:$AG$117))))</f>
        <v/>
      </c>
      <c r="AH115" t="str">
        <f ca="1">IF(ISERROR(IF(SUM($AH$116:$AH$117) = 0, "", SUM($AH$116:$AH$117))), "", (IF(SUM($AH$116:$AH$117) = 0, "", SUM($AH$116:$AH$117))))</f>
        <v/>
      </c>
      <c r="AI115" t="str">
        <f ca="1">IF(ISERROR(IF(SUM($AI$116:$AI$117) = 0, "", SUM($AI$116:$AI$117))), "", (IF(SUM($AI$116:$AI$117) = 0, "", SUM($AI$116:$AI$117))))</f>
        <v/>
      </c>
      <c r="AJ115" t="str">
        <f ca="1">IF(ISERROR(IF(SUM($AJ$116:$AJ$117) = 0, "", SUM($AJ$116:$AJ$117))), "", (IF(SUM($AJ$116:$AJ$117) = 0, "", SUM($AJ$116:$AJ$117))))</f>
        <v/>
      </c>
      <c r="AK115" t="str">
        <f ca="1">IF(ISERROR(IF(SUM($AK$116:$AK$117) = 0, "", SUM($AK$116:$AK$117))), "", (IF(SUM($AK$116:$AK$117) = 0, "", SUM($AK$116:$AK$117))))</f>
        <v/>
      </c>
      <c r="AL115" t="str">
        <f ca="1">IF(ISERROR(IF(SUM($AL$116:$AL$117) = 0, "", SUM($AL$116:$AL$117))), "", (IF(SUM($AL$116:$AL$117) = 0, "", SUM($AL$116:$AL$117))))</f>
        <v/>
      </c>
      <c r="AM115" t="str">
        <f ca="1">IF(ISERROR(IF(SUM($AM$116:$AM$117) = 0, "", SUM($AM$116:$AM$117))), "", (IF(SUM($AM$116:$AM$117) = 0, "", SUM($AM$116:$AM$117))))</f>
        <v/>
      </c>
      <c r="AN115" t="str">
        <f ca="1">IF(ISERROR(IF(SUM($AN$116:$AN$117) = 0, "", SUM($AN$116:$AN$117))), "", (IF(SUM($AN$116:$AN$117) = 0, "", SUM($AN$116:$AN$117))))</f>
        <v/>
      </c>
      <c r="AO115" t="str">
        <f ca="1">IF(ISERROR(IF(SUM($AO$116:$AO$117) = 0, "", SUM($AO$116:$AO$117))), "", (IF(SUM($AO$116:$AO$117) = 0, "", SUM($AO$116:$AO$117))))</f>
        <v/>
      </c>
      <c r="AP115" t="str">
        <f ca="1">IF(ISERROR(IF(SUM($AP$116:$AP$117) = 0, "", SUM($AP$116:$AP$117))), "", (IF(SUM($AP$116:$AP$117) = 0, "", SUM($AP$116:$AP$117))))</f>
        <v/>
      </c>
      <c r="AQ115" t="str">
        <f ca="1">IF(ISERROR(IF(SUM($AQ$116:$AQ$117) = 0, "", SUM($AQ$116:$AQ$117))), "", (IF(SUM($AQ$116:$AQ$117) = 0, "", SUM($AQ$116:$AQ$117))))</f>
        <v/>
      </c>
      <c r="AR115" t="str">
        <f ca="1">IF(ISERROR(IF(SUM($AR$116:$AR$117) = 0, "", SUM($AR$116:$AR$117))), "", (IF(SUM($AR$116:$AR$117) = 0, "", SUM($AR$116:$AR$117))))</f>
        <v/>
      </c>
      <c r="AS115" t="str">
        <f ca="1">IF(ISERROR(IF(SUM($AS$116:$AS$117) = 0, "", SUM($AS$116:$AS$117))), "", (IF(SUM($AS$116:$AS$117) = 0, "", SUM($AS$116:$AS$117))))</f>
        <v/>
      </c>
      <c r="AT115" t="str">
        <f>""</f>
        <v/>
      </c>
      <c r="AU115" t="str">
        <f>""</f>
        <v/>
      </c>
      <c r="AV115" t="str">
        <f>""</f>
        <v/>
      </c>
      <c r="AW115" t="str">
        <f>""</f>
        <v/>
      </c>
      <c r="AX115" t="str">
        <f>""</f>
        <v/>
      </c>
      <c r="AY115" t="str">
        <f>""</f>
        <v/>
      </c>
      <c r="AZ115" t="str">
        <f>""</f>
        <v/>
      </c>
      <c r="BA115" t="str">
        <f>""</f>
        <v/>
      </c>
      <c r="BB115" t="str">
        <f>""</f>
        <v/>
      </c>
      <c r="BC115" t="str">
        <f>""</f>
        <v/>
      </c>
      <c r="BD115" t="str">
        <f>""</f>
        <v/>
      </c>
      <c r="BE115" t="str">
        <f>""</f>
        <v/>
      </c>
      <c r="BF115" t="str">
        <f>""</f>
        <v/>
      </c>
      <c r="BG115" t="str">
        <f>""</f>
        <v/>
      </c>
      <c r="BH115" t="str">
        <f>""</f>
        <v/>
      </c>
      <c r="BI115" t="str">
        <f>""</f>
        <v/>
      </c>
      <c r="BJ115" t="str">
        <f>""</f>
        <v/>
      </c>
      <c r="BK115" t="str">
        <f>""</f>
        <v/>
      </c>
      <c r="BL115" t="str">
        <f>""</f>
        <v/>
      </c>
      <c r="BM115" t="str">
        <f>""</f>
        <v/>
      </c>
      <c r="BN115" t="str">
        <f>""</f>
        <v/>
      </c>
      <c r="BO115" t="str">
        <f>""</f>
        <v/>
      </c>
      <c r="BP115" t="str">
        <f>""</f>
        <v/>
      </c>
      <c r="BQ115" t="str">
        <f>""</f>
        <v/>
      </c>
      <c r="BR115" t="str">
        <f>""</f>
        <v/>
      </c>
      <c r="BS115" t="str">
        <f>""</f>
        <v/>
      </c>
      <c r="BT115" t="str">
        <f>""</f>
        <v/>
      </c>
      <c r="BU115" t="str">
        <f>""</f>
        <v/>
      </c>
      <c r="BV115" t="str">
        <f>""</f>
        <v/>
      </c>
      <c r="BW115" t="str">
        <f>""</f>
        <v/>
      </c>
      <c r="BX115" t="str">
        <f>""</f>
        <v/>
      </c>
      <c r="BY115" t="str">
        <f>""</f>
        <v/>
      </c>
      <c r="BZ115" t="str">
        <f>""</f>
        <v/>
      </c>
      <c r="CA115" t="str">
        <f>""</f>
        <v/>
      </c>
      <c r="CB115" t="str">
        <f>""</f>
        <v/>
      </c>
      <c r="CC115" t="str">
        <f>""</f>
        <v/>
      </c>
      <c r="CD115" t="str">
        <f>""</f>
        <v/>
      </c>
      <c r="CE115" t="str">
        <f>""</f>
        <v/>
      </c>
      <c r="CF115" t="str">
        <f>""</f>
        <v/>
      </c>
      <c r="CG115" t="str">
        <f>""</f>
        <v/>
      </c>
    </row>
    <row r="116" spans="1:85" x14ac:dyDescent="0.25">
      <c r="A116" t="str">
        <f>"        GMC"</f>
        <v xml:space="preserve">        GMC</v>
      </c>
      <c r="B116" t="str">
        <f>"MTLQQ US Equity"</f>
        <v>MTLQQ US Equity</v>
      </c>
      <c r="E116" t="str">
        <f>"Expression"</f>
        <v>Expression</v>
      </c>
      <c r="F116" t="str">
        <f ca="1">IF(AND($B$294=1,LEN($F$246) * LEN($F$234)&gt;0),$F$246/$F$234*100,HLOOKUP(INDIRECT(ADDRESS(2,COLUMN())),OFFSET($AT$2,0,0,ROW()-1,40),ROW()-1,FALSE))</f>
        <v/>
      </c>
      <c r="G116" t="str">
        <f ca="1">IF(AND($B$294=1,LEN($G$246) * LEN($G$234)&gt;0),$G$246/$G$234*100,HLOOKUP(INDIRECT(ADDRESS(2,COLUMN())),OFFSET($AT$2,0,0,ROW()-1,40),ROW()-1,FALSE))</f>
        <v/>
      </c>
      <c r="H116" t="str">
        <f ca="1">IF(AND($B$294=1,LEN($H$246) * LEN($H$234)&gt;0),$H$246/$H$234*100,HLOOKUP(INDIRECT(ADDRESS(2,COLUMN())),OFFSET($AT$2,0,0,ROW()-1,40),ROW()-1,FALSE))</f>
        <v/>
      </c>
      <c r="I116" t="str">
        <f ca="1">IF(AND($B$294=1,LEN($I$246) * LEN($I$234)&gt;0),$I$246/$I$234*100,HLOOKUP(INDIRECT(ADDRESS(2,COLUMN())),OFFSET($AT$2,0,0,ROW()-1,40),ROW()-1,FALSE))</f>
        <v/>
      </c>
      <c r="J116" t="str">
        <f ca="1">IF(AND($B$294=1,LEN($J$246) * LEN($J$234)&gt;0),$J$246/$J$234*100,HLOOKUP(INDIRECT(ADDRESS(2,COLUMN())),OFFSET($AT$2,0,0,ROW()-1,40),ROW()-1,FALSE))</f>
        <v/>
      </c>
      <c r="K116" t="str">
        <f ca="1">IF(AND($B$294=1,LEN($K$246) * LEN($K$234)&gt;0),$K$246/$K$234*100,HLOOKUP(INDIRECT(ADDRESS(2,COLUMN())),OFFSET($AT$2,0,0,ROW()-1,40),ROW()-1,FALSE))</f>
        <v/>
      </c>
      <c r="L116" t="str">
        <f ca="1">IF(AND($B$294=1,LEN($L$246) * LEN($L$234)&gt;0),$L$246/$L$234*100,HLOOKUP(INDIRECT(ADDRESS(2,COLUMN())),OFFSET($AT$2,0,0,ROW()-1,40),ROW()-1,FALSE))</f>
        <v/>
      </c>
      <c r="M116" t="str">
        <f ca="1">IF(AND($B$294=1,LEN($M$246) * LEN($M$234)&gt;0),$M$246/$M$234*100,HLOOKUP(INDIRECT(ADDRESS(2,COLUMN())),OFFSET($AT$2,0,0,ROW()-1,40),ROW()-1,FALSE))</f>
        <v/>
      </c>
      <c r="N116" t="str">
        <f ca="1">IF(AND($B$294=1,LEN($N$246) * LEN($N$234)&gt;0),$N$246/$N$234*100,HLOOKUP(INDIRECT(ADDRESS(2,COLUMN())),OFFSET($AT$2,0,0,ROW()-1,40),ROW()-1,FALSE))</f>
        <v/>
      </c>
      <c r="O116" t="str">
        <f ca="1">IF(AND($B$294=1,LEN($O$246) * LEN($O$234)&gt;0),$O$246/$O$234*100,HLOOKUP(INDIRECT(ADDRESS(2,COLUMN())),OFFSET($AT$2,0,0,ROW()-1,40),ROW()-1,FALSE))</f>
        <v/>
      </c>
      <c r="P116" t="str">
        <f ca="1">IF(AND($B$294=1,LEN($P$246) * LEN($P$234)&gt;0),$P$246/$P$234*100,HLOOKUP(INDIRECT(ADDRESS(2,COLUMN())),OFFSET($AT$2,0,0,ROW()-1,40),ROW()-1,FALSE))</f>
        <v/>
      </c>
      <c r="Q116" t="str">
        <f ca="1">IF(AND($B$294=1,LEN($Q$246) * LEN($Q$234)&gt;0),$Q$246/$Q$234*100,HLOOKUP(INDIRECT(ADDRESS(2,COLUMN())),OFFSET($AT$2,0,0,ROW()-1,40),ROW()-1,FALSE))</f>
        <v/>
      </c>
      <c r="R116" t="str">
        <f ca="1">IF(AND($B$294=1,LEN($R$246) * LEN($R$234)&gt;0),$R$246/$R$234*100,HLOOKUP(INDIRECT(ADDRESS(2,COLUMN())),OFFSET($AT$2,0,0,ROW()-1,40),ROW()-1,FALSE))</f>
        <v/>
      </c>
      <c r="S116" t="str">
        <f ca="1">IF(AND($B$294=1,LEN($S$246) * LEN($S$234)&gt;0),$S$246/$S$234*100,HLOOKUP(INDIRECT(ADDRESS(2,COLUMN())),OFFSET($AT$2,0,0,ROW()-1,40),ROW()-1,FALSE))</f>
        <v/>
      </c>
      <c r="T116" t="str">
        <f ca="1">IF(AND($B$294=1,LEN($T$246) * LEN($T$234)&gt;0),$T$246/$T$234*100,HLOOKUP(INDIRECT(ADDRESS(2,COLUMN())),OFFSET($AT$2,0,0,ROW()-1,40),ROW()-1,FALSE))</f>
        <v/>
      </c>
      <c r="U116" t="str">
        <f ca="1">IF(AND($B$294=1,LEN($U$246) * LEN($U$234)&gt;0),$U$246/$U$234*100,HLOOKUP(INDIRECT(ADDRESS(2,COLUMN())),OFFSET($AT$2,0,0,ROW()-1,40),ROW()-1,FALSE))</f>
        <v/>
      </c>
      <c r="V116" t="str">
        <f ca="1">IF(AND($B$294=1,LEN($V$246) * LEN($V$234)&gt;0),$V$246/$V$234*100,HLOOKUP(INDIRECT(ADDRESS(2,COLUMN())),OFFSET($AT$2,0,0,ROW()-1,40),ROW()-1,FALSE))</f>
        <v/>
      </c>
      <c r="W116" t="str">
        <f ca="1">IF(AND($B$294=1,LEN($W$246) * LEN($W$234)&gt;0),$W$246/$W$234*100,HLOOKUP(INDIRECT(ADDRESS(2,COLUMN())),OFFSET($AT$2,0,0,ROW()-1,40),ROW()-1,FALSE))</f>
        <v/>
      </c>
      <c r="X116" t="str">
        <f ca="1">IF(AND($B$294=1,LEN($X$246) * LEN($X$234)&gt;0),$X$246/$X$234*100,HLOOKUP(INDIRECT(ADDRESS(2,COLUMN())),OFFSET($AT$2,0,0,ROW()-1,40),ROW()-1,FALSE))</f>
        <v/>
      </c>
      <c r="Y116" t="str">
        <f ca="1">IF(AND($B$294=1,LEN($Y$246) * LEN($Y$234)&gt;0),$Y$246/$Y$234*100,HLOOKUP(INDIRECT(ADDRESS(2,COLUMN())),OFFSET($AT$2,0,0,ROW()-1,40),ROW()-1,FALSE))</f>
        <v/>
      </c>
      <c r="Z116" t="str">
        <f ca="1">IF(AND($B$294=1,LEN($Z$246) * LEN($Z$234)&gt;0),$Z$246/$Z$234*100,HLOOKUP(INDIRECT(ADDRESS(2,COLUMN())),OFFSET($AT$2,0,0,ROW()-1,40),ROW()-1,FALSE))</f>
        <v/>
      </c>
      <c r="AA116" t="str">
        <f ca="1">IF(AND($B$294=1,LEN($AA$246) * LEN($AA$234)&gt;0),$AA$246/$AA$234*100,HLOOKUP(INDIRECT(ADDRESS(2,COLUMN())),OFFSET($AT$2,0,0,ROW()-1,40),ROW()-1,FALSE))</f>
        <v/>
      </c>
      <c r="AB116" t="str">
        <f ca="1">IF(AND($B$294=1,LEN($AB$246) * LEN($AB$234)&gt;0),$AB$246/$AB$234*100,HLOOKUP(INDIRECT(ADDRESS(2,COLUMN())),OFFSET($AT$2,0,0,ROW()-1,40),ROW()-1,FALSE))</f>
        <v/>
      </c>
      <c r="AC116" t="str">
        <f ca="1">IF(AND($B$294=1,LEN($AC$246) * LEN($AC$234)&gt;0),$AC$246/$AC$234*100,HLOOKUP(INDIRECT(ADDRESS(2,COLUMN())),OFFSET($AT$2,0,0,ROW()-1,40),ROW()-1,FALSE))</f>
        <v/>
      </c>
      <c r="AD116" t="str">
        <f ca="1">IF(AND($B$294=1,LEN($AD$246) * LEN($AD$234)&gt;0),$AD$246/$AD$234*100,HLOOKUP(INDIRECT(ADDRESS(2,COLUMN())),OFFSET($AT$2,0,0,ROW()-1,40),ROW()-1,FALSE))</f>
        <v/>
      </c>
      <c r="AE116" t="str">
        <f ca="1">IF(AND($B$294=1,LEN($AE$246) * LEN($AE$234)&gt;0),$AE$246/$AE$234*100,HLOOKUP(INDIRECT(ADDRESS(2,COLUMN())),OFFSET($AT$2,0,0,ROW()-1,40),ROW()-1,FALSE))</f>
        <v/>
      </c>
      <c r="AF116" t="str">
        <f ca="1">IF(AND($B$294=1,LEN($AF$246) * LEN($AF$234)&gt;0),$AF$246/$AF$234*100,HLOOKUP(INDIRECT(ADDRESS(2,COLUMN())),OFFSET($AT$2,0,0,ROW()-1,40),ROW()-1,FALSE))</f>
        <v/>
      </c>
      <c r="AG116" t="str">
        <f ca="1">IF(AND($B$294=1,LEN($AG$246) * LEN($AG$234)&gt;0),$AG$246/$AG$234*100,HLOOKUP(INDIRECT(ADDRESS(2,COLUMN())),OFFSET($AT$2,0,0,ROW()-1,40),ROW()-1,FALSE))</f>
        <v/>
      </c>
      <c r="AH116" t="str">
        <f ca="1">IF(AND($B$294=1,LEN($AH$246) * LEN($AH$234)&gt;0),$AH$246/$AH$234*100,HLOOKUP(INDIRECT(ADDRESS(2,COLUMN())),OFFSET($AT$2,0,0,ROW()-1,40),ROW()-1,FALSE))</f>
        <v/>
      </c>
      <c r="AI116" t="str">
        <f ca="1">IF(AND($B$294=1,LEN($AI$246) * LEN($AI$234)&gt;0),$AI$246/$AI$234*100,HLOOKUP(INDIRECT(ADDRESS(2,COLUMN())),OFFSET($AT$2,0,0,ROW()-1,40),ROW()-1,FALSE))</f>
        <v/>
      </c>
      <c r="AJ116" t="str">
        <f ca="1">IF(AND($B$294=1,LEN($AJ$246) * LEN($AJ$234)&gt;0),$AJ$246/$AJ$234*100,HLOOKUP(INDIRECT(ADDRESS(2,COLUMN())),OFFSET($AT$2,0,0,ROW()-1,40),ROW()-1,FALSE))</f>
        <v/>
      </c>
      <c r="AK116" t="str">
        <f ca="1">IF(AND($B$294=1,LEN($AK$246) * LEN($AK$234)&gt;0),$AK$246/$AK$234*100,HLOOKUP(INDIRECT(ADDRESS(2,COLUMN())),OFFSET($AT$2,0,0,ROW()-1,40),ROW()-1,FALSE))</f>
        <v/>
      </c>
      <c r="AL116" t="str">
        <f ca="1">IF(AND($B$294=1,LEN($AL$246) * LEN($AL$234)&gt;0),$AL$246/$AL$234*100,HLOOKUP(INDIRECT(ADDRESS(2,COLUMN())),OFFSET($AT$2,0,0,ROW()-1,40),ROW()-1,FALSE))</f>
        <v/>
      </c>
      <c r="AM116" t="str">
        <f ca="1">IF(AND($B$294=1,LEN($AM$246) * LEN($AM$234)&gt;0),$AM$246/$AM$234*100,HLOOKUP(INDIRECT(ADDRESS(2,COLUMN())),OFFSET($AT$2,0,0,ROW()-1,40),ROW()-1,FALSE))</f>
        <v/>
      </c>
      <c r="AN116" t="str">
        <f ca="1">IF(AND($B$294=1,LEN($AN$246) * LEN($AN$234)&gt;0),$AN$246/$AN$234*100,HLOOKUP(INDIRECT(ADDRESS(2,COLUMN())),OFFSET($AT$2,0,0,ROW()-1,40),ROW()-1,FALSE))</f>
        <v/>
      </c>
      <c r="AO116" t="str">
        <f ca="1">IF(AND($B$294=1,LEN($AO$246) * LEN($AO$234)&gt;0),$AO$246/$AO$234*100,HLOOKUP(INDIRECT(ADDRESS(2,COLUMN())),OFFSET($AT$2,0,0,ROW()-1,40),ROW()-1,FALSE))</f>
        <v/>
      </c>
      <c r="AP116" t="str">
        <f ca="1">IF(AND($B$294=1,LEN($AP$246) * LEN($AP$234)&gt;0),$AP$246/$AP$234*100,HLOOKUP(INDIRECT(ADDRESS(2,COLUMN())),OFFSET($AT$2,0,0,ROW()-1,40),ROW()-1,FALSE))</f>
        <v/>
      </c>
      <c r="AQ116" t="str">
        <f ca="1">IF(AND($B$294=1,LEN($AQ$246) * LEN($AQ$234)&gt;0),$AQ$246/$AQ$234*100,HLOOKUP(INDIRECT(ADDRESS(2,COLUMN())),OFFSET($AT$2,0,0,ROW()-1,40),ROW()-1,FALSE))</f>
        <v/>
      </c>
      <c r="AR116" t="str">
        <f ca="1">IF(AND($B$294=1,LEN($AR$246) * LEN($AR$234)&gt;0),$AR$246/$AR$234*100,HLOOKUP(INDIRECT(ADDRESS(2,COLUMN())),OFFSET($AT$2,0,0,ROW()-1,40),ROW()-1,FALSE))</f>
        <v/>
      </c>
      <c r="AS116" t="str">
        <f ca="1">IF(AND($B$294=1,LEN($AS$246) * LEN($AS$234)&gt;0),$AS$246/$AS$234*100,HLOOKUP(INDIRECT(ADDRESS(2,COLUMN())),OFFSET($AT$2,0,0,ROW()-1,40),ROW()-1,FALSE))</f>
        <v/>
      </c>
      <c r="AT116" t="str">
        <f>""</f>
        <v/>
      </c>
      <c r="AU116" t="str">
        <f>""</f>
        <v/>
      </c>
      <c r="AV116" t="str">
        <f>""</f>
        <v/>
      </c>
      <c r="AW116" t="str">
        <f>""</f>
        <v/>
      </c>
      <c r="AX116" t="str">
        <f>""</f>
        <v/>
      </c>
      <c r="AY116" t="str">
        <f>""</f>
        <v/>
      </c>
      <c r="AZ116" t="str">
        <f>""</f>
        <v/>
      </c>
      <c r="BA116" t="str">
        <f>""</f>
        <v/>
      </c>
      <c r="BB116" t="str">
        <f>""</f>
        <v/>
      </c>
      <c r="BC116" t="str">
        <f>""</f>
        <v/>
      </c>
      <c r="BD116" t="str">
        <f>""</f>
        <v/>
      </c>
      <c r="BE116" t="str">
        <f>""</f>
        <v/>
      </c>
      <c r="BF116" t="str">
        <f>""</f>
        <v/>
      </c>
      <c r="BG116" t="str">
        <f>""</f>
        <v/>
      </c>
      <c r="BH116" t="str">
        <f>""</f>
        <v/>
      </c>
      <c r="BI116" t="str">
        <f>""</f>
        <v/>
      </c>
      <c r="BJ116" t="str">
        <f>""</f>
        <v/>
      </c>
      <c r="BK116" t="str">
        <f>""</f>
        <v/>
      </c>
      <c r="BL116" t="str">
        <f>""</f>
        <v/>
      </c>
      <c r="BM116" t="str">
        <f>""</f>
        <v/>
      </c>
      <c r="BN116" t="str">
        <f>""</f>
        <v/>
      </c>
      <c r="BO116" t="str">
        <f>""</f>
        <v/>
      </c>
      <c r="BP116" t="str">
        <f>""</f>
        <v/>
      </c>
      <c r="BQ116" t="str">
        <f>""</f>
        <v/>
      </c>
      <c r="BR116" t="str">
        <f>""</f>
        <v/>
      </c>
      <c r="BS116" t="str">
        <f>""</f>
        <v/>
      </c>
      <c r="BT116" t="str">
        <f>""</f>
        <v/>
      </c>
      <c r="BU116" t="str">
        <f>""</f>
        <v/>
      </c>
      <c r="BV116" t="str">
        <f>""</f>
        <v/>
      </c>
      <c r="BW116" t="str">
        <f>""</f>
        <v/>
      </c>
      <c r="BX116" t="str">
        <f>""</f>
        <v/>
      </c>
      <c r="BY116" t="str">
        <f>""</f>
        <v/>
      </c>
      <c r="BZ116" t="str">
        <f>""</f>
        <v/>
      </c>
      <c r="CA116" t="str">
        <f>""</f>
        <v/>
      </c>
      <c r="CB116" t="str">
        <f>""</f>
        <v/>
      </c>
      <c r="CC116" t="str">
        <f>""</f>
        <v/>
      </c>
      <c r="CD116" t="str">
        <f>""</f>
        <v/>
      </c>
      <c r="CE116" t="str">
        <f>""</f>
        <v/>
      </c>
      <c r="CF116" t="str">
        <f>""</f>
        <v/>
      </c>
      <c r="CG116" t="str">
        <f>""</f>
        <v/>
      </c>
    </row>
    <row r="117" spans="1:85" x14ac:dyDescent="0.25">
      <c r="A117" t="str">
        <f>"        Chevrolet"</f>
        <v xml:space="preserve">        Chevrolet</v>
      </c>
      <c r="B117" t="str">
        <f>"MTLQQ US Equity"</f>
        <v>MTLQQ US Equity</v>
      </c>
      <c r="E117" t="str">
        <f>"Expression"</f>
        <v>Expression</v>
      </c>
      <c r="F117" t="str">
        <f ca="1">IF(AND($B$294=1,LEN($F$247) * LEN($F$234)&gt;0),$F$247/$F$234*100,HLOOKUP(INDIRECT(ADDRESS(2,COLUMN())),OFFSET($AT$2,0,0,ROW()-1,40),ROW()-1,FALSE))</f>
        <v/>
      </c>
      <c r="G117" t="str">
        <f ca="1">IF(AND($B$294=1,LEN($G$247) * LEN($G$234)&gt;0),$G$247/$G$234*100,HLOOKUP(INDIRECT(ADDRESS(2,COLUMN())),OFFSET($AT$2,0,0,ROW()-1,40),ROW()-1,FALSE))</f>
        <v/>
      </c>
      <c r="H117" t="str">
        <f ca="1">IF(AND($B$294=1,LEN($H$247) * LEN($H$234)&gt;0),$H$247/$H$234*100,HLOOKUP(INDIRECT(ADDRESS(2,COLUMN())),OFFSET($AT$2,0,0,ROW()-1,40),ROW()-1,FALSE))</f>
        <v/>
      </c>
      <c r="I117" t="str">
        <f ca="1">IF(AND($B$294=1,LEN($I$247) * LEN($I$234)&gt;0),$I$247/$I$234*100,HLOOKUP(INDIRECT(ADDRESS(2,COLUMN())),OFFSET($AT$2,0,0,ROW()-1,40),ROW()-1,FALSE))</f>
        <v/>
      </c>
      <c r="J117" t="str">
        <f ca="1">IF(AND($B$294=1,LEN($J$247) * LEN($J$234)&gt;0),$J$247/$J$234*100,HLOOKUP(INDIRECT(ADDRESS(2,COLUMN())),OFFSET($AT$2,0,0,ROW()-1,40),ROW()-1,FALSE))</f>
        <v/>
      </c>
      <c r="K117" t="str">
        <f ca="1">IF(AND($B$294=1,LEN($K$247) * LEN($K$234)&gt;0),$K$247/$K$234*100,HLOOKUP(INDIRECT(ADDRESS(2,COLUMN())),OFFSET($AT$2,0,0,ROW()-1,40),ROW()-1,FALSE))</f>
        <v/>
      </c>
      <c r="L117" t="str">
        <f ca="1">IF(AND($B$294=1,LEN($L$247) * LEN($L$234)&gt;0),$L$247/$L$234*100,HLOOKUP(INDIRECT(ADDRESS(2,COLUMN())),OFFSET($AT$2,0,0,ROW()-1,40),ROW()-1,FALSE))</f>
        <v/>
      </c>
      <c r="M117" t="str">
        <f ca="1">IF(AND($B$294=1,LEN($M$247) * LEN($M$234)&gt;0),$M$247/$M$234*100,HLOOKUP(INDIRECT(ADDRESS(2,COLUMN())),OFFSET($AT$2,0,0,ROW()-1,40),ROW()-1,FALSE))</f>
        <v/>
      </c>
      <c r="N117" t="str">
        <f ca="1">IF(AND($B$294=1,LEN($N$247) * LEN($N$234)&gt;0),$N$247/$N$234*100,HLOOKUP(INDIRECT(ADDRESS(2,COLUMN())),OFFSET($AT$2,0,0,ROW()-1,40),ROW()-1,FALSE))</f>
        <v/>
      </c>
      <c r="O117" t="str">
        <f ca="1">IF(AND($B$294=1,LEN($O$247) * LEN($O$234)&gt;0),$O$247/$O$234*100,HLOOKUP(INDIRECT(ADDRESS(2,COLUMN())),OFFSET($AT$2,0,0,ROW()-1,40),ROW()-1,FALSE))</f>
        <v/>
      </c>
      <c r="P117" t="str">
        <f ca="1">IF(AND($B$294=1,LEN($P$247) * LEN($P$234)&gt;0),$P$247/$P$234*100,HLOOKUP(INDIRECT(ADDRESS(2,COLUMN())),OFFSET($AT$2,0,0,ROW()-1,40),ROW()-1,FALSE))</f>
        <v/>
      </c>
      <c r="Q117" t="str">
        <f ca="1">IF(AND($B$294=1,LEN($Q$247) * LEN($Q$234)&gt;0),$Q$247/$Q$234*100,HLOOKUP(INDIRECT(ADDRESS(2,COLUMN())),OFFSET($AT$2,0,0,ROW()-1,40),ROW()-1,FALSE))</f>
        <v/>
      </c>
      <c r="R117" t="str">
        <f ca="1">IF(AND($B$294=1,LEN($R$247) * LEN($R$234)&gt;0),$R$247/$R$234*100,HLOOKUP(INDIRECT(ADDRESS(2,COLUMN())),OFFSET($AT$2,0,0,ROW()-1,40),ROW()-1,FALSE))</f>
        <v/>
      </c>
      <c r="S117" t="str">
        <f ca="1">IF(AND($B$294=1,LEN($S$247) * LEN($S$234)&gt;0),$S$247/$S$234*100,HLOOKUP(INDIRECT(ADDRESS(2,COLUMN())),OFFSET($AT$2,0,0,ROW()-1,40),ROW()-1,FALSE))</f>
        <v/>
      </c>
      <c r="T117" t="str">
        <f ca="1">IF(AND($B$294=1,LEN($T$247) * LEN($T$234)&gt;0),$T$247/$T$234*100,HLOOKUP(INDIRECT(ADDRESS(2,COLUMN())),OFFSET($AT$2,0,0,ROW()-1,40),ROW()-1,FALSE))</f>
        <v/>
      </c>
      <c r="U117" t="str">
        <f ca="1">IF(AND($B$294=1,LEN($U$247) * LEN($U$234)&gt;0),$U$247/$U$234*100,HLOOKUP(INDIRECT(ADDRESS(2,COLUMN())),OFFSET($AT$2,0,0,ROW()-1,40),ROW()-1,FALSE))</f>
        <v/>
      </c>
      <c r="V117" t="str">
        <f ca="1">IF(AND($B$294=1,LEN($V$247) * LEN($V$234)&gt;0),$V$247/$V$234*100,HLOOKUP(INDIRECT(ADDRESS(2,COLUMN())),OFFSET($AT$2,0,0,ROW()-1,40),ROW()-1,FALSE))</f>
        <v/>
      </c>
      <c r="W117" t="str">
        <f ca="1">IF(AND($B$294=1,LEN($W$247) * LEN($W$234)&gt;0),$W$247/$W$234*100,HLOOKUP(INDIRECT(ADDRESS(2,COLUMN())),OFFSET($AT$2,0,0,ROW()-1,40),ROW()-1,FALSE))</f>
        <v/>
      </c>
      <c r="X117" t="str">
        <f ca="1">IF(AND($B$294=1,LEN($X$247) * LEN($X$234)&gt;0),$X$247/$X$234*100,HLOOKUP(INDIRECT(ADDRESS(2,COLUMN())),OFFSET($AT$2,0,0,ROW()-1,40),ROW()-1,FALSE))</f>
        <v/>
      </c>
      <c r="Y117" t="str">
        <f ca="1">IF(AND($B$294=1,LEN($Y$247) * LEN($Y$234)&gt;0),$Y$247/$Y$234*100,HLOOKUP(INDIRECT(ADDRESS(2,COLUMN())),OFFSET($AT$2,0,0,ROW()-1,40),ROW()-1,FALSE))</f>
        <v/>
      </c>
      <c r="Z117" t="str">
        <f ca="1">IF(AND($B$294=1,LEN($Z$247) * LEN($Z$234)&gt;0),$Z$247/$Z$234*100,HLOOKUP(INDIRECT(ADDRESS(2,COLUMN())),OFFSET($AT$2,0,0,ROW()-1,40),ROW()-1,FALSE))</f>
        <v/>
      </c>
      <c r="AA117" t="str">
        <f ca="1">IF(AND($B$294=1,LEN($AA$247) * LEN($AA$234)&gt;0),$AA$247/$AA$234*100,HLOOKUP(INDIRECT(ADDRESS(2,COLUMN())),OFFSET($AT$2,0,0,ROW()-1,40),ROW()-1,FALSE))</f>
        <v/>
      </c>
      <c r="AB117" t="str">
        <f ca="1">IF(AND($B$294=1,LEN($AB$247) * LEN($AB$234)&gt;0),$AB$247/$AB$234*100,HLOOKUP(INDIRECT(ADDRESS(2,COLUMN())),OFFSET($AT$2,0,0,ROW()-1,40),ROW()-1,FALSE))</f>
        <v/>
      </c>
      <c r="AC117" t="str">
        <f ca="1">IF(AND($B$294=1,LEN($AC$247) * LEN($AC$234)&gt;0),$AC$247/$AC$234*100,HLOOKUP(INDIRECT(ADDRESS(2,COLUMN())),OFFSET($AT$2,0,0,ROW()-1,40),ROW()-1,FALSE))</f>
        <v/>
      </c>
      <c r="AD117" t="str">
        <f ca="1">IF(AND($B$294=1,LEN($AD$247) * LEN($AD$234)&gt;0),$AD$247/$AD$234*100,HLOOKUP(INDIRECT(ADDRESS(2,COLUMN())),OFFSET($AT$2,0,0,ROW()-1,40),ROW()-1,FALSE))</f>
        <v/>
      </c>
      <c r="AE117" t="str">
        <f ca="1">IF(AND($B$294=1,LEN($AE$247) * LEN($AE$234)&gt;0),$AE$247/$AE$234*100,HLOOKUP(INDIRECT(ADDRESS(2,COLUMN())),OFFSET($AT$2,0,0,ROW()-1,40),ROW()-1,FALSE))</f>
        <v/>
      </c>
      <c r="AF117" t="str">
        <f ca="1">IF(AND($B$294=1,LEN($AF$247) * LEN($AF$234)&gt;0),$AF$247/$AF$234*100,HLOOKUP(INDIRECT(ADDRESS(2,COLUMN())),OFFSET($AT$2,0,0,ROW()-1,40),ROW()-1,FALSE))</f>
        <v/>
      </c>
      <c r="AG117" t="str">
        <f ca="1">IF(AND($B$294=1,LEN($AG$247) * LEN($AG$234)&gt;0),$AG$247/$AG$234*100,HLOOKUP(INDIRECT(ADDRESS(2,COLUMN())),OFFSET($AT$2,0,0,ROW()-1,40),ROW()-1,FALSE))</f>
        <v/>
      </c>
      <c r="AH117" t="str">
        <f ca="1">IF(AND($B$294=1,LEN($AH$247) * LEN($AH$234)&gt;0),$AH$247/$AH$234*100,HLOOKUP(INDIRECT(ADDRESS(2,COLUMN())),OFFSET($AT$2,0,0,ROW()-1,40),ROW()-1,FALSE))</f>
        <v/>
      </c>
      <c r="AI117" t="str">
        <f ca="1">IF(AND($B$294=1,LEN($AI$247) * LEN($AI$234)&gt;0),$AI$247/$AI$234*100,HLOOKUP(INDIRECT(ADDRESS(2,COLUMN())),OFFSET($AT$2,0,0,ROW()-1,40),ROW()-1,FALSE))</f>
        <v/>
      </c>
      <c r="AJ117" t="str">
        <f ca="1">IF(AND($B$294=1,LEN($AJ$247) * LEN($AJ$234)&gt;0),$AJ$247/$AJ$234*100,HLOOKUP(INDIRECT(ADDRESS(2,COLUMN())),OFFSET($AT$2,0,0,ROW()-1,40),ROW()-1,FALSE))</f>
        <v/>
      </c>
      <c r="AK117" t="str">
        <f ca="1">IF(AND($B$294=1,LEN($AK$247) * LEN($AK$234)&gt;0),$AK$247/$AK$234*100,HLOOKUP(INDIRECT(ADDRESS(2,COLUMN())),OFFSET($AT$2,0,0,ROW()-1,40),ROW()-1,FALSE))</f>
        <v/>
      </c>
      <c r="AL117" t="str">
        <f ca="1">IF(AND($B$294=1,LEN($AL$247) * LEN($AL$234)&gt;0),$AL$247/$AL$234*100,HLOOKUP(INDIRECT(ADDRESS(2,COLUMN())),OFFSET($AT$2,0,0,ROW()-1,40),ROW()-1,FALSE))</f>
        <v/>
      </c>
      <c r="AM117" t="str">
        <f ca="1">IF(AND($B$294=1,LEN($AM$247) * LEN($AM$234)&gt;0),$AM$247/$AM$234*100,HLOOKUP(INDIRECT(ADDRESS(2,COLUMN())),OFFSET($AT$2,0,0,ROW()-1,40),ROW()-1,FALSE))</f>
        <v/>
      </c>
      <c r="AN117" t="str">
        <f ca="1">IF(AND($B$294=1,LEN($AN$247) * LEN($AN$234)&gt;0),$AN$247/$AN$234*100,HLOOKUP(INDIRECT(ADDRESS(2,COLUMN())),OFFSET($AT$2,0,0,ROW()-1,40),ROW()-1,FALSE))</f>
        <v/>
      </c>
      <c r="AO117" t="str">
        <f ca="1">IF(AND($B$294=1,LEN($AO$247) * LEN($AO$234)&gt;0),$AO$247/$AO$234*100,HLOOKUP(INDIRECT(ADDRESS(2,COLUMN())),OFFSET($AT$2,0,0,ROW()-1,40),ROW()-1,FALSE))</f>
        <v/>
      </c>
      <c r="AP117" t="str">
        <f ca="1">IF(AND($B$294=1,LEN($AP$247) * LEN($AP$234)&gt;0),$AP$247/$AP$234*100,HLOOKUP(INDIRECT(ADDRESS(2,COLUMN())),OFFSET($AT$2,0,0,ROW()-1,40),ROW()-1,FALSE))</f>
        <v/>
      </c>
      <c r="AQ117" t="str">
        <f ca="1">IF(AND($B$294=1,LEN($AQ$247) * LEN($AQ$234)&gt;0),$AQ$247/$AQ$234*100,HLOOKUP(INDIRECT(ADDRESS(2,COLUMN())),OFFSET($AT$2,0,0,ROW()-1,40),ROW()-1,FALSE))</f>
        <v/>
      </c>
      <c r="AR117" t="str">
        <f ca="1">IF(AND($B$294=1,LEN($AR$247) * LEN($AR$234)&gt;0),$AR$247/$AR$234*100,HLOOKUP(INDIRECT(ADDRESS(2,COLUMN())),OFFSET($AT$2,0,0,ROW()-1,40),ROW()-1,FALSE))</f>
        <v/>
      </c>
      <c r="AS117" t="str">
        <f ca="1">IF(AND($B$294=1,LEN($AS$247) * LEN($AS$234)&gt;0),$AS$247/$AS$234*100,HLOOKUP(INDIRECT(ADDRESS(2,COLUMN())),OFFSET($AT$2,0,0,ROW()-1,40),ROW()-1,FALSE))</f>
        <v/>
      </c>
      <c r="AT117" t="str">
        <f>""</f>
        <v/>
      </c>
      <c r="AU117" t="str">
        <f>""</f>
        <v/>
      </c>
      <c r="AV117" t="str">
        <f>""</f>
        <v/>
      </c>
      <c r="AW117" t="str">
        <f>""</f>
        <v/>
      </c>
      <c r="AX117" t="str">
        <f>""</f>
        <v/>
      </c>
      <c r="AY117" t="str">
        <f>""</f>
        <v/>
      </c>
      <c r="AZ117" t="str">
        <f>""</f>
        <v/>
      </c>
      <c r="BA117" t="str">
        <f>""</f>
        <v/>
      </c>
      <c r="BB117" t="str">
        <f>""</f>
        <v/>
      </c>
      <c r="BC117" t="str">
        <f>""</f>
        <v/>
      </c>
      <c r="BD117" t="str">
        <f>""</f>
        <v/>
      </c>
      <c r="BE117" t="str">
        <f>""</f>
        <v/>
      </c>
      <c r="BF117" t="str">
        <f>""</f>
        <v/>
      </c>
      <c r="BG117" t="str">
        <f>""</f>
        <v/>
      </c>
      <c r="BH117" t="str">
        <f>""</f>
        <v/>
      </c>
      <c r="BI117" t="str">
        <f>""</f>
        <v/>
      </c>
      <c r="BJ117" t="str">
        <f>""</f>
        <v/>
      </c>
      <c r="BK117" t="str">
        <f>""</f>
        <v/>
      </c>
      <c r="BL117" t="str">
        <f>""</f>
        <v/>
      </c>
      <c r="BM117" t="str">
        <f>""</f>
        <v/>
      </c>
      <c r="BN117" t="str">
        <f>""</f>
        <v/>
      </c>
      <c r="BO117" t="str">
        <f>""</f>
        <v/>
      </c>
      <c r="BP117" t="str">
        <f>""</f>
        <v/>
      </c>
      <c r="BQ117" t="str">
        <f>""</f>
        <v/>
      </c>
      <c r="BR117" t="str">
        <f>""</f>
        <v/>
      </c>
      <c r="BS117" t="str">
        <f>""</f>
        <v/>
      </c>
      <c r="BT117" t="str">
        <f>""</f>
        <v/>
      </c>
      <c r="BU117" t="str">
        <f>""</f>
        <v/>
      </c>
      <c r="BV117" t="str">
        <f>""</f>
        <v/>
      </c>
      <c r="BW117" t="str">
        <f>""</f>
        <v/>
      </c>
      <c r="BX117" t="str">
        <f>""</f>
        <v/>
      </c>
      <c r="BY117" t="str">
        <f>""</f>
        <v/>
      </c>
      <c r="BZ117" t="str">
        <f>""</f>
        <v/>
      </c>
      <c r="CA117" t="str">
        <f>""</f>
        <v/>
      </c>
      <c r="CB117" t="str">
        <f>""</f>
        <v/>
      </c>
      <c r="CC117" t="str">
        <f>""</f>
        <v/>
      </c>
      <c r="CD117" t="str">
        <f>""</f>
        <v/>
      </c>
      <c r="CE117" t="str">
        <f>""</f>
        <v/>
      </c>
      <c r="CF117" t="str">
        <f>""</f>
        <v/>
      </c>
      <c r="CG117" t="str">
        <f>""</f>
        <v/>
      </c>
    </row>
    <row r="118" spans="1:85" x14ac:dyDescent="0.25">
      <c r="A118" t="str">
        <f>"    Isuzu"</f>
        <v xml:space="preserve">    Isuzu</v>
      </c>
      <c r="B118" t="str">
        <f>"7202 JP Equity"</f>
        <v>7202 JP Equity</v>
      </c>
      <c r="E118" t="str">
        <f>"Expression"</f>
        <v>Expression</v>
      </c>
      <c r="F118">
        <f ca="1">IF(AND($B$294=1,LEN($F$248) * LEN($F$234)&gt;0),$F$248/$F$234*100,HLOOKUP(INDIRECT(ADDRESS(2,COLUMN())),OFFSET($AT$2,0,0,ROW()-1,40),ROW()-1,FALSE))</f>
        <v>0.54110499300000003</v>
      </c>
      <c r="G118">
        <f ca="1">IF(AND($B$294=1,LEN($G$248) * LEN($G$234)&gt;0),$G$248/$G$234*100,HLOOKUP(INDIRECT(ADDRESS(2,COLUMN())),OFFSET($AT$2,0,0,ROW()-1,40),ROW()-1,FALSE))</f>
        <v>0.39175257699999999</v>
      </c>
      <c r="H118">
        <f ca="1">IF(AND($B$294=1,LEN($H$248) * LEN($H$234)&gt;0),$H$248/$H$234*100,HLOOKUP(INDIRECT(ADDRESS(2,COLUMN())),OFFSET($AT$2,0,0,ROW()-1,40),ROW()-1,FALSE))</f>
        <v>0.200770961</v>
      </c>
      <c r="I118">
        <f ca="1">IF(AND($B$294=1,LEN($I$248) * LEN($I$234)&gt;0),$I$248/$I$234*100,HLOOKUP(INDIRECT(ADDRESS(2,COLUMN())),OFFSET($AT$2,0,0,ROW()-1,40),ROW()-1,FALSE))</f>
        <v>4.0359196999999999E-2</v>
      </c>
      <c r="J118">
        <f ca="1">IF(AND($B$294=1,LEN($J$248) * LEN($J$234)&gt;0),$J$248/$J$234*100,HLOOKUP(INDIRECT(ADDRESS(2,COLUMN())),OFFSET($AT$2,0,0,ROW()-1,40),ROW()-1,FALSE))</f>
        <v>0</v>
      </c>
      <c r="K118">
        <f ca="1">IF(AND($B$294=1,LEN($K$248) * LEN($K$234)&gt;0),$K$248/$K$234*100,HLOOKUP(INDIRECT(ADDRESS(2,COLUMN())),OFFSET($AT$2,0,0,ROW()-1,40),ROW()-1,FALSE))</f>
        <v>0</v>
      </c>
      <c r="L118">
        <f ca="1">IF(AND($B$294=1,LEN($L$248) * LEN($L$234)&gt;0),$L$248/$L$234*100,HLOOKUP(INDIRECT(ADDRESS(2,COLUMN())),OFFSET($AT$2,0,0,ROW()-1,40),ROW()-1,FALSE))</f>
        <v>0</v>
      </c>
      <c r="M118">
        <f ca="1">IF(AND($B$294=1,LEN($M$248) * LEN($M$234)&gt;0),$M$248/$M$234*100,HLOOKUP(INDIRECT(ADDRESS(2,COLUMN())),OFFSET($AT$2,0,0,ROW()-1,40),ROW()-1,FALSE))</f>
        <v>0</v>
      </c>
      <c r="N118">
        <f ca="1">IF(AND($B$294=1,LEN($N$248) * LEN($N$234)&gt;0),$N$248/$N$234*100,HLOOKUP(INDIRECT(ADDRESS(2,COLUMN())),OFFSET($AT$2,0,0,ROW()-1,40),ROW()-1,FALSE))</f>
        <v>0</v>
      </c>
      <c r="O118">
        <f ca="1">IF(AND($B$294=1,LEN($O$248) * LEN($O$234)&gt;0),$O$248/$O$234*100,HLOOKUP(INDIRECT(ADDRESS(2,COLUMN())),OFFSET($AT$2,0,0,ROW()-1,40),ROW()-1,FALSE))</f>
        <v>0</v>
      </c>
      <c r="P118">
        <f ca="1">IF(AND($B$294=1,LEN($P$248) * LEN($P$234)&gt;0),$P$248/$P$234*100,HLOOKUP(INDIRECT(ADDRESS(2,COLUMN())),OFFSET($AT$2,0,0,ROW()-1,40),ROW()-1,FALSE))</f>
        <v>0</v>
      </c>
      <c r="Q118">
        <f ca="1">IF(AND($B$294=1,LEN($Q$248) * LEN($Q$234)&gt;0),$Q$248/$Q$234*100,HLOOKUP(INDIRECT(ADDRESS(2,COLUMN())),OFFSET($AT$2,0,0,ROW()-1,40),ROW()-1,FALSE))</f>
        <v>0</v>
      </c>
      <c r="R118">
        <f ca="1">IF(AND($B$294=1,LEN($R$248) * LEN($R$234)&gt;0),$R$248/$R$234*100,HLOOKUP(INDIRECT(ADDRESS(2,COLUMN())),OFFSET($AT$2,0,0,ROW()-1,40),ROW()-1,FALSE))</f>
        <v>0</v>
      </c>
      <c r="S118">
        <f ca="1">IF(AND($B$294=1,LEN($S$248) * LEN($S$234)&gt;0),$S$248/$S$234*100,HLOOKUP(INDIRECT(ADDRESS(2,COLUMN())),OFFSET($AT$2,0,0,ROW()-1,40),ROW()-1,FALSE))</f>
        <v>0</v>
      </c>
      <c r="T118">
        <f ca="1">IF(AND($B$294=1,LEN($T$248) * LEN($T$234)&gt;0),$T$248/$T$234*100,HLOOKUP(INDIRECT(ADDRESS(2,COLUMN())),OFFSET($AT$2,0,0,ROW()-1,40),ROW()-1,FALSE))</f>
        <v>0</v>
      </c>
      <c r="U118">
        <f ca="1">IF(AND($B$294=1,LEN($U$248) * LEN($U$234)&gt;0),$U$248/$U$234*100,HLOOKUP(INDIRECT(ADDRESS(2,COLUMN())),OFFSET($AT$2,0,0,ROW()-1,40),ROW()-1,FALSE))</f>
        <v>0</v>
      </c>
      <c r="V118">
        <f ca="1">IF(AND($B$294=1,LEN($V$248) * LEN($V$234)&gt;0),$V$248/$V$234*100,HLOOKUP(INDIRECT(ADDRESS(2,COLUMN())),OFFSET($AT$2,0,0,ROW()-1,40),ROW()-1,FALSE))</f>
        <v>0</v>
      </c>
      <c r="W118">
        <f ca="1">IF(AND($B$294=1,LEN($W$248) * LEN($W$234)&gt;0),$W$248/$W$234*100,HLOOKUP(INDIRECT(ADDRESS(2,COLUMN())),OFFSET($AT$2,0,0,ROW()-1,40),ROW()-1,FALSE))</f>
        <v>0</v>
      </c>
      <c r="X118">
        <f ca="1">IF(AND($B$294=1,LEN($X$248) * LEN($X$234)&gt;0),$X$248/$X$234*100,HLOOKUP(INDIRECT(ADDRESS(2,COLUMN())),OFFSET($AT$2,0,0,ROW()-1,40),ROW()-1,FALSE))</f>
        <v>0</v>
      </c>
      <c r="Y118">
        <f ca="1">IF(AND($B$294=1,LEN($Y$248) * LEN($Y$234)&gt;0),$Y$248/$Y$234*100,HLOOKUP(INDIRECT(ADDRESS(2,COLUMN())),OFFSET($AT$2,0,0,ROW()-1,40),ROW()-1,FALSE))</f>
        <v>0</v>
      </c>
      <c r="Z118">
        <f ca="1">IF(AND($B$294=1,LEN($Z$248) * LEN($Z$234)&gt;0),$Z$248/$Z$234*100,HLOOKUP(INDIRECT(ADDRESS(2,COLUMN())),OFFSET($AT$2,0,0,ROW()-1,40),ROW()-1,FALSE))</f>
        <v>0</v>
      </c>
      <c r="AA118">
        <f ca="1">IF(AND($B$294=1,LEN($AA$248) * LEN($AA$234)&gt;0),$AA$248/$AA$234*100,HLOOKUP(INDIRECT(ADDRESS(2,COLUMN())),OFFSET($AT$2,0,0,ROW()-1,40),ROW()-1,FALSE))</f>
        <v>0</v>
      </c>
      <c r="AB118" t="str">
        <f ca="1">IF(AND($B$294=1,LEN($AB$248) * LEN($AB$234)&gt;0),$AB$248/$AB$234*100,HLOOKUP(INDIRECT(ADDRESS(2,COLUMN())),OFFSET($AT$2,0,0,ROW()-1,40),ROW()-1,FALSE))</f>
        <v/>
      </c>
      <c r="AC118" t="str">
        <f ca="1">IF(AND($B$294=1,LEN($AC$248) * LEN($AC$234)&gt;0),$AC$248/$AC$234*100,HLOOKUP(INDIRECT(ADDRESS(2,COLUMN())),OFFSET($AT$2,0,0,ROW()-1,40),ROW()-1,FALSE))</f>
        <v/>
      </c>
      <c r="AD118" t="str">
        <f ca="1">IF(AND($B$294=1,LEN($AD$248) * LEN($AD$234)&gt;0),$AD$248/$AD$234*100,HLOOKUP(INDIRECT(ADDRESS(2,COLUMN())),OFFSET($AT$2,0,0,ROW()-1,40),ROW()-1,FALSE))</f>
        <v/>
      </c>
      <c r="AE118" t="str">
        <f ca="1">IF(AND($B$294=1,LEN($AE$248) * LEN($AE$234)&gt;0),$AE$248/$AE$234*100,HLOOKUP(INDIRECT(ADDRESS(2,COLUMN())),OFFSET($AT$2,0,0,ROW()-1,40),ROW()-1,FALSE))</f>
        <v/>
      </c>
      <c r="AF118" t="str">
        <f ca="1">IF(AND($B$294=1,LEN($AF$248) * LEN($AF$234)&gt;0),$AF$248/$AF$234*100,HLOOKUP(INDIRECT(ADDRESS(2,COLUMN())),OFFSET($AT$2,0,0,ROW()-1,40),ROW()-1,FALSE))</f>
        <v/>
      </c>
      <c r="AG118" t="str">
        <f ca="1">IF(AND($B$294=1,LEN($AG$248) * LEN($AG$234)&gt;0),$AG$248/$AG$234*100,HLOOKUP(INDIRECT(ADDRESS(2,COLUMN())),OFFSET($AT$2,0,0,ROW()-1,40),ROW()-1,FALSE))</f>
        <v/>
      </c>
      <c r="AH118" t="str">
        <f ca="1">IF(AND($B$294=1,LEN($AH$248) * LEN($AH$234)&gt;0),$AH$248/$AH$234*100,HLOOKUP(INDIRECT(ADDRESS(2,COLUMN())),OFFSET($AT$2,0,0,ROW()-1,40),ROW()-1,FALSE))</f>
        <v/>
      </c>
      <c r="AI118" t="str">
        <f ca="1">IF(AND($B$294=1,LEN($AI$248) * LEN($AI$234)&gt;0),$AI$248/$AI$234*100,HLOOKUP(INDIRECT(ADDRESS(2,COLUMN())),OFFSET($AT$2,0,0,ROW()-1,40),ROW()-1,FALSE))</f>
        <v/>
      </c>
      <c r="AJ118" t="str">
        <f ca="1">IF(AND($B$294=1,LEN($AJ$248) * LEN($AJ$234)&gt;0),$AJ$248/$AJ$234*100,HLOOKUP(INDIRECT(ADDRESS(2,COLUMN())),OFFSET($AT$2,0,0,ROW()-1,40),ROW()-1,FALSE))</f>
        <v/>
      </c>
      <c r="AK118" t="str">
        <f ca="1">IF(AND($B$294=1,LEN($AK$248) * LEN($AK$234)&gt;0),$AK$248/$AK$234*100,HLOOKUP(INDIRECT(ADDRESS(2,COLUMN())),OFFSET($AT$2,0,0,ROW()-1,40),ROW()-1,FALSE))</f>
        <v/>
      </c>
      <c r="AL118" t="str">
        <f ca="1">IF(AND($B$294=1,LEN($AL$248) * LEN($AL$234)&gt;0),$AL$248/$AL$234*100,HLOOKUP(INDIRECT(ADDRESS(2,COLUMN())),OFFSET($AT$2,0,0,ROW()-1,40),ROW()-1,FALSE))</f>
        <v/>
      </c>
      <c r="AM118" t="str">
        <f ca="1">IF(AND($B$294=1,LEN($AM$248) * LEN($AM$234)&gt;0),$AM$248/$AM$234*100,HLOOKUP(INDIRECT(ADDRESS(2,COLUMN())),OFFSET($AT$2,0,0,ROW()-1,40),ROW()-1,FALSE))</f>
        <v/>
      </c>
      <c r="AN118" t="str">
        <f ca="1">IF(AND($B$294=1,LEN($AN$248) * LEN($AN$234)&gt;0),$AN$248/$AN$234*100,HLOOKUP(INDIRECT(ADDRESS(2,COLUMN())),OFFSET($AT$2,0,0,ROW()-1,40),ROW()-1,FALSE))</f>
        <v/>
      </c>
      <c r="AO118" t="str">
        <f ca="1">IF(AND($B$294=1,LEN($AO$248) * LEN($AO$234)&gt;0),$AO$248/$AO$234*100,HLOOKUP(INDIRECT(ADDRESS(2,COLUMN())),OFFSET($AT$2,0,0,ROW()-1,40),ROW()-1,FALSE))</f>
        <v/>
      </c>
      <c r="AP118" t="str">
        <f ca="1">IF(AND($B$294=1,LEN($AP$248) * LEN($AP$234)&gt;0),$AP$248/$AP$234*100,HLOOKUP(INDIRECT(ADDRESS(2,COLUMN())),OFFSET($AT$2,0,0,ROW()-1,40),ROW()-1,FALSE))</f>
        <v/>
      </c>
      <c r="AQ118" t="str">
        <f ca="1">IF(AND($B$294=1,LEN($AQ$248) * LEN($AQ$234)&gt;0),$AQ$248/$AQ$234*100,HLOOKUP(INDIRECT(ADDRESS(2,COLUMN())),OFFSET($AT$2,0,0,ROW()-1,40),ROW()-1,FALSE))</f>
        <v/>
      </c>
      <c r="AR118" t="str">
        <f ca="1">IF(AND($B$294=1,LEN($AR$248) * LEN($AR$234)&gt;0),$AR$248/$AR$234*100,HLOOKUP(INDIRECT(ADDRESS(2,COLUMN())),OFFSET($AT$2,0,0,ROW()-1,40),ROW()-1,FALSE))</f>
        <v/>
      </c>
      <c r="AS118" t="str">
        <f ca="1">IF(AND($B$294=1,LEN($AS$248) * LEN($AS$234)&gt;0),$AS$248/$AS$234*100,HLOOKUP(INDIRECT(ADDRESS(2,COLUMN())),OFFSET($AT$2,0,0,ROW()-1,40),ROW()-1,FALSE))</f>
        <v/>
      </c>
      <c r="AT118">
        <f>0.541104993</f>
        <v>0.54110499300000003</v>
      </c>
      <c r="AU118">
        <f>0.391752577</f>
        <v>0.39175257699999999</v>
      </c>
      <c r="AV118">
        <f>0.200770961</f>
        <v>0.200770961</v>
      </c>
      <c r="AW118">
        <f>0.040359197</f>
        <v>4.0359196999999999E-2</v>
      </c>
      <c r="AX118">
        <f>0</f>
        <v>0</v>
      </c>
      <c r="AY118">
        <f>0</f>
        <v>0</v>
      </c>
      <c r="AZ118">
        <f>0</f>
        <v>0</v>
      </c>
      <c r="BA118">
        <f>0</f>
        <v>0</v>
      </c>
      <c r="BB118">
        <f>0</f>
        <v>0</v>
      </c>
      <c r="BC118">
        <f>0</f>
        <v>0</v>
      </c>
      <c r="BD118">
        <f>0</f>
        <v>0</v>
      </c>
      <c r="BE118">
        <f>0</f>
        <v>0</v>
      </c>
      <c r="BF118">
        <f>0</f>
        <v>0</v>
      </c>
      <c r="BG118">
        <f>0</f>
        <v>0</v>
      </c>
      <c r="BH118">
        <f>0</f>
        <v>0</v>
      </c>
      <c r="BI118">
        <f>0</f>
        <v>0</v>
      </c>
      <c r="BJ118">
        <f>0</f>
        <v>0</v>
      </c>
      <c r="BK118">
        <f>0</f>
        <v>0</v>
      </c>
      <c r="BL118">
        <f>0</f>
        <v>0</v>
      </c>
      <c r="BM118">
        <f>0</f>
        <v>0</v>
      </c>
      <c r="BN118">
        <f>0</f>
        <v>0</v>
      </c>
      <c r="BO118">
        <f>0</f>
        <v>0</v>
      </c>
      <c r="BP118" t="str">
        <f>""</f>
        <v/>
      </c>
      <c r="BQ118" t="str">
        <f>""</f>
        <v/>
      </c>
      <c r="BR118" t="str">
        <f>""</f>
        <v/>
      </c>
      <c r="BS118" t="str">
        <f>""</f>
        <v/>
      </c>
      <c r="BT118" t="str">
        <f>""</f>
        <v/>
      </c>
      <c r="BU118" t="str">
        <f>""</f>
        <v/>
      </c>
      <c r="BV118" t="str">
        <f>""</f>
        <v/>
      </c>
      <c r="BW118" t="str">
        <f>""</f>
        <v/>
      </c>
      <c r="BX118" t="str">
        <f>""</f>
        <v/>
      </c>
      <c r="BY118" t="str">
        <f>""</f>
        <v/>
      </c>
      <c r="BZ118" t="str">
        <f>""</f>
        <v/>
      </c>
      <c r="CA118" t="str">
        <f>""</f>
        <v/>
      </c>
      <c r="CB118" t="str">
        <f>""</f>
        <v/>
      </c>
      <c r="CC118" t="str">
        <f>""</f>
        <v/>
      </c>
      <c r="CD118" t="str">
        <f>""</f>
        <v/>
      </c>
      <c r="CE118" t="str">
        <f>""</f>
        <v/>
      </c>
      <c r="CF118" t="str">
        <f>""</f>
        <v/>
      </c>
      <c r="CG118" t="str">
        <f>""</f>
        <v/>
      </c>
    </row>
    <row r="119" spans="1:85" x14ac:dyDescent="0.25">
      <c r="A119" t="str">
        <f>"    Other"</f>
        <v xml:space="preserve">    Other</v>
      </c>
      <c r="B119" t="str">
        <f>""</f>
        <v/>
      </c>
      <c r="E119" t="str">
        <f>"Expression"</f>
        <v>Expression</v>
      </c>
      <c r="F119">
        <f ca="1">IF(AND($B$294=1,LEN($F$249) * LEN($F$234)&gt;0),$F$249/$F$234*100,HLOOKUP(INDIRECT(ADDRESS(2,COLUMN())),OFFSET($AT$2,0,0,ROW()-1,40),ROW()-1,FALSE))</f>
        <v>0</v>
      </c>
      <c r="G119">
        <f ca="1">IF(AND($B$294=1,LEN($G$249) * LEN($G$234)&gt;0),$G$249/$G$234*100,HLOOKUP(INDIRECT(ADDRESS(2,COLUMN())),OFFSET($AT$2,0,0,ROW()-1,40),ROW()-1,FALSE))</f>
        <v>0</v>
      </c>
      <c r="H119">
        <f ca="1">IF(AND($B$294=1,LEN($H$249) * LEN($H$234)&gt;0),$H$249/$H$234*100,HLOOKUP(INDIRECT(ADDRESS(2,COLUMN())),OFFSET($AT$2,0,0,ROW()-1,40),ROW()-1,FALSE))</f>
        <v>0</v>
      </c>
      <c r="I119">
        <f ca="1">IF(AND($B$294=1,LEN($I$249) * LEN($I$234)&gt;0),$I$249/$I$234*100,HLOOKUP(INDIRECT(ADDRESS(2,COLUMN())),OFFSET($AT$2,0,0,ROW()-1,40),ROW()-1,FALSE))</f>
        <v>0</v>
      </c>
      <c r="J119">
        <f ca="1">IF(AND($B$294=1,LEN($J$249) * LEN($J$234)&gt;0),$J$249/$J$234*100,HLOOKUP(INDIRECT(ADDRESS(2,COLUMN())),OFFSET($AT$2,0,0,ROW()-1,40),ROW()-1,FALSE))</f>
        <v>0</v>
      </c>
      <c r="K119">
        <f ca="1">IF(AND($B$294=1,LEN($K$249) * LEN($K$234)&gt;0),$K$249/$K$234*100,HLOOKUP(INDIRECT(ADDRESS(2,COLUMN())),OFFSET($AT$2,0,0,ROW()-1,40),ROW()-1,FALSE))</f>
        <v>0</v>
      </c>
      <c r="L119">
        <f ca="1">IF(AND($B$294=1,LEN($L$249) * LEN($L$234)&gt;0),$L$249/$L$234*100,HLOOKUP(INDIRECT(ADDRESS(2,COLUMN())),OFFSET($AT$2,0,0,ROW()-1,40),ROW()-1,FALSE))</f>
        <v>0</v>
      </c>
      <c r="M119">
        <f ca="1">IF(AND($B$294=1,LEN($M$249) * LEN($M$234)&gt;0),$M$249/$M$234*100,HLOOKUP(INDIRECT(ADDRESS(2,COLUMN())),OFFSET($AT$2,0,0,ROW()-1,40),ROW()-1,FALSE))</f>
        <v>0</v>
      </c>
      <c r="N119">
        <f ca="1">IF(AND($B$294=1,LEN($N$249) * LEN($N$234)&gt;0),$N$249/$N$234*100,HLOOKUP(INDIRECT(ADDRESS(2,COLUMN())),OFFSET($AT$2,0,0,ROW()-1,40),ROW()-1,FALSE))</f>
        <v>0</v>
      </c>
      <c r="O119">
        <f ca="1">IF(AND($B$294=1,LEN($O$249) * LEN($O$234)&gt;0),$O$249/$O$234*100,HLOOKUP(INDIRECT(ADDRESS(2,COLUMN())),OFFSET($AT$2,0,0,ROW()-1,40),ROW()-1,FALSE))</f>
        <v>0</v>
      </c>
      <c r="P119">
        <f ca="1">IF(AND($B$294=1,LEN($P$249) * LEN($P$234)&gt;0),$P$249/$P$234*100,HLOOKUP(INDIRECT(ADDRESS(2,COLUMN())),OFFSET($AT$2,0,0,ROW()-1,40),ROW()-1,FALSE))</f>
        <v>0</v>
      </c>
      <c r="Q119">
        <f ca="1">IF(AND($B$294=1,LEN($Q$249) * LEN($Q$234)&gt;0),$Q$249/$Q$234*100,HLOOKUP(INDIRECT(ADDRESS(2,COLUMN())),OFFSET($AT$2,0,0,ROW()-1,40),ROW()-1,FALSE))</f>
        <v>0</v>
      </c>
      <c r="R119">
        <f ca="1">IF(AND($B$294=1,LEN($R$249) * LEN($R$234)&gt;0),$R$249/$R$234*100,HLOOKUP(INDIRECT(ADDRESS(2,COLUMN())),OFFSET($AT$2,0,0,ROW()-1,40),ROW()-1,FALSE))</f>
        <v>0</v>
      </c>
      <c r="S119">
        <f ca="1">IF(AND($B$294=1,LEN($S$249) * LEN($S$234)&gt;0),$S$249/$S$234*100,HLOOKUP(INDIRECT(ADDRESS(2,COLUMN())),OFFSET($AT$2,0,0,ROW()-1,40),ROW()-1,FALSE))</f>
        <v>0</v>
      </c>
      <c r="T119">
        <f ca="1">IF(AND($B$294=1,LEN($T$249) * LEN($T$234)&gt;0),$T$249/$T$234*100,HLOOKUP(INDIRECT(ADDRESS(2,COLUMN())),OFFSET($AT$2,0,0,ROW()-1,40),ROW()-1,FALSE))</f>
        <v>0</v>
      </c>
      <c r="U119">
        <f ca="1">IF(AND($B$294=1,LEN($U$249) * LEN($U$234)&gt;0),$U$249/$U$234*100,HLOOKUP(INDIRECT(ADDRESS(2,COLUMN())),OFFSET($AT$2,0,0,ROW()-1,40),ROW()-1,FALSE))</f>
        <v>0</v>
      </c>
      <c r="V119">
        <f ca="1">IF(AND($B$294=1,LEN($V$249) * LEN($V$234)&gt;0),$V$249/$V$234*100,HLOOKUP(INDIRECT(ADDRESS(2,COLUMN())),OFFSET($AT$2,0,0,ROW()-1,40),ROW()-1,FALSE))</f>
        <v>0</v>
      </c>
      <c r="W119">
        <f ca="1">IF(AND($B$294=1,LEN($W$249) * LEN($W$234)&gt;0),$W$249/$W$234*100,HLOOKUP(INDIRECT(ADDRESS(2,COLUMN())),OFFSET($AT$2,0,0,ROW()-1,40),ROW()-1,FALSE))</f>
        <v>0</v>
      </c>
      <c r="X119">
        <f ca="1">IF(AND($B$294=1,LEN($X$249) * LEN($X$234)&gt;0),$X$249/$X$234*100,HLOOKUP(INDIRECT(ADDRESS(2,COLUMN())),OFFSET($AT$2,0,0,ROW()-1,40),ROW()-1,FALSE))</f>
        <v>0</v>
      </c>
      <c r="Y119">
        <f ca="1">IF(AND($B$294=1,LEN($Y$249) * LEN($Y$234)&gt;0),$Y$249/$Y$234*100,HLOOKUP(INDIRECT(ADDRESS(2,COLUMN())),OFFSET($AT$2,0,0,ROW()-1,40),ROW()-1,FALSE))</f>
        <v>0</v>
      </c>
      <c r="Z119">
        <f ca="1">IF(AND($B$294=1,LEN($Z$249) * LEN($Z$234)&gt;0),$Z$249/$Z$234*100,HLOOKUP(INDIRECT(ADDRESS(2,COLUMN())),OFFSET($AT$2,0,0,ROW()-1,40),ROW()-1,FALSE))</f>
        <v>0</v>
      </c>
      <c r="AA119">
        <f ca="1">IF(AND($B$294=1,LEN($AA$249) * LEN($AA$234)&gt;0),$AA$249/$AA$234*100,HLOOKUP(INDIRECT(ADDRESS(2,COLUMN())),OFFSET($AT$2,0,0,ROW()-1,40),ROW()-1,FALSE))</f>
        <v>0</v>
      </c>
      <c r="AB119">
        <f ca="1">IF(AND($B$294=1,LEN($AB$249) * LEN($AB$234)&gt;0),$AB$249/$AB$234*100,HLOOKUP(INDIRECT(ADDRESS(2,COLUMN())),OFFSET($AT$2,0,0,ROW()-1,40),ROW()-1,FALSE))</f>
        <v>0</v>
      </c>
      <c r="AC119">
        <f ca="1">IF(AND($B$294=1,LEN($AC$249) * LEN($AC$234)&gt;0),$AC$249/$AC$234*100,HLOOKUP(INDIRECT(ADDRESS(2,COLUMN())),OFFSET($AT$2,0,0,ROW()-1,40),ROW()-1,FALSE))</f>
        <v>0</v>
      </c>
      <c r="AD119">
        <f ca="1">IF(AND($B$294=1,LEN($AD$249) * LEN($AD$234)&gt;0),$AD$249/$AD$234*100,HLOOKUP(INDIRECT(ADDRESS(2,COLUMN())),OFFSET($AT$2,0,0,ROW()-1,40),ROW()-1,FALSE))</f>
        <v>0</v>
      </c>
      <c r="AE119">
        <f ca="1">IF(AND($B$294=1,LEN($AE$249) * LEN($AE$234)&gt;0),$AE$249/$AE$234*100,HLOOKUP(INDIRECT(ADDRESS(2,COLUMN())),OFFSET($AT$2,0,0,ROW()-1,40),ROW()-1,FALSE))</f>
        <v>0</v>
      </c>
      <c r="AF119">
        <f ca="1">IF(AND($B$294=1,LEN($AF$249) * LEN($AF$234)&gt;0),$AF$249/$AF$234*100,HLOOKUP(INDIRECT(ADDRESS(2,COLUMN())),OFFSET($AT$2,0,0,ROW()-1,40),ROW()-1,FALSE))</f>
        <v>0</v>
      </c>
      <c r="AG119">
        <f ca="1">IF(AND($B$294=1,LEN($AG$249) * LEN($AG$234)&gt;0),$AG$249/$AG$234*100,HLOOKUP(INDIRECT(ADDRESS(2,COLUMN())),OFFSET($AT$2,0,0,ROW()-1,40),ROW()-1,FALSE))</f>
        <v>0</v>
      </c>
      <c r="AH119">
        <f ca="1">IF(AND($B$294=1,LEN($AH$249) * LEN($AH$234)&gt;0),$AH$249/$AH$234*100,HLOOKUP(INDIRECT(ADDRESS(2,COLUMN())),OFFSET($AT$2,0,0,ROW()-1,40),ROW()-1,FALSE))</f>
        <v>0</v>
      </c>
      <c r="AI119">
        <f ca="1">IF(AND($B$294=1,LEN($AI$249) * LEN($AI$234)&gt;0),$AI$249/$AI$234*100,HLOOKUP(INDIRECT(ADDRESS(2,COLUMN())),OFFSET($AT$2,0,0,ROW()-1,40),ROW()-1,FALSE))</f>
        <v>0</v>
      </c>
      <c r="AJ119">
        <f ca="1">IF(AND($B$294=1,LEN($AJ$249) * LEN($AJ$234)&gt;0),$AJ$249/$AJ$234*100,HLOOKUP(INDIRECT(ADDRESS(2,COLUMN())),OFFSET($AT$2,0,0,ROW()-1,40),ROW()-1,FALSE))</f>
        <v>0</v>
      </c>
      <c r="AK119">
        <f ca="1">IF(AND($B$294=1,LEN($AK$249) * LEN($AK$234)&gt;0),$AK$249/$AK$234*100,HLOOKUP(INDIRECT(ADDRESS(2,COLUMN())),OFFSET($AT$2,0,0,ROW()-1,40),ROW()-1,FALSE))</f>
        <v>0</v>
      </c>
      <c r="AL119">
        <f ca="1">IF(AND($B$294=1,LEN($AL$249) * LEN($AL$234)&gt;0),$AL$249/$AL$234*100,HLOOKUP(INDIRECT(ADDRESS(2,COLUMN())),OFFSET($AT$2,0,0,ROW()-1,40),ROW()-1,FALSE))</f>
        <v>0</v>
      </c>
      <c r="AM119">
        <f ca="1">IF(AND($B$294=1,LEN($AM$249) * LEN($AM$234)&gt;0),$AM$249/$AM$234*100,HLOOKUP(INDIRECT(ADDRESS(2,COLUMN())),OFFSET($AT$2,0,0,ROW()-1,40),ROW()-1,FALSE))</f>
        <v>0</v>
      </c>
      <c r="AN119">
        <f ca="1">IF(AND($B$294=1,LEN($AN$249) * LEN($AN$234)&gt;0),$AN$249/$AN$234*100,HLOOKUP(INDIRECT(ADDRESS(2,COLUMN())),OFFSET($AT$2,0,0,ROW()-1,40),ROW()-1,FALSE))</f>
        <v>0</v>
      </c>
      <c r="AO119">
        <f ca="1">IF(AND($B$294=1,LEN($AO$249) * LEN($AO$234)&gt;0),$AO$249/$AO$234*100,HLOOKUP(INDIRECT(ADDRESS(2,COLUMN())),OFFSET($AT$2,0,0,ROW()-1,40),ROW()-1,FALSE))</f>
        <v>0</v>
      </c>
      <c r="AP119">
        <f ca="1">IF(AND($B$294=1,LEN($AP$249) * LEN($AP$234)&gt;0),$AP$249/$AP$234*100,HLOOKUP(INDIRECT(ADDRESS(2,COLUMN())),OFFSET($AT$2,0,0,ROW()-1,40),ROW()-1,FALSE))</f>
        <v>0</v>
      </c>
      <c r="AQ119">
        <f ca="1">IF(AND($B$294=1,LEN($AQ$249) * LEN($AQ$234)&gt;0),$AQ$249/$AQ$234*100,HLOOKUP(INDIRECT(ADDRESS(2,COLUMN())),OFFSET($AT$2,0,0,ROW()-1,40),ROW()-1,FALSE))</f>
        <v>0</v>
      </c>
      <c r="AR119">
        <f ca="1">IF(AND($B$294=1,LEN($AR$249) * LEN($AR$234)&gt;0),$AR$249/$AR$234*100,HLOOKUP(INDIRECT(ADDRESS(2,COLUMN())),OFFSET($AT$2,0,0,ROW()-1,40),ROW()-1,FALSE))</f>
        <v>0</v>
      </c>
      <c r="AS119">
        <f ca="1">IF(AND($B$294=1,LEN($AS$249) * LEN($AS$234)&gt;0),$AS$249/$AS$234*100,HLOOKUP(INDIRECT(ADDRESS(2,COLUMN())),OFFSET($AT$2,0,0,ROW()-1,40),ROW()-1,FALSE))</f>
        <v>0</v>
      </c>
      <c r="AT119">
        <f>0</f>
        <v>0</v>
      </c>
      <c r="AU119">
        <f>0</f>
        <v>0</v>
      </c>
      <c r="AV119">
        <f>0</f>
        <v>0</v>
      </c>
      <c r="AW119">
        <f>0</f>
        <v>0</v>
      </c>
      <c r="AX119">
        <f>0</f>
        <v>0</v>
      </c>
      <c r="AY119">
        <f>0</f>
        <v>0</v>
      </c>
      <c r="AZ119">
        <f>0</f>
        <v>0</v>
      </c>
      <c r="BA119">
        <f>0</f>
        <v>0</v>
      </c>
      <c r="BB119">
        <f>0</f>
        <v>0</v>
      </c>
      <c r="BC119">
        <f>0</f>
        <v>0</v>
      </c>
      <c r="BD119">
        <f>0</f>
        <v>0</v>
      </c>
      <c r="BE119">
        <f>0</f>
        <v>0</v>
      </c>
      <c r="BF119">
        <f>0</f>
        <v>0</v>
      </c>
      <c r="BG119">
        <f>0</f>
        <v>0</v>
      </c>
      <c r="BH119">
        <f>0</f>
        <v>0</v>
      </c>
      <c r="BI119">
        <f>0</f>
        <v>0</v>
      </c>
      <c r="BJ119">
        <f>0</f>
        <v>0</v>
      </c>
      <c r="BK119">
        <f>0</f>
        <v>0</v>
      </c>
      <c r="BL119">
        <f>0</f>
        <v>0</v>
      </c>
      <c r="BM119">
        <f>0</f>
        <v>0</v>
      </c>
      <c r="BN119">
        <f>0</f>
        <v>0</v>
      </c>
      <c r="BO119">
        <f>0</f>
        <v>0</v>
      </c>
      <c r="BP119">
        <f>0</f>
        <v>0</v>
      </c>
      <c r="BQ119">
        <f>0</f>
        <v>0</v>
      </c>
      <c r="BR119">
        <f>0</f>
        <v>0</v>
      </c>
      <c r="BS119">
        <f>0</f>
        <v>0</v>
      </c>
      <c r="BT119">
        <f>0</f>
        <v>0</v>
      </c>
      <c r="BU119">
        <f>0</f>
        <v>0</v>
      </c>
      <c r="BV119">
        <f>0</f>
        <v>0</v>
      </c>
      <c r="BW119">
        <f>0</f>
        <v>0</v>
      </c>
      <c r="BX119">
        <f>0</f>
        <v>0</v>
      </c>
      <c r="BY119">
        <f>0</f>
        <v>0</v>
      </c>
      <c r="BZ119">
        <f>0</f>
        <v>0</v>
      </c>
      <c r="CA119">
        <f>0</f>
        <v>0</v>
      </c>
      <c r="CB119">
        <f>0</f>
        <v>0</v>
      </c>
      <c r="CC119">
        <f>0</f>
        <v>0</v>
      </c>
      <c r="CD119">
        <f>0</f>
        <v>0</v>
      </c>
      <c r="CE119">
        <f>0</f>
        <v>0</v>
      </c>
      <c r="CF119">
        <f>0</f>
        <v>0</v>
      </c>
      <c r="CG119">
        <f>0</f>
        <v>0</v>
      </c>
    </row>
    <row r="120" spans="1:85" x14ac:dyDescent="0.25">
      <c r="A120" t="str">
        <f>"Canada (Class 6-7)"</f>
        <v>Canada (Class 6-7)</v>
      </c>
      <c r="B120" t="str">
        <f>"TRCKCA6S Index"</f>
        <v>TRCKCA6S Index</v>
      </c>
      <c r="E120" t="str">
        <f>"Sum"</f>
        <v>Sum</v>
      </c>
      <c r="F120">
        <f ca="1">IF(ISERROR(IF(SUM($F$121,$F$123,$F$126,$F$131,$F$132,$F$133,$F$134,$F$137) = 0, "", SUM($F$121,$F$123,$F$126,$F$131,$F$132,$F$133,$F$134,$F$137))), "", (IF(SUM($F$121,$F$123,$F$126,$F$131,$F$132,$F$133,$F$134,$F$137) = 0, "", SUM($F$121,$F$123,$F$126,$F$131,$F$132,$F$133,$F$134,$F$137))))</f>
        <v>99.999999997999993</v>
      </c>
      <c r="G120">
        <f ca="1">IF(ISERROR(IF(SUM($G$121,$G$123,$G$126,$G$131,$G$132,$G$133,$G$134,$G$137) = 0, "", SUM($G$121,$G$123,$G$126,$G$131,$G$132,$G$133,$G$134,$G$137))), "", (IF(SUM($G$121,$G$123,$G$126,$G$131,$G$132,$G$133,$G$134,$G$137) = 0, "", SUM($G$121,$G$123,$G$126,$G$131,$G$132,$G$133,$G$134,$G$137))))</f>
        <v>99.999999992000014</v>
      </c>
      <c r="H120">
        <f ca="1">IF(ISERROR(IF(SUM($H$121,$H$123,$H$126,$H$131,$H$132,$H$133,$H$134,$H$137) = 0, "", SUM($H$121,$H$123,$H$126,$H$131,$H$132,$H$133,$H$134,$H$137))), "", (IF(SUM($H$121,$H$123,$H$126,$H$131,$H$132,$H$133,$H$134,$H$137) = 0, "", SUM($H$121,$H$123,$H$126,$H$131,$H$132,$H$133,$H$134,$H$137))))</f>
        <v>99.999999998999982</v>
      </c>
      <c r="I120">
        <f ca="1">IF(ISERROR(IF(SUM($I$121,$I$123,$I$126,$I$131,$I$132,$I$133,$I$134,$I$137) = 0, "", SUM($I$121,$I$123,$I$126,$I$131,$I$132,$I$133,$I$134,$I$137))), "", (IF(SUM($I$121,$I$123,$I$126,$I$131,$I$132,$I$133,$I$134,$I$137) = 0, "", SUM($I$121,$I$123,$I$126,$I$131,$I$132,$I$133,$I$134,$I$137))))</f>
        <v>99.99999999500001</v>
      </c>
      <c r="J120">
        <f ca="1">IF(ISERROR(IF(SUM($J$121,$J$123,$J$126,$J$131,$J$132,$J$133,$J$134,$J$137) = 0, "", SUM($J$121,$J$123,$J$126,$J$131,$J$132,$J$133,$J$134,$J$137))), "", (IF(SUM($J$121,$J$123,$J$126,$J$131,$J$132,$J$133,$J$134,$J$137) = 0, "", SUM($J$121,$J$123,$J$126,$J$131,$J$132,$J$133,$J$134,$J$137))))</f>
        <v>100.000000005</v>
      </c>
      <c r="K120">
        <f ca="1">IF(ISERROR(IF(SUM($K$121,$K$123,$K$126,$K$131,$K$132,$K$133,$K$134,$K$137) = 0, "", SUM($K$121,$K$123,$K$126,$K$131,$K$132,$K$133,$K$134,$K$137))), "", (IF(SUM($K$121,$K$123,$K$126,$K$131,$K$132,$K$133,$K$134,$K$137) = 0, "", SUM($K$121,$K$123,$K$126,$K$131,$K$132,$K$133,$K$134,$K$137))))</f>
        <v>100.00000000599999</v>
      </c>
      <c r="L120">
        <f ca="1">IF(ISERROR(IF(SUM($L$121,$L$123,$L$126,$L$131,$L$132,$L$133,$L$134,$L$137) = 0, "", SUM($L$121,$L$123,$L$126,$L$131,$L$132,$L$133,$L$134,$L$137))), "", (IF(SUM($L$121,$L$123,$L$126,$L$131,$L$132,$L$133,$L$134,$L$137) = 0, "", SUM($L$121,$L$123,$L$126,$L$131,$L$132,$L$133,$L$134,$L$137))))</f>
        <v>100.000000001</v>
      </c>
      <c r="M120">
        <f ca="1">IF(ISERROR(IF(SUM($M$121,$M$123,$M$126,$M$131,$M$132,$M$133,$M$134,$M$137) = 0, "", SUM($M$121,$M$123,$M$126,$M$131,$M$132,$M$133,$M$134,$M$137))), "", (IF(SUM($M$121,$M$123,$M$126,$M$131,$M$132,$M$133,$M$134,$M$137) = 0, "", SUM($M$121,$M$123,$M$126,$M$131,$M$132,$M$133,$M$134,$M$137))))</f>
        <v>99.999999998999996</v>
      </c>
      <c r="N120">
        <f ca="1">IF(ISERROR(IF(SUM($N$121,$N$123,$N$126,$N$131,$N$132,$N$133,$N$134,$N$137) = 0, "", SUM($N$121,$N$123,$N$126,$N$131,$N$132,$N$133,$N$134,$N$137))), "", (IF(SUM($N$121,$N$123,$N$126,$N$131,$N$132,$N$133,$N$134,$N$137) = 0, "", SUM($N$121,$N$123,$N$126,$N$131,$N$132,$N$133,$N$134,$N$137))))</f>
        <v>99.999999997999993</v>
      </c>
      <c r="O120">
        <f ca="1">IF(ISERROR(IF(SUM($O$121,$O$123,$O$126,$O$131,$O$132,$O$133,$O$134,$O$137) = 0, "", SUM($O$121,$O$123,$O$126,$O$131,$O$132,$O$133,$O$134,$O$137))), "", (IF(SUM($O$121,$O$123,$O$126,$O$131,$O$132,$O$133,$O$134,$O$137) = 0, "", SUM($O$121,$O$123,$O$126,$O$131,$O$132,$O$133,$O$134,$O$137))))</f>
        <v>100.000000001</v>
      </c>
      <c r="P120">
        <f ca="1">IF(ISERROR(IF(SUM($P$121,$P$123,$P$126,$P$131,$P$132,$P$133,$P$134,$P$137) = 0, "", SUM($P$121,$P$123,$P$126,$P$131,$P$132,$P$133,$P$134,$P$137))), "", (IF(SUM($P$121,$P$123,$P$126,$P$131,$P$132,$P$133,$P$134,$P$137) = 0, "", SUM($P$121,$P$123,$P$126,$P$131,$P$132,$P$133,$P$134,$P$137))))</f>
        <v>99.999999998000007</v>
      </c>
      <c r="Q120">
        <f ca="1">IF(ISERROR(IF(SUM($Q$121,$Q$123,$Q$126,$Q$131,$Q$132,$Q$133,$Q$134,$Q$137) = 0, "", SUM($Q$121,$Q$123,$Q$126,$Q$131,$Q$132,$Q$133,$Q$134,$Q$137))), "", (IF(SUM($Q$121,$Q$123,$Q$126,$Q$131,$Q$132,$Q$133,$Q$134,$Q$137) = 0, "", SUM($Q$121,$Q$123,$Q$126,$Q$131,$Q$132,$Q$133,$Q$134,$Q$137))))</f>
        <v>100.00000000099999</v>
      </c>
      <c r="R120">
        <f ca="1">IF(ISERROR(IF(SUM($R$121,$R$123,$R$126,$R$131,$R$132,$R$133,$R$134,$R$137) = 0, "", SUM($R$121,$R$123,$R$126,$R$131,$R$132,$R$133,$R$134,$R$137))), "", (IF(SUM($R$121,$R$123,$R$126,$R$131,$R$132,$R$133,$R$134,$R$137) = 0, "", SUM($R$121,$R$123,$R$126,$R$131,$R$132,$R$133,$R$134,$R$137))))</f>
        <v>99.999999992999989</v>
      </c>
      <c r="S120">
        <f ca="1">IF(ISERROR(IF(SUM($S$121,$S$123,$S$126,$S$131,$S$132,$S$133,$S$134,$S$137) = 0, "", SUM($S$121,$S$123,$S$126,$S$131,$S$132,$S$133,$S$134,$S$137))), "", (IF(SUM($S$121,$S$123,$S$126,$S$131,$S$132,$S$133,$S$134,$S$137) = 0, "", SUM($S$121,$S$123,$S$126,$S$131,$S$132,$S$133,$S$134,$S$137))))</f>
        <v>99.999999994000007</v>
      </c>
      <c r="T120">
        <f ca="1">IF(ISERROR(IF(SUM($T$121,$T$123,$T$126,$T$131,$T$132,$T$133,$T$134,$T$137) = 0, "", SUM($T$121,$T$123,$T$126,$T$131,$T$132,$T$133,$T$134,$T$137))), "", (IF(SUM($T$121,$T$123,$T$126,$T$131,$T$132,$T$133,$T$134,$T$137) = 0, "", SUM($T$121,$T$123,$T$126,$T$131,$T$132,$T$133,$T$134,$T$137))))</f>
        <v>99.999999996999989</v>
      </c>
      <c r="U120">
        <f ca="1">IF(ISERROR(IF(SUM($U$121,$U$123,$U$126,$U$131,$U$132,$U$133,$U$134,$U$137) = 0, "", SUM($U$121,$U$123,$U$126,$U$131,$U$132,$U$133,$U$134,$U$137))), "", (IF(SUM($U$121,$U$123,$U$126,$U$131,$U$132,$U$133,$U$134,$U$137) = 0, "", SUM($U$121,$U$123,$U$126,$U$131,$U$132,$U$133,$U$134,$U$137))))</f>
        <v>100</v>
      </c>
      <c r="V120">
        <f ca="1">IF(ISERROR(IF(SUM($V$121,$V$123,$V$126,$V$131,$V$132,$V$133,$V$134,$V$137) = 0, "", SUM($V$121,$V$123,$V$126,$V$131,$V$132,$V$133,$V$134,$V$137))), "", (IF(SUM($V$121,$V$123,$V$126,$V$131,$V$132,$V$133,$V$134,$V$137) = 0, "", SUM($V$121,$V$123,$V$126,$V$131,$V$132,$V$133,$V$134,$V$137))))</f>
        <v>100.000000005</v>
      </c>
      <c r="W120">
        <f ca="1">IF(ISERROR(IF(SUM($W$121,$W$123,$W$126,$W$131,$W$132,$W$133,$W$134,$W$137) = 0, "", SUM($W$121,$W$123,$W$126,$W$131,$W$132,$W$133,$W$134,$W$137))), "", (IF(SUM($W$121,$W$123,$W$126,$W$131,$W$132,$W$133,$W$134,$W$137) = 0, "", SUM($W$121,$W$123,$W$126,$W$131,$W$132,$W$133,$W$134,$W$137))))</f>
        <v>99.999999993999992</v>
      </c>
      <c r="X120">
        <f ca="1">IF(ISERROR(IF(SUM($X$121,$X$123,$X$126,$X$131,$X$132,$X$133,$X$134,$X$137) = 0, "", SUM($X$121,$X$123,$X$126,$X$131,$X$132,$X$133,$X$134,$X$137))), "", (IF(SUM($X$121,$X$123,$X$126,$X$131,$X$132,$X$133,$X$134,$X$137) = 0, "", SUM($X$121,$X$123,$X$126,$X$131,$X$132,$X$133,$X$134,$X$137))))</f>
        <v>100</v>
      </c>
      <c r="Y120">
        <f ca="1">IF(ISERROR(IF(SUM($Y$121,$Y$123,$Y$126,$Y$131,$Y$132,$Y$133,$Y$134,$Y$137) = 0, "", SUM($Y$121,$Y$123,$Y$126,$Y$131,$Y$132,$Y$133,$Y$134,$Y$137))), "", (IF(SUM($Y$121,$Y$123,$Y$126,$Y$131,$Y$132,$Y$133,$Y$134,$Y$137) = 0, "", SUM($Y$121,$Y$123,$Y$126,$Y$131,$Y$132,$Y$133,$Y$134,$Y$137))))</f>
        <v>99.999999994000007</v>
      </c>
      <c r="Z120">
        <f ca="1">IF(ISERROR(IF(SUM($Z$121,$Z$123,$Z$126,$Z$131,$Z$132,$Z$133,$Z$134,$Z$137) = 0, "", SUM($Z$121,$Z$123,$Z$126,$Z$131,$Z$132,$Z$133,$Z$134,$Z$137))), "", (IF(SUM($Z$121,$Z$123,$Z$126,$Z$131,$Z$132,$Z$133,$Z$134,$Z$137) = 0, "", SUM($Z$121,$Z$123,$Z$126,$Z$131,$Z$132,$Z$133,$Z$134,$Z$137))))</f>
        <v>100.00000000200001</v>
      </c>
      <c r="AA120">
        <f ca="1">IF(ISERROR(IF(SUM($AA$121,$AA$123,$AA$126,$AA$131,$AA$132,$AA$133,$AA$134,$AA$137) = 0, "", SUM($AA$121,$AA$123,$AA$126,$AA$131,$AA$132,$AA$133,$AA$134,$AA$137))), "", (IF(SUM($AA$121,$AA$123,$AA$126,$AA$131,$AA$132,$AA$133,$AA$134,$AA$137) = 0, "", SUM($AA$121,$AA$123,$AA$126,$AA$131,$AA$132,$AA$133,$AA$134,$AA$137))))</f>
        <v>99.999999994000007</v>
      </c>
      <c r="AB120">
        <f ca="1">IF(ISERROR(IF(SUM($AB$121,$AB$123,$AB$126,$AB$131,$AB$132,$AB$133,$AB$134,$AB$137) = 0, "", SUM($AB$121,$AB$123,$AB$126,$AB$131,$AB$132,$AB$133,$AB$134,$AB$137))), "", (IF(SUM($AB$121,$AB$123,$AB$126,$AB$131,$AB$132,$AB$133,$AB$134,$AB$137) = 0, "", SUM($AB$121,$AB$123,$AB$126,$AB$131,$AB$132,$AB$133,$AB$134,$AB$137))))</f>
        <v>100</v>
      </c>
      <c r="AC120">
        <f ca="1">IF(ISERROR(IF(SUM($AC$121,$AC$123,$AC$126,$AC$131,$AC$132,$AC$133,$AC$134,$AC$137) = 0, "", SUM($AC$121,$AC$123,$AC$126,$AC$131,$AC$132,$AC$133,$AC$134,$AC$137))), "", (IF(SUM($AC$121,$AC$123,$AC$126,$AC$131,$AC$132,$AC$133,$AC$134,$AC$137) = 0, "", SUM($AC$121,$AC$123,$AC$126,$AC$131,$AC$132,$AC$133,$AC$134,$AC$137))))</f>
        <v>99.999999998000007</v>
      </c>
      <c r="AD120">
        <f ca="1">IF(ISERROR(IF(SUM($AD$121,$AD$123,$AD$126,$AD$131,$AD$132,$AD$133,$AD$134,$AD$137) = 0, "", SUM($AD$121,$AD$123,$AD$126,$AD$131,$AD$132,$AD$133,$AD$134,$AD$137))), "", (IF(SUM($AD$121,$AD$123,$AD$126,$AD$131,$AD$132,$AD$133,$AD$134,$AD$137) = 0, "", SUM($AD$121,$AD$123,$AD$126,$AD$131,$AD$132,$AD$133,$AD$134,$AD$137))))</f>
        <v>99.999999993000003</v>
      </c>
      <c r="AE120">
        <f ca="1">IF(ISERROR(IF(SUM($AE$121,$AE$123,$AE$126,$AE$131,$AE$132,$AE$133,$AE$134,$AE$137) = 0, "", SUM($AE$121,$AE$123,$AE$126,$AE$131,$AE$132,$AE$133,$AE$134,$AE$137))), "", (IF(SUM($AE$121,$AE$123,$AE$126,$AE$131,$AE$132,$AE$133,$AE$134,$AE$137) = 0, "", SUM($AE$121,$AE$123,$AE$126,$AE$131,$AE$132,$AE$133,$AE$134,$AE$137))))</f>
        <v>100.000000007</v>
      </c>
      <c r="AF120">
        <f ca="1">IF(ISERROR(IF(SUM($AF$121,$AF$123,$AF$126,$AF$131,$AF$132,$AF$133,$AF$134,$AF$137) = 0, "", SUM($AF$121,$AF$123,$AF$126,$AF$131,$AF$132,$AF$133,$AF$134,$AF$137))), "", (IF(SUM($AF$121,$AF$123,$AF$126,$AF$131,$AF$132,$AF$133,$AF$134,$AF$137) = 0, "", SUM($AF$121,$AF$123,$AF$126,$AF$131,$AF$132,$AF$133,$AF$134,$AF$137))))</f>
        <v>99.999999992999989</v>
      </c>
      <c r="AG120">
        <f ca="1">IF(ISERROR(IF(SUM($AG$121,$AG$123,$AG$126,$AG$131,$AG$132,$AG$133,$AG$134,$AG$137) = 0, "", SUM($AG$121,$AG$123,$AG$126,$AG$131,$AG$132,$AG$133,$AG$134,$AG$137))), "", (IF(SUM($AG$121,$AG$123,$AG$126,$AG$131,$AG$132,$AG$133,$AG$134,$AG$137) = 0, "", SUM($AG$121,$AG$123,$AG$126,$AG$131,$AG$132,$AG$133,$AG$134,$AG$137))))</f>
        <v>99.999999994000007</v>
      </c>
      <c r="AH120">
        <f ca="1">IF(ISERROR(IF(SUM($AH$121,$AH$123,$AH$126,$AH$131,$AH$132,$AH$133,$AH$134,$AH$137) = 0, "", SUM($AH$121,$AH$123,$AH$126,$AH$131,$AH$132,$AH$133,$AH$134,$AH$137))), "", (IF(SUM($AH$121,$AH$123,$AH$126,$AH$131,$AH$132,$AH$133,$AH$134,$AH$137) = 0, "", SUM($AH$121,$AH$123,$AH$126,$AH$131,$AH$132,$AH$133,$AH$134,$AH$137))))</f>
        <v>100.000000011</v>
      </c>
      <c r="AI120">
        <f ca="1">IF(ISERROR(IF(SUM($AI$121,$AI$123,$AI$126,$AI$131,$AI$132,$AI$133,$AI$134,$AI$137) = 0, "", SUM($AI$121,$AI$123,$AI$126,$AI$131,$AI$132,$AI$133,$AI$134,$AI$137))), "", (IF(SUM($AI$121,$AI$123,$AI$126,$AI$131,$AI$132,$AI$133,$AI$134,$AI$137) = 0, "", SUM($AI$121,$AI$123,$AI$126,$AI$131,$AI$132,$AI$133,$AI$134,$AI$137))))</f>
        <v>99.999999992999989</v>
      </c>
      <c r="AJ120">
        <f ca="1">IF(ISERROR(IF(SUM($AJ$121,$AJ$123,$AJ$126,$AJ$131,$AJ$132,$AJ$133,$AJ$134,$AJ$137) = 0, "", SUM($AJ$121,$AJ$123,$AJ$126,$AJ$131,$AJ$132,$AJ$133,$AJ$134,$AJ$137))), "", (IF(SUM($AJ$121,$AJ$123,$AJ$126,$AJ$131,$AJ$132,$AJ$133,$AJ$134,$AJ$137) = 0, "", SUM($AJ$121,$AJ$123,$AJ$126,$AJ$131,$AJ$132,$AJ$133,$AJ$134,$AJ$137))))</f>
        <v>100.00000000700001</v>
      </c>
      <c r="AK120">
        <f ca="1">IF(ISERROR(IF(SUM($AK$121,$AK$123,$AK$126,$AK$131,$AK$132,$AK$133,$AK$134,$AK$137) = 0, "", SUM($AK$121,$AK$123,$AK$126,$AK$131,$AK$132,$AK$133,$AK$134,$AK$137))), "", (IF(SUM($AK$121,$AK$123,$AK$126,$AK$131,$AK$132,$AK$133,$AK$134,$AK$137) = 0, "", SUM($AK$121,$AK$123,$AK$126,$AK$131,$AK$132,$AK$133,$AK$134,$AK$137))))</f>
        <v>99.999999997000003</v>
      </c>
      <c r="AL120">
        <f ca="1">IF(ISERROR(IF(SUM($AL$121,$AL$123,$AL$126,$AL$131,$AL$132,$AL$133,$AL$134,$AL$137) = 0, "", SUM($AL$121,$AL$123,$AL$126,$AL$131,$AL$132,$AL$133,$AL$134,$AL$137))), "", (IF(SUM($AL$121,$AL$123,$AL$126,$AL$131,$AL$132,$AL$133,$AL$134,$AL$137) = 0, "", SUM($AL$121,$AL$123,$AL$126,$AL$131,$AL$132,$AL$133,$AL$134,$AL$137))))</f>
        <v>100</v>
      </c>
      <c r="AM120">
        <f ca="1">IF(ISERROR(IF(SUM($AM$121,$AM$123,$AM$126,$AM$131,$AM$132,$AM$133,$AM$134,$AM$137) = 0, "", SUM($AM$121,$AM$123,$AM$126,$AM$131,$AM$132,$AM$133,$AM$134,$AM$137))), "", (IF(SUM($AM$121,$AM$123,$AM$126,$AM$131,$AM$132,$AM$133,$AM$134,$AM$137) = 0, "", SUM($AM$121,$AM$123,$AM$126,$AM$131,$AM$132,$AM$133,$AM$134,$AM$137))))</f>
        <v>100.00000000399999</v>
      </c>
      <c r="AN120">
        <f ca="1">IF(ISERROR(IF(SUM($AN$121,$AN$123,$AN$126,$AN$131,$AN$132,$AN$133,$AN$134,$AN$137) = 0, "", SUM($AN$121,$AN$123,$AN$126,$AN$131,$AN$132,$AN$133,$AN$134,$AN$137))), "", (IF(SUM($AN$121,$AN$123,$AN$126,$AN$131,$AN$132,$AN$133,$AN$134,$AN$137) = 0, "", SUM($AN$121,$AN$123,$AN$126,$AN$131,$AN$132,$AN$133,$AN$134,$AN$137))))</f>
        <v>100</v>
      </c>
      <c r="AO120">
        <f ca="1">IF(ISERROR(IF(SUM($AO$121,$AO$123,$AO$126,$AO$131,$AO$132,$AO$133,$AO$134,$AO$137) = 0, "", SUM($AO$121,$AO$123,$AO$126,$AO$131,$AO$132,$AO$133,$AO$134,$AO$137))), "", (IF(SUM($AO$121,$AO$123,$AO$126,$AO$131,$AO$132,$AO$133,$AO$134,$AO$137) = 0, "", SUM($AO$121,$AO$123,$AO$126,$AO$131,$AO$132,$AO$133,$AO$134,$AO$137))))</f>
        <v>100.00000000499999</v>
      </c>
      <c r="AP120">
        <f ca="1">IF(ISERROR(IF(SUM($AP$121,$AP$123,$AP$126,$AP$131,$AP$132,$AP$133,$AP$134,$AP$137) = 0, "", SUM($AP$121,$AP$123,$AP$126,$AP$131,$AP$132,$AP$133,$AP$134,$AP$137))), "", (IF(SUM($AP$121,$AP$123,$AP$126,$AP$131,$AP$132,$AP$133,$AP$134,$AP$137) = 0, "", SUM($AP$121,$AP$123,$AP$126,$AP$131,$AP$132,$AP$133,$AP$134,$AP$137))))</f>
        <v>99.999999999000011</v>
      </c>
      <c r="AQ120">
        <f ca="1">IF(ISERROR(IF(SUM($AQ$121,$AQ$123,$AQ$126,$AQ$131,$AQ$132,$AQ$133,$AQ$134,$AQ$137) = 0, "", SUM($AQ$121,$AQ$123,$AQ$126,$AQ$131,$AQ$132,$AQ$133,$AQ$134,$AQ$137))), "", (IF(SUM($AQ$121,$AQ$123,$AQ$126,$AQ$131,$AQ$132,$AQ$133,$AQ$134,$AQ$137) = 0, "", SUM($AQ$121,$AQ$123,$AQ$126,$AQ$131,$AQ$132,$AQ$133,$AQ$134,$AQ$137))))</f>
        <v>99.999999993999992</v>
      </c>
      <c r="AR120">
        <f ca="1">IF(ISERROR(IF(SUM($AR$121,$AR$123,$AR$126,$AR$131,$AR$132,$AR$133,$AR$134,$AR$137) = 0, "", SUM($AR$121,$AR$123,$AR$126,$AR$131,$AR$132,$AR$133,$AR$134,$AR$137))), "", (IF(SUM($AR$121,$AR$123,$AR$126,$AR$131,$AR$132,$AR$133,$AR$134,$AR$137) = 0, "", SUM($AR$121,$AR$123,$AR$126,$AR$131,$AR$132,$AR$133,$AR$134,$AR$137))))</f>
        <v>99.999999999000011</v>
      </c>
      <c r="AS120">
        <f ca="1">IF(ISERROR(IF(SUM($AS$121,$AS$123,$AS$126,$AS$131,$AS$132,$AS$133,$AS$134,$AS$137) = 0, "", SUM($AS$121,$AS$123,$AS$126,$AS$131,$AS$132,$AS$133,$AS$134,$AS$137))), "", (IF(SUM($AS$121,$AS$123,$AS$126,$AS$131,$AS$132,$AS$133,$AS$134,$AS$137) = 0, "", SUM($AS$121,$AS$123,$AS$126,$AS$131,$AS$132,$AS$133,$AS$134,$AS$137))))</f>
        <v>100.00000000999999</v>
      </c>
      <c r="AT120">
        <f>100</f>
        <v>100</v>
      </c>
      <c r="AU120">
        <f>100</f>
        <v>100</v>
      </c>
      <c r="AV120">
        <f>100</f>
        <v>100</v>
      </c>
      <c r="AW120">
        <f>100</f>
        <v>100</v>
      </c>
      <c r="AX120">
        <f>100</f>
        <v>100</v>
      </c>
      <c r="AY120">
        <f>100</f>
        <v>100</v>
      </c>
      <c r="AZ120">
        <f>100</f>
        <v>100</v>
      </c>
      <c r="BA120">
        <f>100</f>
        <v>100</v>
      </c>
      <c r="BB120">
        <f>100</f>
        <v>100</v>
      </c>
      <c r="BC120">
        <f>100</f>
        <v>100</v>
      </c>
      <c r="BD120">
        <f>100</f>
        <v>100</v>
      </c>
      <c r="BE120">
        <f>100</f>
        <v>100</v>
      </c>
      <c r="BF120">
        <f>100</f>
        <v>100</v>
      </c>
      <c r="BG120">
        <f>100</f>
        <v>100</v>
      </c>
      <c r="BH120">
        <f>100</f>
        <v>100</v>
      </c>
      <c r="BI120">
        <f>100</f>
        <v>100</v>
      </c>
      <c r="BJ120">
        <f>100</f>
        <v>100</v>
      </c>
      <c r="BK120">
        <f>100</f>
        <v>100</v>
      </c>
      <c r="BL120">
        <f>100</f>
        <v>100</v>
      </c>
      <c r="BM120">
        <f>100</f>
        <v>100</v>
      </c>
      <c r="BN120">
        <f>100</f>
        <v>100</v>
      </c>
      <c r="BO120">
        <f>100</f>
        <v>100</v>
      </c>
      <c r="BP120">
        <f>100</f>
        <v>100</v>
      </c>
      <c r="BQ120">
        <f>100</f>
        <v>100</v>
      </c>
      <c r="BR120">
        <f>100</f>
        <v>100</v>
      </c>
      <c r="BS120">
        <f>100</f>
        <v>100</v>
      </c>
      <c r="BT120">
        <f>100</f>
        <v>100</v>
      </c>
      <c r="BU120">
        <f>100</f>
        <v>100</v>
      </c>
      <c r="BV120">
        <f>100</f>
        <v>100</v>
      </c>
      <c r="BW120">
        <f>100</f>
        <v>100</v>
      </c>
      <c r="BX120">
        <f>100</f>
        <v>100</v>
      </c>
      <c r="BY120">
        <f>100</f>
        <v>100</v>
      </c>
      <c r="BZ120">
        <f>100</f>
        <v>100</v>
      </c>
      <c r="CA120">
        <f>100</f>
        <v>100</v>
      </c>
      <c r="CB120">
        <f>100</f>
        <v>100</v>
      </c>
      <c r="CC120">
        <f>100</f>
        <v>100</v>
      </c>
      <c r="CD120">
        <f>100</f>
        <v>100</v>
      </c>
      <c r="CE120">
        <f>100</f>
        <v>100</v>
      </c>
      <c r="CF120">
        <f>100</f>
        <v>100</v>
      </c>
      <c r="CG120">
        <f>100</f>
        <v>100</v>
      </c>
    </row>
    <row r="121" spans="1:85" x14ac:dyDescent="0.25">
      <c r="A121" t="str">
        <f>"    Navistar"</f>
        <v xml:space="preserve">    Navistar</v>
      </c>
      <c r="B121" t="str">
        <f>"NAV US Equity"</f>
        <v>NAV US Equity</v>
      </c>
      <c r="E121" t="str">
        <f>"Sum"</f>
        <v>Sum</v>
      </c>
      <c r="F121">
        <f ca="1">IF(ISERROR(IF(SUM($F$122:$F$122) = 0, "", SUM($F$122:$F$122))), "", (IF(SUM($F$122:$F$122) = 0, "", SUM($F$122:$F$122))))</f>
        <v>51.672240799999997</v>
      </c>
      <c r="G121">
        <f ca="1">IF(ISERROR(IF(SUM($G$122:$G$122) = 0, "", SUM($G$122:$G$122))), "", (IF(SUM($G$122:$G$122) = 0, "", SUM($G$122:$G$122))))</f>
        <v>55.289672539999998</v>
      </c>
      <c r="H121">
        <f ca="1">IF(ISERROR(IF(SUM($H$122:$H$122) = 0, "", SUM($H$122:$H$122))), "", (IF(SUM($H$122:$H$122) = 0, "", SUM($H$122:$H$122))))</f>
        <v>36.410256410000002</v>
      </c>
      <c r="I121">
        <f ca="1">IF(ISERROR(IF(SUM($I$122:$I$122) = 0, "", SUM($I$122:$I$122))), "", (IF(SUM($I$122:$I$122) = 0, "", SUM($I$122:$I$122))))</f>
        <v>30.815109339999999</v>
      </c>
      <c r="J121">
        <f ca="1">IF(ISERROR(IF(SUM($J$122:$J$122) = 0, "", SUM($J$122:$J$122))), "", (IF(SUM($J$122:$J$122) = 0, "", SUM($J$122:$J$122))))</f>
        <v>27.13004484</v>
      </c>
      <c r="K121">
        <f ca="1">IF(ISERROR(IF(SUM($K$122:$K$122) = 0, "", SUM($K$122:$K$122))), "", (IF(SUM($K$122:$K$122) = 0, "", SUM($K$122:$K$122))))</f>
        <v>28.59813084</v>
      </c>
      <c r="L121">
        <f ca="1">IF(ISERROR(IF(SUM($L$122:$L$122) = 0, "", SUM($L$122:$L$122))), "", (IF(SUM($L$122:$L$122) = 0, "", SUM($L$122:$L$122))))</f>
        <v>24.956369980000002</v>
      </c>
      <c r="M121">
        <f ca="1">IF(ISERROR(IF(SUM($M$122:$M$122) = 0, "", SUM($M$122:$M$122))), "", (IF(SUM($M$122:$M$122) = 0, "", SUM($M$122:$M$122))))</f>
        <v>40.08528785</v>
      </c>
      <c r="N121">
        <f ca="1">IF(ISERROR(IF(SUM($N$122:$N$122) = 0, "", SUM($N$122:$N$122))), "", (IF(SUM($N$122:$N$122) = 0, "", SUM($N$122:$N$122))))</f>
        <v>35.940803379999998</v>
      </c>
      <c r="O121">
        <f ca="1">IF(ISERROR(IF(SUM($O$122:$O$122) = 0, "", SUM($O$122:$O$122))), "", (IF(SUM($O$122:$O$122) = 0, "", SUM($O$122:$O$122))))</f>
        <v>24.213836480000001</v>
      </c>
      <c r="P121">
        <f ca="1">IF(ISERROR(IF(SUM($P$122:$P$122) = 0, "", SUM($P$122:$P$122))), "", (IF(SUM($P$122:$P$122) = 0, "", SUM($P$122:$P$122))))</f>
        <v>31.833910029999998</v>
      </c>
      <c r="Q121">
        <f ca="1">IF(ISERROR(IF(SUM($Q$122:$Q$122) = 0, "", SUM($Q$122:$Q$122))), "", (IF(SUM($Q$122:$Q$122) = 0, "", SUM($Q$122:$Q$122))))</f>
        <v>24.371859300000001</v>
      </c>
      <c r="R121">
        <f ca="1">IF(ISERROR(IF(SUM($R$122:$R$122) = 0, "", SUM($R$122:$R$122))), "", (IF(SUM($R$122:$R$122) = 0, "", SUM($R$122:$R$122))))</f>
        <v>46.456692910000001</v>
      </c>
      <c r="S121">
        <f ca="1">IF(ISERROR(IF(SUM($S$122:$S$122) = 0, "", SUM($S$122:$S$122))), "", (IF(SUM($S$122:$S$122) = 0, "", SUM($S$122:$S$122))))</f>
        <v>65.468549420000002</v>
      </c>
      <c r="T121">
        <f ca="1">IF(ISERROR(IF(SUM($T$122:$T$122) = 0, "", SUM($T$122:$T$122))), "", (IF(SUM($T$122:$T$122) = 0, "", SUM($T$122:$T$122))))</f>
        <v>51.960784310000001</v>
      </c>
      <c r="U121">
        <f ca="1">IF(ISERROR(IF(SUM($U$122:$U$122) = 0, "", SUM($U$122:$U$122))), "", (IF(SUM($U$122:$U$122) = 0, "", SUM($U$122:$U$122))))</f>
        <v>38.929440390000003</v>
      </c>
      <c r="V121">
        <f ca="1">IF(ISERROR(IF(SUM($V$122:$V$122) = 0, "", SUM($V$122:$V$122))), "", (IF(SUM($V$122:$V$122) = 0, "", SUM($V$122:$V$122))))</f>
        <v>34.33179724</v>
      </c>
      <c r="W121">
        <f ca="1">IF(ISERROR(IF(SUM($W$122:$W$122) = 0, "", SUM($W$122:$W$122))), "", (IF(SUM($W$122:$W$122) = 0, "", SUM($W$122:$W$122))))</f>
        <v>25.78475336</v>
      </c>
      <c r="X121">
        <f ca="1">IF(ISERROR(IF(SUM($X$122:$X$122) = 0, "", SUM($X$122:$X$122))), "", (IF(SUM($X$122:$X$122) = 0, "", SUM($X$122:$X$122))))</f>
        <v>41.666666669999998</v>
      </c>
      <c r="Y121">
        <f ca="1">IF(ISERROR(IF(SUM($Y$122:$Y$122) = 0, "", SUM($Y$122:$Y$122))), "", (IF(SUM($Y$122:$Y$122) = 0, "", SUM($Y$122:$Y$122))))</f>
        <v>38.356164380000003</v>
      </c>
      <c r="Z121">
        <f ca="1">IF(ISERROR(IF(SUM($Z$122:$Z$122) = 0, "", SUM($Z$122:$Z$122))), "", (IF(SUM($Z$122:$Z$122) = 0, "", SUM($Z$122:$Z$122))))</f>
        <v>34.575569360000003</v>
      </c>
      <c r="AA121">
        <f ca="1">IF(ISERROR(IF(SUM($AA$122:$AA$122) = 0, "", SUM($AA$122:$AA$122))), "", (IF(SUM($AA$122:$AA$122) = 0, "", SUM($AA$122:$AA$122))))</f>
        <v>27.47875354</v>
      </c>
      <c r="AB121">
        <f ca="1">IF(ISERROR(IF(SUM($AB$122:$AB$122) = 0, "", SUM($AB$122:$AB$122))), "", (IF(SUM($AB$122:$AB$122) = 0, "", SUM($AB$122:$AB$122))))</f>
        <v>20.466321239999999</v>
      </c>
      <c r="AC121">
        <f ca="1">IF(ISERROR(IF(SUM($AC$122:$AC$122) = 0, "", SUM($AC$122:$AC$122))), "", (IF(SUM($AC$122:$AC$122) = 0, "", SUM($AC$122:$AC$122))))</f>
        <v>13.89830508</v>
      </c>
      <c r="AD121">
        <f ca="1">IF(ISERROR(IF(SUM($AD$122:$AD$122) = 0, "", SUM($AD$122:$AD$122))), "", (IF(SUM($AD$122:$AD$122) = 0, "", SUM($AD$122:$AD$122))))</f>
        <v>42.016806719999998</v>
      </c>
      <c r="AE121">
        <f ca="1">IF(ISERROR(IF(SUM($AE$122:$AE$122) = 0, "", SUM($AE$122:$AE$122))), "", (IF(SUM($AE$122:$AE$122) = 0, "", SUM($AE$122:$AE$122))))</f>
        <v>74.30754537</v>
      </c>
      <c r="AF121">
        <f ca="1">IF(ISERROR(IF(SUM($AF$122:$AF$122) = 0, "", SUM($AF$122:$AF$122))), "", (IF(SUM($AF$122:$AF$122) = 0, "", SUM($AF$122:$AF$122))))</f>
        <v>36.407766989999999</v>
      </c>
      <c r="AG121">
        <f ca="1">IF(ISERROR(IF(SUM($AG$122:$AG$122) = 0, "", SUM($AG$122:$AG$122))), "", (IF(SUM($AG$122:$AG$122) = 0, "", SUM($AG$122:$AG$122))))</f>
        <v>45.208333330000002</v>
      </c>
      <c r="AH121">
        <f ca="1">IF(ISERROR(IF(SUM($AH$122:$AH$122) = 0, "", SUM($AH$122:$AH$122))), "", (IF(SUM($AH$122:$AH$122) = 0, "", SUM($AH$122:$AH$122))))</f>
        <v>45.996275609999998</v>
      </c>
      <c r="AI121">
        <f ca="1">IF(ISERROR(IF(SUM($AI$122:$AI$122) = 0, "", SUM($AI$122:$AI$122))), "", (IF(SUM($AI$122:$AI$122) = 0, "", SUM($AI$122:$AI$122))))</f>
        <v>28.54812398</v>
      </c>
      <c r="AJ121">
        <f ca="1">IF(ISERROR(IF(SUM($AJ$122:$AJ$122) = 0, "", SUM($AJ$122:$AJ$122))), "", (IF(SUM($AJ$122:$AJ$122) = 0, "", SUM($AJ$122:$AJ$122))))</f>
        <v>39.61538462</v>
      </c>
      <c r="AK121">
        <f ca="1">IF(ISERROR(IF(SUM($AK$122:$AK$122) = 0, "", SUM($AK$122:$AK$122))), "", (IF(SUM($AK$122:$AK$122) = 0, "", SUM($AK$122:$AK$122))))</f>
        <v>36.18538324</v>
      </c>
      <c r="AL121">
        <f ca="1">IF(ISERROR(IF(SUM($AL$122:$AL$122) = 0, "", SUM($AL$122:$AL$122))), "", (IF(SUM($AL$122:$AL$122) = 0, "", SUM($AL$122:$AL$122))))</f>
        <v>21.6796875</v>
      </c>
      <c r="AM121">
        <f ca="1">IF(ISERROR(IF(SUM($AM$122:$AM$122) = 0, "", SUM($AM$122:$AM$122))), "", (IF(SUM($AM$122:$AM$122) = 0, "", SUM($AM$122:$AM$122))))</f>
        <v>35.510204080000001</v>
      </c>
      <c r="AN121">
        <f ca="1">IF(ISERROR(IF(SUM($AN$122:$AN$122) = 0, "", SUM($AN$122:$AN$122))), "", (IF(SUM($AN$122:$AN$122) = 0, "", SUM($AN$122:$AN$122))))</f>
        <v>25.968109340000002</v>
      </c>
      <c r="AO121">
        <f ca="1">IF(ISERROR(IF(SUM($AO$122:$AO$122) = 0, "", SUM($AO$122:$AO$122))), "", (IF(SUM($AO$122:$AO$122) = 0, "", SUM($AO$122:$AO$122))))</f>
        <v>19.504643959999999</v>
      </c>
      <c r="AP121">
        <f ca="1">IF(ISERROR(IF(SUM($AP$122:$AP$122) = 0, "", SUM($AP$122:$AP$122))), "", (IF(SUM($AP$122:$AP$122) = 0, "", SUM($AP$122:$AP$122))))</f>
        <v>45.889101340000003</v>
      </c>
      <c r="AQ121">
        <f ca="1">IF(ISERROR(IF(SUM($AQ$122:$AQ$122) = 0, "", SUM($AQ$122:$AQ$122))), "", (IF(SUM($AQ$122:$AQ$122) = 0, "", SUM($AQ$122:$AQ$122))))</f>
        <v>72.636262509999995</v>
      </c>
      <c r="AR121">
        <f ca="1">IF(ISERROR(IF(SUM($AR$122:$AR$122) = 0, "", SUM($AR$122:$AR$122))), "", (IF(SUM($AR$122:$AR$122) = 0, "", SUM($AR$122:$AR$122))))</f>
        <v>31.443298970000001</v>
      </c>
      <c r="AS121">
        <f ca="1">IF(ISERROR(IF(SUM($AS$122:$AS$122) = 0, "", SUM($AS$122:$AS$122))), "", (IF(SUM($AS$122:$AS$122) = 0, "", SUM($AS$122:$AS$122))))</f>
        <v>36.781609199999998</v>
      </c>
      <c r="AT121">
        <f>51.6722408</f>
        <v>51.672240799999997</v>
      </c>
      <c r="AU121">
        <f>55.28967254</f>
        <v>55.289672539999998</v>
      </c>
      <c r="AV121">
        <f>36.41025641</f>
        <v>36.410256410000002</v>
      </c>
      <c r="AW121">
        <f>30.81510934</f>
        <v>30.815109339999999</v>
      </c>
      <c r="AX121">
        <f>27.13004484</f>
        <v>27.13004484</v>
      </c>
      <c r="AY121">
        <f>28.59813084</f>
        <v>28.59813084</v>
      </c>
      <c r="AZ121">
        <f>24.95636998</f>
        <v>24.956369980000002</v>
      </c>
      <c r="BA121">
        <f>40.08528785</f>
        <v>40.08528785</v>
      </c>
      <c r="BB121">
        <f>35.94080338</f>
        <v>35.940803379999998</v>
      </c>
      <c r="BC121">
        <f>24.21383648</f>
        <v>24.213836480000001</v>
      </c>
      <c r="BD121">
        <f>31.83391003</f>
        <v>31.833910029999998</v>
      </c>
      <c r="BE121">
        <f>24.3718593</f>
        <v>24.371859300000001</v>
      </c>
      <c r="BF121">
        <f>46.45669291</f>
        <v>46.456692910000001</v>
      </c>
      <c r="BG121">
        <f>65.46854942</f>
        <v>65.468549420000002</v>
      </c>
      <c r="BH121">
        <f>51.96078431</f>
        <v>51.960784310000001</v>
      </c>
      <c r="BI121">
        <f>38.92944039</f>
        <v>38.929440390000003</v>
      </c>
      <c r="BJ121">
        <f>34.33179724</f>
        <v>34.33179724</v>
      </c>
      <c r="BK121">
        <f>25.78475336</f>
        <v>25.78475336</v>
      </c>
      <c r="BL121">
        <f>41.66666667</f>
        <v>41.666666669999998</v>
      </c>
      <c r="BM121">
        <f>38.35616438</f>
        <v>38.356164380000003</v>
      </c>
      <c r="BN121">
        <f>34.57556936</f>
        <v>34.575569360000003</v>
      </c>
      <c r="BO121">
        <f>27.47875354</f>
        <v>27.47875354</v>
      </c>
      <c r="BP121">
        <f>20.46632124</f>
        <v>20.466321239999999</v>
      </c>
      <c r="BQ121">
        <f>13.89830508</f>
        <v>13.89830508</v>
      </c>
      <c r="BR121">
        <f>42.01680672</f>
        <v>42.016806719999998</v>
      </c>
      <c r="BS121">
        <f>74.30754537</f>
        <v>74.30754537</v>
      </c>
      <c r="BT121">
        <f>36.40776699</f>
        <v>36.407766989999999</v>
      </c>
      <c r="BU121">
        <f>45.20833333</f>
        <v>45.208333330000002</v>
      </c>
      <c r="BV121">
        <f>45.99627561</f>
        <v>45.996275609999998</v>
      </c>
      <c r="BW121">
        <f>28.54812398</f>
        <v>28.54812398</v>
      </c>
      <c r="BX121">
        <f>39.61538462</f>
        <v>39.61538462</v>
      </c>
      <c r="BY121">
        <f>36.18538324</f>
        <v>36.18538324</v>
      </c>
      <c r="BZ121">
        <f>21.6796875</f>
        <v>21.6796875</v>
      </c>
      <c r="CA121">
        <f>35.51020408</f>
        <v>35.510204080000001</v>
      </c>
      <c r="CB121">
        <f>25.96810934</f>
        <v>25.968109340000002</v>
      </c>
      <c r="CC121">
        <f>19.50464396</f>
        <v>19.504643959999999</v>
      </c>
      <c r="CD121">
        <f>45.88910134</f>
        <v>45.889101340000003</v>
      </c>
      <c r="CE121">
        <f>72.63626251</f>
        <v>72.636262509999995</v>
      </c>
      <c r="CF121">
        <f>31.44329897</f>
        <v>31.443298970000001</v>
      </c>
      <c r="CG121">
        <f>36.7816092</f>
        <v>36.781609199999998</v>
      </c>
    </row>
    <row r="122" spans="1:85" x14ac:dyDescent="0.25">
      <c r="A122" t="str">
        <f>"        International"</f>
        <v xml:space="preserve">        International</v>
      </c>
      <c r="B122" t="str">
        <f>"NAV US Equity"</f>
        <v>NAV US Equity</v>
      </c>
      <c r="E122" t="str">
        <f>"Expression"</f>
        <v>Expression</v>
      </c>
      <c r="F122">
        <f ca="1">IF(AND($B$294=1,LEN($F$251) * LEN($F$250)&gt;0),$F$251/$F$250*100,HLOOKUP(INDIRECT(ADDRESS(2,COLUMN())),OFFSET($AT$2,0,0,ROW()-1,40),ROW()-1,FALSE))</f>
        <v>51.672240799999997</v>
      </c>
      <c r="G122">
        <f ca="1">IF(AND($B$294=1,LEN($G$251) * LEN($G$250)&gt;0),$G$251/$G$250*100,HLOOKUP(INDIRECT(ADDRESS(2,COLUMN())),OFFSET($AT$2,0,0,ROW()-1,40),ROW()-1,FALSE))</f>
        <v>55.289672539999998</v>
      </c>
      <c r="H122">
        <f ca="1">IF(AND($B$294=1,LEN($H$251) * LEN($H$250)&gt;0),$H$251/$H$250*100,HLOOKUP(INDIRECT(ADDRESS(2,COLUMN())),OFFSET($AT$2,0,0,ROW()-1,40),ROW()-1,FALSE))</f>
        <v>36.410256410000002</v>
      </c>
      <c r="I122">
        <f ca="1">IF(AND($B$294=1,LEN($I$251) * LEN($I$250)&gt;0),$I$251/$I$250*100,HLOOKUP(INDIRECT(ADDRESS(2,COLUMN())),OFFSET($AT$2,0,0,ROW()-1,40),ROW()-1,FALSE))</f>
        <v>30.815109339999999</v>
      </c>
      <c r="J122">
        <f ca="1">IF(AND($B$294=1,LEN($J$251) * LEN($J$250)&gt;0),$J$251/$J$250*100,HLOOKUP(INDIRECT(ADDRESS(2,COLUMN())),OFFSET($AT$2,0,0,ROW()-1,40),ROW()-1,FALSE))</f>
        <v>27.13004484</v>
      </c>
      <c r="K122">
        <f ca="1">IF(AND($B$294=1,LEN($K$251) * LEN($K$250)&gt;0),$K$251/$K$250*100,HLOOKUP(INDIRECT(ADDRESS(2,COLUMN())),OFFSET($AT$2,0,0,ROW()-1,40),ROW()-1,FALSE))</f>
        <v>28.59813084</v>
      </c>
      <c r="L122">
        <f ca="1">IF(AND($B$294=1,LEN($L$251) * LEN($L$250)&gt;0),$L$251/$L$250*100,HLOOKUP(INDIRECT(ADDRESS(2,COLUMN())),OFFSET($AT$2,0,0,ROW()-1,40),ROW()-1,FALSE))</f>
        <v>24.956369980000002</v>
      </c>
      <c r="M122">
        <f ca="1">IF(AND($B$294=1,LEN($M$251) * LEN($M$250)&gt;0),$M$251/$M$250*100,HLOOKUP(INDIRECT(ADDRESS(2,COLUMN())),OFFSET($AT$2,0,0,ROW()-1,40),ROW()-1,FALSE))</f>
        <v>40.08528785</v>
      </c>
      <c r="N122">
        <f ca="1">IF(AND($B$294=1,LEN($N$251) * LEN($N$250)&gt;0),$N$251/$N$250*100,HLOOKUP(INDIRECT(ADDRESS(2,COLUMN())),OFFSET($AT$2,0,0,ROW()-1,40),ROW()-1,FALSE))</f>
        <v>35.940803379999998</v>
      </c>
      <c r="O122">
        <f ca="1">IF(AND($B$294=1,LEN($O$251) * LEN($O$250)&gt;0),$O$251/$O$250*100,HLOOKUP(INDIRECT(ADDRESS(2,COLUMN())),OFFSET($AT$2,0,0,ROW()-1,40),ROW()-1,FALSE))</f>
        <v>24.213836480000001</v>
      </c>
      <c r="P122">
        <f ca="1">IF(AND($B$294=1,LEN($P$251) * LEN($P$250)&gt;0),$P$251/$P$250*100,HLOOKUP(INDIRECT(ADDRESS(2,COLUMN())),OFFSET($AT$2,0,0,ROW()-1,40),ROW()-1,FALSE))</f>
        <v>31.833910029999998</v>
      </c>
      <c r="Q122">
        <f ca="1">IF(AND($B$294=1,LEN($Q$251) * LEN($Q$250)&gt;0),$Q$251/$Q$250*100,HLOOKUP(INDIRECT(ADDRESS(2,COLUMN())),OFFSET($AT$2,0,0,ROW()-1,40),ROW()-1,FALSE))</f>
        <v>24.371859300000001</v>
      </c>
      <c r="R122">
        <f ca="1">IF(AND($B$294=1,LEN($R$251) * LEN($R$250)&gt;0),$R$251/$R$250*100,HLOOKUP(INDIRECT(ADDRESS(2,COLUMN())),OFFSET($AT$2,0,0,ROW()-1,40),ROW()-1,FALSE))</f>
        <v>46.456692910000001</v>
      </c>
      <c r="S122">
        <f ca="1">IF(AND($B$294=1,LEN($S$251) * LEN($S$250)&gt;0),$S$251/$S$250*100,HLOOKUP(INDIRECT(ADDRESS(2,COLUMN())),OFFSET($AT$2,0,0,ROW()-1,40),ROW()-1,FALSE))</f>
        <v>65.468549420000002</v>
      </c>
      <c r="T122">
        <f ca="1">IF(AND($B$294=1,LEN($T$251) * LEN($T$250)&gt;0),$T$251/$T$250*100,HLOOKUP(INDIRECT(ADDRESS(2,COLUMN())),OFFSET($AT$2,0,0,ROW()-1,40),ROW()-1,FALSE))</f>
        <v>51.960784310000001</v>
      </c>
      <c r="U122">
        <f ca="1">IF(AND($B$294=1,LEN($U$251) * LEN($U$250)&gt;0),$U$251/$U$250*100,HLOOKUP(INDIRECT(ADDRESS(2,COLUMN())),OFFSET($AT$2,0,0,ROW()-1,40),ROW()-1,FALSE))</f>
        <v>38.929440390000003</v>
      </c>
      <c r="V122">
        <f ca="1">IF(AND($B$294=1,LEN($V$251) * LEN($V$250)&gt;0),$V$251/$V$250*100,HLOOKUP(INDIRECT(ADDRESS(2,COLUMN())),OFFSET($AT$2,0,0,ROW()-1,40),ROW()-1,FALSE))</f>
        <v>34.33179724</v>
      </c>
      <c r="W122">
        <f ca="1">IF(AND($B$294=1,LEN($W$251) * LEN($W$250)&gt;0),$W$251/$W$250*100,HLOOKUP(INDIRECT(ADDRESS(2,COLUMN())),OFFSET($AT$2,0,0,ROW()-1,40),ROW()-1,FALSE))</f>
        <v>25.78475336</v>
      </c>
      <c r="X122">
        <f ca="1">IF(AND($B$294=1,LEN($X$251) * LEN($X$250)&gt;0),$X$251/$X$250*100,HLOOKUP(INDIRECT(ADDRESS(2,COLUMN())),OFFSET($AT$2,0,0,ROW()-1,40),ROW()-1,FALSE))</f>
        <v>41.666666669999998</v>
      </c>
      <c r="Y122">
        <f ca="1">IF(AND($B$294=1,LEN($Y$251) * LEN($Y$250)&gt;0),$Y$251/$Y$250*100,HLOOKUP(INDIRECT(ADDRESS(2,COLUMN())),OFFSET($AT$2,0,0,ROW()-1,40),ROW()-1,FALSE))</f>
        <v>38.356164380000003</v>
      </c>
      <c r="Z122">
        <f ca="1">IF(AND($B$294=1,LEN($Z$251) * LEN($Z$250)&gt;0),$Z$251/$Z$250*100,HLOOKUP(INDIRECT(ADDRESS(2,COLUMN())),OFFSET($AT$2,0,0,ROW()-1,40),ROW()-1,FALSE))</f>
        <v>34.575569360000003</v>
      </c>
      <c r="AA122">
        <f ca="1">IF(AND($B$294=1,LEN($AA$251) * LEN($AA$250)&gt;0),$AA$251/$AA$250*100,HLOOKUP(INDIRECT(ADDRESS(2,COLUMN())),OFFSET($AT$2,0,0,ROW()-1,40),ROW()-1,FALSE))</f>
        <v>27.47875354</v>
      </c>
      <c r="AB122">
        <f ca="1">IF(AND($B$294=1,LEN($AB$251) * LEN($AB$250)&gt;0),$AB$251/$AB$250*100,HLOOKUP(INDIRECT(ADDRESS(2,COLUMN())),OFFSET($AT$2,0,0,ROW()-1,40),ROW()-1,FALSE))</f>
        <v>20.466321239999999</v>
      </c>
      <c r="AC122">
        <f ca="1">IF(AND($B$294=1,LEN($AC$251) * LEN($AC$250)&gt;0),$AC$251/$AC$250*100,HLOOKUP(INDIRECT(ADDRESS(2,COLUMN())),OFFSET($AT$2,0,0,ROW()-1,40),ROW()-1,FALSE))</f>
        <v>13.89830508</v>
      </c>
      <c r="AD122">
        <f ca="1">IF(AND($B$294=1,LEN($AD$251) * LEN($AD$250)&gt;0),$AD$251/$AD$250*100,HLOOKUP(INDIRECT(ADDRESS(2,COLUMN())),OFFSET($AT$2,0,0,ROW()-1,40),ROW()-1,FALSE))</f>
        <v>42.016806719999998</v>
      </c>
      <c r="AE122">
        <f ca="1">IF(AND($B$294=1,LEN($AE$251) * LEN($AE$250)&gt;0),$AE$251/$AE$250*100,HLOOKUP(INDIRECT(ADDRESS(2,COLUMN())),OFFSET($AT$2,0,0,ROW()-1,40),ROW()-1,FALSE))</f>
        <v>74.30754537</v>
      </c>
      <c r="AF122">
        <f ca="1">IF(AND($B$294=1,LEN($AF$251) * LEN($AF$250)&gt;0),$AF$251/$AF$250*100,HLOOKUP(INDIRECT(ADDRESS(2,COLUMN())),OFFSET($AT$2,0,0,ROW()-1,40),ROW()-1,FALSE))</f>
        <v>36.407766989999999</v>
      </c>
      <c r="AG122">
        <f ca="1">IF(AND($B$294=1,LEN($AG$251) * LEN($AG$250)&gt;0),$AG$251/$AG$250*100,HLOOKUP(INDIRECT(ADDRESS(2,COLUMN())),OFFSET($AT$2,0,0,ROW()-1,40),ROW()-1,FALSE))</f>
        <v>45.208333330000002</v>
      </c>
      <c r="AH122">
        <f ca="1">IF(AND($B$294=1,LEN($AH$251) * LEN($AH$250)&gt;0),$AH$251/$AH$250*100,HLOOKUP(INDIRECT(ADDRESS(2,COLUMN())),OFFSET($AT$2,0,0,ROW()-1,40),ROW()-1,FALSE))</f>
        <v>45.996275609999998</v>
      </c>
      <c r="AI122">
        <f ca="1">IF(AND($B$294=1,LEN($AI$251) * LEN($AI$250)&gt;0),$AI$251/$AI$250*100,HLOOKUP(INDIRECT(ADDRESS(2,COLUMN())),OFFSET($AT$2,0,0,ROW()-1,40),ROW()-1,FALSE))</f>
        <v>28.54812398</v>
      </c>
      <c r="AJ122">
        <f ca="1">IF(AND($B$294=1,LEN($AJ$251) * LEN($AJ$250)&gt;0),$AJ$251/$AJ$250*100,HLOOKUP(INDIRECT(ADDRESS(2,COLUMN())),OFFSET($AT$2,0,0,ROW()-1,40),ROW()-1,FALSE))</f>
        <v>39.61538462</v>
      </c>
      <c r="AK122">
        <f ca="1">IF(AND($B$294=1,LEN($AK$251) * LEN($AK$250)&gt;0),$AK$251/$AK$250*100,HLOOKUP(INDIRECT(ADDRESS(2,COLUMN())),OFFSET($AT$2,0,0,ROW()-1,40),ROW()-1,FALSE))</f>
        <v>36.18538324</v>
      </c>
      <c r="AL122">
        <f ca="1">IF(AND($B$294=1,LEN($AL$251) * LEN($AL$250)&gt;0),$AL$251/$AL$250*100,HLOOKUP(INDIRECT(ADDRESS(2,COLUMN())),OFFSET($AT$2,0,0,ROW()-1,40),ROW()-1,FALSE))</f>
        <v>21.6796875</v>
      </c>
      <c r="AM122">
        <f ca="1">IF(AND($B$294=1,LEN($AM$251) * LEN($AM$250)&gt;0),$AM$251/$AM$250*100,HLOOKUP(INDIRECT(ADDRESS(2,COLUMN())),OFFSET($AT$2,0,0,ROW()-1,40),ROW()-1,FALSE))</f>
        <v>35.510204080000001</v>
      </c>
      <c r="AN122">
        <f ca="1">IF(AND($B$294=1,LEN($AN$251) * LEN($AN$250)&gt;0),$AN$251/$AN$250*100,HLOOKUP(INDIRECT(ADDRESS(2,COLUMN())),OFFSET($AT$2,0,0,ROW()-1,40),ROW()-1,FALSE))</f>
        <v>25.968109340000002</v>
      </c>
      <c r="AO122">
        <f ca="1">IF(AND($B$294=1,LEN($AO$251) * LEN($AO$250)&gt;0),$AO$251/$AO$250*100,HLOOKUP(INDIRECT(ADDRESS(2,COLUMN())),OFFSET($AT$2,0,0,ROW()-1,40),ROW()-1,FALSE))</f>
        <v>19.504643959999999</v>
      </c>
      <c r="AP122">
        <f ca="1">IF(AND($B$294=1,LEN($AP$251) * LEN($AP$250)&gt;0),$AP$251/$AP$250*100,HLOOKUP(INDIRECT(ADDRESS(2,COLUMN())),OFFSET($AT$2,0,0,ROW()-1,40),ROW()-1,FALSE))</f>
        <v>45.889101340000003</v>
      </c>
      <c r="AQ122">
        <f ca="1">IF(AND($B$294=1,LEN($AQ$251) * LEN($AQ$250)&gt;0),$AQ$251/$AQ$250*100,HLOOKUP(INDIRECT(ADDRESS(2,COLUMN())),OFFSET($AT$2,0,0,ROW()-1,40),ROW()-1,FALSE))</f>
        <v>72.636262509999995</v>
      </c>
      <c r="AR122">
        <f ca="1">IF(AND($B$294=1,LEN($AR$251) * LEN($AR$250)&gt;0),$AR$251/$AR$250*100,HLOOKUP(INDIRECT(ADDRESS(2,COLUMN())),OFFSET($AT$2,0,0,ROW()-1,40),ROW()-1,FALSE))</f>
        <v>31.443298970000001</v>
      </c>
      <c r="AS122">
        <f ca="1">IF(AND($B$294=1,LEN($AS$251) * LEN($AS$250)&gt;0),$AS$251/$AS$250*100,HLOOKUP(INDIRECT(ADDRESS(2,COLUMN())),OFFSET($AT$2,0,0,ROW()-1,40),ROW()-1,FALSE))</f>
        <v>36.781609199999998</v>
      </c>
      <c r="AT122">
        <f>51.6722408</f>
        <v>51.672240799999997</v>
      </c>
      <c r="AU122">
        <f>55.28967254</f>
        <v>55.289672539999998</v>
      </c>
      <c r="AV122">
        <f>36.41025641</f>
        <v>36.410256410000002</v>
      </c>
      <c r="AW122">
        <f>30.81510934</f>
        <v>30.815109339999999</v>
      </c>
      <c r="AX122">
        <f>27.13004484</f>
        <v>27.13004484</v>
      </c>
      <c r="AY122">
        <f>28.59813084</f>
        <v>28.59813084</v>
      </c>
      <c r="AZ122">
        <f>24.95636998</f>
        <v>24.956369980000002</v>
      </c>
      <c r="BA122">
        <f>40.08528785</f>
        <v>40.08528785</v>
      </c>
      <c r="BB122">
        <f>35.94080338</f>
        <v>35.940803379999998</v>
      </c>
      <c r="BC122">
        <f>24.21383648</f>
        <v>24.213836480000001</v>
      </c>
      <c r="BD122">
        <f>31.83391003</f>
        <v>31.833910029999998</v>
      </c>
      <c r="BE122">
        <f>24.3718593</f>
        <v>24.371859300000001</v>
      </c>
      <c r="BF122">
        <f>46.45669291</f>
        <v>46.456692910000001</v>
      </c>
      <c r="BG122">
        <f>65.46854942</f>
        <v>65.468549420000002</v>
      </c>
      <c r="BH122">
        <f>51.96078431</f>
        <v>51.960784310000001</v>
      </c>
      <c r="BI122">
        <f>38.92944039</f>
        <v>38.929440390000003</v>
      </c>
      <c r="BJ122">
        <f>34.33179724</f>
        <v>34.33179724</v>
      </c>
      <c r="BK122">
        <f>25.78475336</f>
        <v>25.78475336</v>
      </c>
      <c r="BL122">
        <f>41.66666667</f>
        <v>41.666666669999998</v>
      </c>
      <c r="BM122">
        <f>38.35616438</f>
        <v>38.356164380000003</v>
      </c>
      <c r="BN122">
        <f>34.57556936</f>
        <v>34.575569360000003</v>
      </c>
      <c r="BO122">
        <f>27.47875354</f>
        <v>27.47875354</v>
      </c>
      <c r="BP122">
        <f>20.46632124</f>
        <v>20.466321239999999</v>
      </c>
      <c r="BQ122">
        <f>13.89830508</f>
        <v>13.89830508</v>
      </c>
      <c r="BR122">
        <f>42.01680672</f>
        <v>42.016806719999998</v>
      </c>
      <c r="BS122">
        <f>74.30754537</f>
        <v>74.30754537</v>
      </c>
      <c r="BT122">
        <f>36.40776699</f>
        <v>36.407766989999999</v>
      </c>
      <c r="BU122">
        <f>45.20833333</f>
        <v>45.208333330000002</v>
      </c>
      <c r="BV122">
        <f>45.99627561</f>
        <v>45.996275609999998</v>
      </c>
      <c r="BW122">
        <f>28.54812398</f>
        <v>28.54812398</v>
      </c>
      <c r="BX122">
        <f>39.61538462</f>
        <v>39.61538462</v>
      </c>
      <c r="BY122">
        <f>36.18538324</f>
        <v>36.18538324</v>
      </c>
      <c r="BZ122">
        <f>21.6796875</f>
        <v>21.6796875</v>
      </c>
      <c r="CA122">
        <f>35.51020408</f>
        <v>35.510204080000001</v>
      </c>
      <c r="CB122">
        <f>25.96810934</f>
        <v>25.968109340000002</v>
      </c>
      <c r="CC122">
        <f>19.50464396</f>
        <v>19.504643959999999</v>
      </c>
      <c r="CD122">
        <f>45.88910134</f>
        <v>45.889101340000003</v>
      </c>
      <c r="CE122">
        <f>72.63626251</f>
        <v>72.636262509999995</v>
      </c>
      <c r="CF122">
        <f>31.44329897</f>
        <v>31.443298970000001</v>
      </c>
      <c r="CG122">
        <f>36.7816092</f>
        <v>36.781609199999998</v>
      </c>
    </row>
    <row r="123" spans="1:85" x14ac:dyDescent="0.25">
      <c r="A123" t="str">
        <f>"    PACCAR"</f>
        <v xml:space="preserve">    PACCAR</v>
      </c>
      <c r="B123" t="str">
        <f>"PCAR US Equity"</f>
        <v>PCAR US Equity</v>
      </c>
      <c r="E123" t="str">
        <f>"Sum"</f>
        <v>Sum</v>
      </c>
      <c r="F123">
        <f ca="1">IF(ISERROR(IF(SUM($F$124:$F$125) = 0, "", SUM($F$124:$F$125))), "", (IF(SUM($F$124:$F$125) = 0, "", SUM($F$124:$F$125))))</f>
        <v>15.050167223999999</v>
      </c>
      <c r="G123">
        <f ca="1">IF(ISERROR(IF(SUM($G$124:$G$125) = 0, "", SUM($G$124:$G$125))), "", (IF(SUM($G$124:$G$125) = 0, "", SUM($G$124:$G$125))))</f>
        <v>11.460957179000001</v>
      </c>
      <c r="H123">
        <f ca="1">IF(ISERROR(IF(SUM($H$124:$H$125) = 0, "", SUM($H$124:$H$125))), "", (IF(SUM($H$124:$H$125) = 0, "", SUM($H$124:$H$125))))</f>
        <v>17.179487179999999</v>
      </c>
      <c r="I123">
        <f ca="1">IF(ISERROR(IF(SUM($I$124:$I$125) = 0, "", SUM($I$124:$I$125))), "", (IF(SUM($I$124:$I$125) = 0, "", SUM($I$124:$I$125))))</f>
        <v>17.892644131000001</v>
      </c>
      <c r="J123">
        <f ca="1">IF(ISERROR(IF(SUM($J$124:$J$125) = 0, "", SUM($J$124:$J$125))), "", (IF(SUM($J$124:$J$125) = 0, "", SUM($J$124:$J$125))))</f>
        <v>19.730941709</v>
      </c>
      <c r="K123">
        <f ca="1">IF(ISERROR(IF(SUM($K$124:$K$125) = 0, "", SUM($K$124:$K$125))), "", (IF(SUM($K$124:$K$125) = 0, "", SUM($K$124:$K$125))))</f>
        <v>25.233644859999998</v>
      </c>
      <c r="L123">
        <f ca="1">IF(ISERROR(IF(SUM($L$124:$L$125) = 0, "", SUM($L$124:$L$125))), "", (IF(SUM($L$124:$L$125) = 0, "", SUM($L$124:$L$125))))</f>
        <v>13.961605584000001</v>
      </c>
      <c r="M123">
        <f ca="1">IF(ISERROR(IF(SUM($M$124:$M$125) = 0, "", SUM($M$124:$M$125))), "", (IF(SUM($M$124:$M$125) = 0, "", SUM($M$124:$M$125))))</f>
        <v>14.285714286000001</v>
      </c>
      <c r="N123">
        <f ca="1">IF(ISERROR(IF(SUM($N$124:$N$125) = 0, "", SUM($N$124:$N$125))), "", (IF(SUM($N$124:$N$125) = 0, "", SUM($N$124:$N$125))))</f>
        <v>16.279069767999999</v>
      </c>
      <c r="O123">
        <f ca="1">IF(ISERROR(IF(SUM($O$124:$O$125) = 0, "", SUM($O$124:$O$125))), "", (IF(SUM($O$124:$O$125) = 0, "", SUM($O$124:$O$125))))</f>
        <v>16.037735849000001</v>
      </c>
      <c r="P123">
        <f ca="1">IF(ISERROR(IF(SUM($P$124:$P$125) = 0, "", SUM($P$124:$P$125))), "", (IF(SUM($P$124:$P$125) = 0, "", SUM($P$124:$P$125))))</f>
        <v>17.301038066</v>
      </c>
      <c r="Q123">
        <f ca="1">IF(ISERROR(IF(SUM($Q$124:$Q$125) = 0, "", SUM($Q$124:$Q$125))), "", (IF(SUM($Q$124:$Q$125) = 0, "", SUM($Q$124:$Q$125))))</f>
        <v>21.356783919999998</v>
      </c>
      <c r="R123">
        <f ca="1">IF(ISERROR(IF(SUM($R$124:$R$125) = 0, "", SUM($R$124:$R$125))), "", (IF(SUM($R$124:$R$125) = 0, "", SUM($R$124:$R$125))))</f>
        <v>12.598425197000001</v>
      </c>
      <c r="S123">
        <f ca="1">IF(ISERROR(IF(SUM($S$124:$S$125) = 0, "", SUM($S$124:$S$125))), "", (IF(SUM($S$124:$S$125) = 0, "", SUM($S$124:$S$125))))</f>
        <v>6.5468549419999995</v>
      </c>
      <c r="T123">
        <f ca="1">IF(ISERROR(IF(SUM($T$124:$T$125) = 0, "", SUM($T$124:$T$125))), "", (IF(SUM($T$124:$T$125) = 0, "", SUM($T$124:$T$125))))</f>
        <v>14.313725489999999</v>
      </c>
      <c r="U123">
        <f ca="1">IF(ISERROR(IF(SUM($U$124:$U$125) = 0, "", SUM($U$124:$U$125))), "", (IF(SUM($U$124:$U$125) = 0, "", SUM($U$124:$U$125))))</f>
        <v>10.218978103</v>
      </c>
      <c r="V123">
        <f ca="1">IF(ISERROR(IF(SUM($V$124:$V$125) = 0, "", SUM($V$124:$V$125))), "", (IF(SUM($V$124:$V$125) = 0, "", SUM($V$124:$V$125))))</f>
        <v>20.046082951000002</v>
      </c>
      <c r="W123">
        <f ca="1">IF(ISERROR(IF(SUM($W$124:$W$125) = 0, "", SUM($W$124:$W$125))), "", (IF(SUM($W$124:$W$125) = 0, "", SUM($W$124:$W$125))))</f>
        <v>15.246636770999999</v>
      </c>
      <c r="X123">
        <f ca="1">IF(ISERROR(IF(SUM($X$124:$X$125) = 0, "", SUM($X$124:$X$125))), "", (IF(SUM($X$124:$X$125) = 0, "", SUM($X$124:$X$125))))</f>
        <v>16.860465116</v>
      </c>
      <c r="Y123">
        <f ca="1">IF(ISERROR(IF(SUM($Y$124:$Y$125) = 0, "", SUM($Y$124:$Y$125))), "", (IF(SUM($Y$124:$Y$125) = 0, "", SUM($Y$124:$Y$125))))</f>
        <v>15.981735159999999</v>
      </c>
      <c r="Z123">
        <f ca="1">IF(ISERROR(IF(SUM($Z$124:$Z$125) = 0, "", SUM($Z$124:$Z$125))), "", (IF(SUM($Z$124:$Z$125) = 0, "", SUM($Z$124:$Z$125))))</f>
        <v>17.805383026999998</v>
      </c>
      <c r="AA123">
        <f ca="1">IF(ISERROR(IF(SUM($AA$124:$AA$125) = 0, "", SUM($AA$124:$AA$125))), "", (IF(SUM($AA$124:$AA$125) = 0, "", SUM($AA$124:$AA$125))))</f>
        <v>15.580736544000001</v>
      </c>
      <c r="AB123">
        <f ca="1">IF(ISERROR(IF(SUM($AB$124:$AB$125) = 0, "", SUM($AB$124:$AB$125))), "", (IF(SUM($AB$124:$AB$125) = 0, "", SUM($AB$124:$AB$125))))</f>
        <v>22.538860110000002</v>
      </c>
      <c r="AC123">
        <f ca="1">IF(ISERROR(IF(SUM($AC$124:$AC$125) = 0, "", SUM($AC$124:$AC$125))), "", (IF(SUM($AC$124:$AC$125) = 0, "", SUM($AC$124:$AC$125))))</f>
        <v>22.71186441</v>
      </c>
      <c r="AD123">
        <f ca="1">IF(ISERROR(IF(SUM($AD$124:$AD$125) = 0, "", SUM($AD$124:$AD$125))), "", (IF(SUM($AD$124:$AD$125) = 0, "", SUM($AD$124:$AD$125))))</f>
        <v>13.025210084000001</v>
      </c>
      <c r="AE123">
        <f ca="1">IF(ISERROR(IF(SUM($AE$124:$AE$125) = 0, "", SUM($AE$124:$AE$125))), "", (IF(SUM($AE$124:$AE$125) = 0, "", SUM($AE$124:$AE$125))))</f>
        <v>7.2588347659999997</v>
      </c>
      <c r="AF123">
        <f ca="1">IF(ISERROR(IF(SUM($AF$124:$AF$125) = 0, "", SUM($AF$124:$AF$125))), "", (IF(SUM($AF$124:$AF$125) = 0, "", SUM($AF$124:$AF$125))))</f>
        <v>22.815533979999998</v>
      </c>
      <c r="AG123">
        <f ca="1">IF(ISERROR(IF(SUM($AG$124:$AG$125) = 0, "", SUM($AG$124:$AG$125))), "", (IF(SUM($AG$124:$AG$125) = 0, "", SUM($AG$124:$AG$125))))</f>
        <v>13.958333333999999</v>
      </c>
      <c r="AH123">
        <f ca="1">IF(ISERROR(IF(SUM($AH$124:$AH$125) = 0, "", SUM($AH$124:$AH$125))), "", (IF(SUM($AH$124:$AH$125) = 0, "", SUM($AH$124:$AH$125))))</f>
        <v>19.180633147000002</v>
      </c>
      <c r="AI123">
        <f ca="1">IF(ISERROR(IF(SUM($AI$124:$AI$125) = 0, "", SUM($AI$124:$AI$125))), "", (IF(SUM($AI$124:$AI$125) = 0, "", SUM($AI$124:$AI$125))))</f>
        <v>28.874388249999999</v>
      </c>
      <c r="AJ123">
        <f ca="1">IF(ISERROR(IF(SUM($AJ$124:$AJ$125) = 0, "", SUM($AJ$124:$AJ$125))), "", (IF(SUM($AJ$124:$AJ$125) = 0, "", SUM($AJ$124:$AJ$125))))</f>
        <v>23.653846149</v>
      </c>
      <c r="AK123">
        <f ca="1">IF(ISERROR(IF(SUM($AK$124:$AK$125) = 0, "", SUM($AK$124:$AK$125))), "", (IF(SUM($AK$124:$AK$125) = 0, "", SUM($AK$124:$AK$125))))</f>
        <v>17.468805704000001</v>
      </c>
      <c r="AL123">
        <f ca="1">IF(ISERROR(IF(SUM($AL$124:$AL$125) = 0, "", SUM($AL$124:$AL$125))), "", (IF(SUM($AL$124:$AL$125) = 0, "", SUM($AL$124:$AL$125))))</f>
        <v>14.84375</v>
      </c>
      <c r="AM123">
        <f ca="1">IF(ISERROR(IF(SUM($AM$124:$AM$125) = 0, "", SUM($AM$124:$AM$125))), "", (IF(SUM($AM$124:$AM$125) = 0, "", SUM($AM$124:$AM$125))))</f>
        <v>21.632653066</v>
      </c>
      <c r="AN123">
        <f ca="1">IF(ISERROR(IF(SUM($AN$124:$AN$125) = 0, "", SUM($AN$124:$AN$125))), "", (IF(SUM($AN$124:$AN$125) = 0, "", SUM($AN$124:$AN$125))))</f>
        <v>24.145785877999998</v>
      </c>
      <c r="AO123">
        <f ca="1">IF(ISERROR(IF(SUM($AO$124:$AO$125) = 0, "", SUM($AO$124:$AO$125))), "", (IF(SUM($AO$124:$AO$125) = 0, "", SUM($AO$124:$AO$125))))</f>
        <v>30.030959760000002</v>
      </c>
      <c r="AP123">
        <f ca="1">IF(ISERROR(IF(SUM($AP$124:$AP$125) = 0, "", SUM($AP$124:$AP$125))), "", (IF(SUM($AP$124:$AP$125) = 0, "", SUM($AP$124:$AP$125))))</f>
        <v>18.738049711000002</v>
      </c>
      <c r="AQ123">
        <f ca="1">IF(ISERROR(IF(SUM($AQ$124:$AQ$125) = 0, "", SUM($AQ$124:$AQ$125))), "", (IF(SUM($AQ$124:$AQ$125) = 0, "", SUM($AQ$124:$AQ$125))))</f>
        <v>7.3414905450000001</v>
      </c>
      <c r="AR123">
        <f ca="1">IF(ISERROR(IF(SUM($AR$124:$AR$125) = 0, "", SUM($AR$124:$AR$125))), "", (IF(SUM($AR$124:$AR$125) = 0, "", SUM($AR$124:$AR$125))))</f>
        <v>24.226804123000001</v>
      </c>
      <c r="AS123">
        <f ca="1">IF(ISERROR(IF(SUM($AS$124:$AS$125) = 0, "", SUM($AS$124:$AS$125))), "", (IF(SUM($AS$124:$AS$125) = 0, "", SUM($AS$124:$AS$125))))</f>
        <v>26.436781610000001</v>
      </c>
      <c r="AT123">
        <f>15.05016722</f>
        <v>15.050167220000001</v>
      </c>
      <c r="AU123">
        <f>11.46095718</f>
        <v>11.460957179999999</v>
      </c>
      <c r="AV123">
        <f>17.17948718</f>
        <v>17.179487179999999</v>
      </c>
      <c r="AW123">
        <f>17.89264414</f>
        <v>17.892644140000002</v>
      </c>
      <c r="AX123">
        <f>19.7309417</f>
        <v>19.730941699999999</v>
      </c>
      <c r="AY123">
        <f>25.23364486</f>
        <v>25.233644859999998</v>
      </c>
      <c r="AZ123">
        <f>13.96160558</f>
        <v>13.961605580000001</v>
      </c>
      <c r="BA123">
        <f>14.28571429</f>
        <v>14.28571429</v>
      </c>
      <c r="BB123">
        <f>16.27906977</f>
        <v>16.27906977</v>
      </c>
      <c r="BC123">
        <f>16.03773585</f>
        <v>16.037735850000001</v>
      </c>
      <c r="BD123">
        <f>17.30103806</f>
        <v>17.30103806</v>
      </c>
      <c r="BE123">
        <f>21.35678392</f>
        <v>21.356783920000002</v>
      </c>
      <c r="BF123">
        <f>12.5984252</f>
        <v>12.598425199999999</v>
      </c>
      <c r="BG123">
        <f>6.546854942</f>
        <v>6.5468549420000004</v>
      </c>
      <c r="BH123">
        <f>14.31372549</f>
        <v>14.313725489999999</v>
      </c>
      <c r="BI123">
        <f>10.2189781</f>
        <v>10.218978099999999</v>
      </c>
      <c r="BJ123">
        <f>20.04608295</f>
        <v>20.046082949999999</v>
      </c>
      <c r="BK123">
        <f>15.24663677</f>
        <v>15.24663677</v>
      </c>
      <c r="BL123">
        <f>16.86046512</f>
        <v>16.860465120000001</v>
      </c>
      <c r="BM123">
        <f>15.98173516</f>
        <v>15.981735159999999</v>
      </c>
      <c r="BN123">
        <f>17.80538302</f>
        <v>17.805383020000001</v>
      </c>
      <c r="BO123">
        <f>15.58073654</f>
        <v>15.58073654</v>
      </c>
      <c r="BP123">
        <f>22.5388601</f>
        <v>22.538860100000001</v>
      </c>
      <c r="BQ123">
        <f>22.71186441</f>
        <v>22.71186441</v>
      </c>
      <c r="BR123">
        <f>13.02521008</f>
        <v>13.025210080000001</v>
      </c>
      <c r="BS123">
        <f>7.258834766</f>
        <v>7.2588347659999997</v>
      </c>
      <c r="BT123">
        <f>22.81553398</f>
        <v>22.815533980000001</v>
      </c>
      <c r="BU123">
        <f>13.95833333</f>
        <v>13.95833333</v>
      </c>
      <c r="BV123">
        <f>19.18063315</f>
        <v>19.180633149999998</v>
      </c>
      <c r="BW123">
        <f>28.87438825</f>
        <v>28.874388249999999</v>
      </c>
      <c r="BX123">
        <f>23.65384615</f>
        <v>23.65384615</v>
      </c>
      <c r="BY123">
        <f>17.4688057</f>
        <v>17.468805700000001</v>
      </c>
      <c r="BZ123">
        <f>14.84375</f>
        <v>14.84375</v>
      </c>
      <c r="CA123">
        <f>21.63265306</f>
        <v>21.632653059999999</v>
      </c>
      <c r="CB123">
        <f>24.14578588</f>
        <v>24.145785879999998</v>
      </c>
      <c r="CC123">
        <f>30.03095975</f>
        <v>30.030959750000001</v>
      </c>
      <c r="CD123">
        <f>18.73804971</f>
        <v>18.738049709999999</v>
      </c>
      <c r="CE123">
        <f>7.341490545</f>
        <v>7.3414905450000001</v>
      </c>
      <c r="CF123">
        <f>24.22680412</f>
        <v>24.226804120000001</v>
      </c>
      <c r="CG123">
        <f>26.43678161</f>
        <v>26.436781610000001</v>
      </c>
    </row>
    <row r="124" spans="1:85" x14ac:dyDescent="0.25">
      <c r="A124" t="str">
        <f>"        Kenworth"</f>
        <v xml:space="preserve">        Kenworth</v>
      </c>
      <c r="B124" t="str">
        <f>"PCAR US Equity"</f>
        <v>PCAR US Equity</v>
      </c>
      <c r="E124" t="str">
        <f>"Expression"</f>
        <v>Expression</v>
      </c>
      <c r="F124">
        <f ca="1">IF(AND($B$294=1,LEN($F$252) * LEN($F$250)&gt;0),$F$252/$F$250*100,HLOOKUP(INDIRECT(ADDRESS(2,COLUMN())),OFFSET($AT$2,0,0,ROW()-1,40),ROW()-1,FALSE))</f>
        <v>8.361204013</v>
      </c>
      <c r="G124">
        <f ca="1">IF(AND($B$294=1,LEN($G$252) * LEN($G$250)&gt;0),$G$252/$G$250*100,HLOOKUP(INDIRECT(ADDRESS(2,COLUMN())),OFFSET($AT$2,0,0,ROW()-1,40),ROW()-1,FALSE))</f>
        <v>6.5491183880000001</v>
      </c>
      <c r="H124">
        <f ca="1">IF(AND($B$294=1,LEN($H$252) * LEN($H$250)&gt;0),$H$252/$H$250*100,HLOOKUP(INDIRECT(ADDRESS(2,COLUMN())),OFFSET($AT$2,0,0,ROW()-1,40),ROW()-1,FALSE))</f>
        <v>6.4102564099999997</v>
      </c>
      <c r="I124">
        <f ca="1">IF(AND($B$294=1,LEN($I$252) * LEN($I$250)&gt;0),$I$252/$I$250*100,HLOOKUP(INDIRECT(ADDRESS(2,COLUMN())),OFFSET($AT$2,0,0,ROW()-1,40),ROW()-1,FALSE))</f>
        <v>10.536779320000001</v>
      </c>
      <c r="J124">
        <f ca="1">IF(AND($B$294=1,LEN($J$252) * LEN($J$250)&gt;0),$J$252/$J$250*100,HLOOKUP(INDIRECT(ADDRESS(2,COLUMN())),OFFSET($AT$2,0,0,ROW()-1,40),ROW()-1,FALSE))</f>
        <v>11.65919283</v>
      </c>
      <c r="K124">
        <f ca="1">IF(AND($B$294=1,LEN($K$252) * LEN($K$250)&gt;0),$K$252/$K$250*100,HLOOKUP(INDIRECT(ADDRESS(2,COLUMN())),OFFSET($AT$2,0,0,ROW()-1,40),ROW()-1,FALSE))</f>
        <v>11.40186916</v>
      </c>
      <c r="L124">
        <f ca="1">IF(AND($B$294=1,LEN($L$252) * LEN($L$250)&gt;0),$L$252/$L$250*100,HLOOKUP(INDIRECT(ADDRESS(2,COLUMN())),OFFSET($AT$2,0,0,ROW()-1,40),ROW()-1,FALSE))</f>
        <v>6.1082024429999997</v>
      </c>
      <c r="M124">
        <f ca="1">IF(AND($B$294=1,LEN($M$252) * LEN($M$250)&gt;0),$M$252/$M$250*100,HLOOKUP(INDIRECT(ADDRESS(2,COLUMN())),OFFSET($AT$2,0,0,ROW()-1,40),ROW()-1,FALSE))</f>
        <v>7.4626865670000004</v>
      </c>
      <c r="N124">
        <f ca="1">IF(AND($B$294=1,LEN($N$252) * LEN($N$250)&gt;0),$N$252/$N$250*100,HLOOKUP(INDIRECT(ADDRESS(2,COLUMN())),OFFSET($AT$2,0,0,ROW()-1,40),ROW()-1,FALSE))</f>
        <v>7.6109936579999999</v>
      </c>
      <c r="O124">
        <f ca="1">IF(AND($B$294=1,LEN($O$252) * LEN($O$250)&gt;0),$O$252/$O$250*100,HLOOKUP(INDIRECT(ADDRESS(2,COLUMN())),OFFSET($AT$2,0,0,ROW()-1,40),ROW()-1,FALSE))</f>
        <v>9.1194968549999995</v>
      </c>
      <c r="P124">
        <f ca="1">IF(AND($B$294=1,LEN($P$252) * LEN($P$250)&gt;0),$P$252/$P$250*100,HLOOKUP(INDIRECT(ADDRESS(2,COLUMN())),OFFSET($AT$2,0,0,ROW()-1,40),ROW()-1,FALSE))</f>
        <v>10.034602080000001</v>
      </c>
      <c r="Q124">
        <f ca="1">IF(AND($B$294=1,LEN($Q$252) * LEN($Q$250)&gt;0),$Q$252/$Q$250*100,HLOOKUP(INDIRECT(ADDRESS(2,COLUMN())),OFFSET($AT$2,0,0,ROW()-1,40),ROW()-1,FALSE))</f>
        <v>11.30653266</v>
      </c>
      <c r="R124">
        <f ca="1">IF(AND($B$294=1,LEN($R$252) * LEN($R$250)&gt;0),$R$252/$R$250*100,HLOOKUP(INDIRECT(ADDRESS(2,COLUMN())),OFFSET($AT$2,0,0,ROW()-1,40),ROW()-1,FALSE))</f>
        <v>9.186351706</v>
      </c>
      <c r="S124">
        <f ca="1">IF(AND($B$294=1,LEN($S$252) * LEN($S$250)&gt;0),$S$252/$S$250*100,HLOOKUP(INDIRECT(ADDRESS(2,COLUMN())),OFFSET($AT$2,0,0,ROW()-1,40),ROW()-1,FALSE))</f>
        <v>4.2362002570000001</v>
      </c>
      <c r="T124">
        <f ca="1">IF(AND($B$294=1,LEN($T$252) * LEN($T$250)&gt;0),$T$252/$T$250*100,HLOOKUP(INDIRECT(ADDRESS(2,COLUMN())),OFFSET($AT$2,0,0,ROW()-1,40),ROW()-1,FALSE))</f>
        <v>6.4705882350000001</v>
      </c>
      <c r="U124">
        <f ca="1">IF(AND($B$294=1,LEN($U$252) * LEN($U$250)&gt;0),$U$252/$U$250*100,HLOOKUP(INDIRECT(ADDRESS(2,COLUMN())),OFFSET($AT$2,0,0,ROW()-1,40),ROW()-1,FALSE))</f>
        <v>7.0559610709999996</v>
      </c>
      <c r="V124">
        <f ca="1">IF(AND($B$294=1,LEN($V$252) * LEN($V$250)&gt;0),$V$252/$V$250*100,HLOOKUP(INDIRECT(ADDRESS(2,COLUMN())),OFFSET($AT$2,0,0,ROW()-1,40),ROW()-1,FALSE))</f>
        <v>9.9078341010000006</v>
      </c>
      <c r="W124">
        <f ca="1">IF(AND($B$294=1,LEN($W$252) * LEN($W$250)&gt;0),$W$252/$W$250*100,HLOOKUP(INDIRECT(ADDRESS(2,COLUMN())),OFFSET($AT$2,0,0,ROW()-1,40),ROW()-1,FALSE))</f>
        <v>6.053811659</v>
      </c>
      <c r="X124">
        <f ca="1">IF(AND($B$294=1,LEN($X$252) * LEN($X$250)&gt;0),$X$252/$X$250*100,HLOOKUP(INDIRECT(ADDRESS(2,COLUMN())),OFFSET($AT$2,0,0,ROW()-1,40),ROW()-1,FALSE))</f>
        <v>8.9147286819999998</v>
      </c>
      <c r="Y124">
        <f ca="1">IF(AND($B$294=1,LEN($Y$252) * LEN($Y$250)&gt;0),$Y$252/$Y$250*100,HLOOKUP(INDIRECT(ADDRESS(2,COLUMN())),OFFSET($AT$2,0,0,ROW()-1,40),ROW()-1,FALSE))</f>
        <v>6.3926940639999996</v>
      </c>
      <c r="Z124">
        <f ca="1">IF(AND($B$294=1,LEN($Z$252) * LEN($Z$250)&gt;0),$Z$252/$Z$250*100,HLOOKUP(INDIRECT(ADDRESS(2,COLUMN())),OFFSET($AT$2,0,0,ROW()-1,40),ROW()-1,FALSE))</f>
        <v>7.6604554870000001</v>
      </c>
      <c r="AA124">
        <f ca="1">IF(AND($B$294=1,LEN($AA$252) * LEN($AA$250)&gt;0),$AA$252/$AA$250*100,HLOOKUP(INDIRECT(ADDRESS(2,COLUMN())),OFFSET($AT$2,0,0,ROW()-1,40),ROW()-1,FALSE))</f>
        <v>9.065155807</v>
      </c>
      <c r="AB124">
        <f ca="1">IF(AND($B$294=1,LEN($AB$252) * LEN($AB$250)&gt;0),$AB$252/$AB$250*100,HLOOKUP(INDIRECT(ADDRESS(2,COLUMN())),OFFSET($AT$2,0,0,ROW()-1,40),ROW()-1,FALSE))</f>
        <v>10.88082902</v>
      </c>
      <c r="AC124">
        <f ca="1">IF(AND($B$294=1,LEN($AC$252) * LEN($AC$250)&gt;0),$AC$252/$AC$250*100,HLOOKUP(INDIRECT(ADDRESS(2,COLUMN())),OFFSET($AT$2,0,0,ROW()-1,40),ROW()-1,FALSE))</f>
        <v>11.18644068</v>
      </c>
      <c r="AD124">
        <f ca="1">IF(AND($B$294=1,LEN($AD$252) * LEN($AD$250)&gt;0),$AD$252/$AD$250*100,HLOOKUP(INDIRECT(ADDRESS(2,COLUMN())),OFFSET($AT$2,0,0,ROW()-1,40),ROW()-1,FALSE))</f>
        <v>7.5630252100000002</v>
      </c>
      <c r="AE124">
        <f ca="1">IF(AND($B$294=1,LEN($AE$252) * LEN($AE$250)&gt;0),$AE$252/$AE$250*100,HLOOKUP(INDIRECT(ADDRESS(2,COLUMN())),OFFSET($AT$2,0,0,ROW()-1,40),ROW()-1,FALSE))</f>
        <v>4.871060172</v>
      </c>
      <c r="AF124">
        <f ca="1">IF(AND($B$294=1,LEN($AF$252) * LEN($AF$250)&gt;0),$AF$252/$AF$250*100,HLOOKUP(INDIRECT(ADDRESS(2,COLUMN())),OFFSET($AT$2,0,0,ROW()-1,40),ROW()-1,FALSE))</f>
        <v>10.9223301</v>
      </c>
      <c r="AG124">
        <f ca="1">IF(AND($B$294=1,LEN($AG$252) * LEN($AG$250)&gt;0),$AG$252/$AG$250*100,HLOOKUP(INDIRECT(ADDRESS(2,COLUMN())),OFFSET($AT$2,0,0,ROW()-1,40),ROW()-1,FALSE))</f>
        <v>5.4166666670000003</v>
      </c>
      <c r="AH124">
        <f ca="1">IF(AND($B$294=1,LEN($AH$252) * LEN($AH$250)&gt;0),$AH$252/$AH$250*100,HLOOKUP(INDIRECT(ADDRESS(2,COLUMN())),OFFSET($AT$2,0,0,ROW()-1,40),ROW()-1,FALSE))</f>
        <v>10.428305399999999</v>
      </c>
      <c r="AI124">
        <f ca="1">IF(AND($B$294=1,LEN($AI$252) * LEN($AI$250)&gt;0),$AI$252/$AI$250*100,HLOOKUP(INDIRECT(ADDRESS(2,COLUMN())),OFFSET($AT$2,0,0,ROW()-1,40),ROW()-1,FALSE))</f>
        <v>15.17128874</v>
      </c>
      <c r="AJ124">
        <f ca="1">IF(AND($B$294=1,LEN($AJ$252) * LEN($AJ$250)&gt;0),$AJ$252/$AJ$250*100,HLOOKUP(INDIRECT(ADDRESS(2,COLUMN())),OFFSET($AT$2,0,0,ROW()-1,40),ROW()-1,FALSE))</f>
        <v>5.769230769</v>
      </c>
      <c r="AK124">
        <f ca="1">IF(AND($B$294=1,LEN($AK$252) * LEN($AK$250)&gt;0),$AK$252/$AK$250*100,HLOOKUP(INDIRECT(ADDRESS(2,COLUMN())),OFFSET($AT$2,0,0,ROW()-1,40),ROW()-1,FALSE))</f>
        <v>7.8431372550000003</v>
      </c>
      <c r="AL124">
        <f ca="1">IF(AND($B$294=1,LEN($AL$252) * LEN($AL$250)&gt;0),$AL$252/$AL$250*100,HLOOKUP(INDIRECT(ADDRESS(2,COLUMN())),OFFSET($AT$2,0,0,ROW()-1,40),ROW()-1,FALSE))</f>
        <v>6.8359375</v>
      </c>
      <c r="AM124">
        <f ca="1">IF(AND($B$294=1,LEN($AM$252) * LEN($AM$250)&gt;0),$AM$252/$AM$250*100,HLOOKUP(INDIRECT(ADDRESS(2,COLUMN())),OFFSET($AT$2,0,0,ROW()-1,40),ROW()-1,FALSE))</f>
        <v>8.1632653059999996</v>
      </c>
      <c r="AN124">
        <f ca="1">IF(AND($B$294=1,LEN($AN$252) * LEN($AN$250)&gt;0),$AN$252/$AN$250*100,HLOOKUP(INDIRECT(ADDRESS(2,COLUMN())),OFFSET($AT$2,0,0,ROW()-1,40),ROW()-1,FALSE))</f>
        <v>9.5671981779999999</v>
      </c>
      <c r="AO124">
        <f ca="1">IF(AND($B$294=1,LEN($AO$252) * LEN($AO$250)&gt;0),$AO$252/$AO$250*100,HLOOKUP(INDIRECT(ADDRESS(2,COLUMN())),OFFSET($AT$2,0,0,ROW()-1,40),ROW()-1,FALSE))</f>
        <v>11.14551084</v>
      </c>
      <c r="AP124">
        <f ca="1">IF(AND($B$294=1,LEN($AP$252) * LEN($AP$250)&gt;0),$AP$252/$AP$250*100,HLOOKUP(INDIRECT(ADDRESS(2,COLUMN())),OFFSET($AT$2,0,0,ROW()-1,40),ROW()-1,FALSE))</f>
        <v>10.13384321</v>
      </c>
      <c r="AQ124">
        <f ca="1">IF(AND($B$294=1,LEN($AQ$252) * LEN($AQ$250)&gt;0),$AQ$252/$AQ$250*100,HLOOKUP(INDIRECT(ADDRESS(2,COLUMN())),OFFSET($AT$2,0,0,ROW()-1,40),ROW()-1,FALSE))</f>
        <v>2.1134593989999999</v>
      </c>
      <c r="AR124">
        <f ca="1">IF(AND($B$294=1,LEN($AR$252) * LEN($AR$250)&gt;0),$AR$252/$AR$250*100,HLOOKUP(INDIRECT(ADDRESS(2,COLUMN())),OFFSET($AT$2,0,0,ROW()-1,40),ROW()-1,FALSE))</f>
        <v>14.432989689999999</v>
      </c>
      <c r="AS124">
        <f ca="1">IF(AND($B$294=1,LEN($AS$252) * LEN($AS$250)&gt;0),$AS$252/$AS$250*100,HLOOKUP(INDIRECT(ADDRESS(2,COLUMN())),OFFSET($AT$2,0,0,ROW()-1,40),ROW()-1,FALSE))</f>
        <v>13.10344828</v>
      </c>
      <c r="AT124">
        <f>8.361204013</f>
        <v>8.361204013</v>
      </c>
      <c r="AU124">
        <f>6.549118388</f>
        <v>6.5491183880000001</v>
      </c>
      <c r="AV124">
        <f>6.41025641</f>
        <v>6.4102564099999997</v>
      </c>
      <c r="AW124">
        <f>10.53677932</f>
        <v>10.536779320000001</v>
      </c>
      <c r="AX124">
        <f>11.65919283</f>
        <v>11.65919283</v>
      </c>
      <c r="AY124">
        <f>11.40186916</f>
        <v>11.40186916</v>
      </c>
      <c r="AZ124">
        <f>6.108202443</f>
        <v>6.1082024429999997</v>
      </c>
      <c r="BA124">
        <f>7.462686567</f>
        <v>7.4626865670000004</v>
      </c>
      <c r="BB124">
        <f>7.610993658</f>
        <v>7.6109936579999999</v>
      </c>
      <c r="BC124">
        <f>9.119496855</f>
        <v>9.1194968549999995</v>
      </c>
      <c r="BD124">
        <f>10.03460208</f>
        <v>10.034602080000001</v>
      </c>
      <c r="BE124">
        <f>11.30653266</f>
        <v>11.30653266</v>
      </c>
      <c r="BF124">
        <f>9.186351706</f>
        <v>9.186351706</v>
      </c>
      <c r="BG124">
        <f>4.236200257</f>
        <v>4.2362002570000001</v>
      </c>
      <c r="BH124">
        <f>6.470588235</f>
        <v>6.4705882350000001</v>
      </c>
      <c r="BI124">
        <f>7.055961071</f>
        <v>7.0559610709999996</v>
      </c>
      <c r="BJ124">
        <f>9.907834101</f>
        <v>9.9078341010000006</v>
      </c>
      <c r="BK124">
        <f>6.053811659</f>
        <v>6.053811659</v>
      </c>
      <c r="BL124">
        <f>8.914728682</f>
        <v>8.9147286819999998</v>
      </c>
      <c r="BM124">
        <f>6.392694064</f>
        <v>6.3926940639999996</v>
      </c>
      <c r="BN124">
        <f>7.660455487</f>
        <v>7.6604554870000001</v>
      </c>
      <c r="BO124">
        <f>9.065155807</f>
        <v>9.065155807</v>
      </c>
      <c r="BP124">
        <f>10.88082902</f>
        <v>10.88082902</v>
      </c>
      <c r="BQ124">
        <f>11.18644068</f>
        <v>11.18644068</v>
      </c>
      <c r="BR124">
        <f>7.56302521</f>
        <v>7.5630252100000002</v>
      </c>
      <c r="BS124">
        <f>4.871060172</f>
        <v>4.871060172</v>
      </c>
      <c r="BT124">
        <f>10.9223301</f>
        <v>10.9223301</v>
      </c>
      <c r="BU124">
        <f>5.416666667</f>
        <v>5.4166666670000003</v>
      </c>
      <c r="BV124">
        <f>10.4283054</f>
        <v>10.428305399999999</v>
      </c>
      <c r="BW124">
        <f>15.17128874</f>
        <v>15.17128874</v>
      </c>
      <c r="BX124">
        <f>5.769230769</f>
        <v>5.769230769</v>
      </c>
      <c r="BY124">
        <f>7.843137255</f>
        <v>7.8431372550000003</v>
      </c>
      <c r="BZ124">
        <f>6.8359375</f>
        <v>6.8359375</v>
      </c>
      <c r="CA124">
        <f>8.163265306</f>
        <v>8.1632653059999996</v>
      </c>
      <c r="CB124">
        <f>9.567198178</f>
        <v>9.5671981779999999</v>
      </c>
      <c r="CC124">
        <f>11.14551084</f>
        <v>11.14551084</v>
      </c>
      <c r="CD124">
        <f>10.13384321</f>
        <v>10.13384321</v>
      </c>
      <c r="CE124">
        <f>2.113459399</f>
        <v>2.1134593989999999</v>
      </c>
      <c r="CF124">
        <f>14.43298969</f>
        <v>14.432989689999999</v>
      </c>
      <c r="CG124">
        <f>13.10344828</f>
        <v>13.10344828</v>
      </c>
    </row>
    <row r="125" spans="1:85" x14ac:dyDescent="0.25">
      <c r="A125" t="str">
        <f>"        Peterbilt"</f>
        <v xml:space="preserve">        Peterbilt</v>
      </c>
      <c r="B125" t="str">
        <f>"PCAR US Equity"</f>
        <v>PCAR US Equity</v>
      </c>
      <c r="E125" t="str">
        <f>"Expression"</f>
        <v>Expression</v>
      </c>
      <c r="F125">
        <f ca="1">IF(AND($B$294=1,LEN($F$253) * LEN($F$250)&gt;0),$F$253/$F$250*100,HLOOKUP(INDIRECT(ADDRESS(2,COLUMN())),OFFSET($AT$2,0,0,ROW()-1,40),ROW()-1,FALSE))</f>
        <v>6.6889632109999999</v>
      </c>
      <c r="G125">
        <f ca="1">IF(AND($B$294=1,LEN($G$253) * LEN($G$250)&gt;0),$G$253/$G$250*100,HLOOKUP(INDIRECT(ADDRESS(2,COLUMN())),OFFSET($AT$2,0,0,ROW()-1,40),ROW()-1,FALSE))</f>
        <v>4.9118387910000001</v>
      </c>
      <c r="H125">
        <f ca="1">IF(AND($B$294=1,LEN($H$253) * LEN($H$250)&gt;0),$H$253/$H$250*100,HLOOKUP(INDIRECT(ADDRESS(2,COLUMN())),OFFSET($AT$2,0,0,ROW()-1,40),ROW()-1,FALSE))</f>
        <v>10.76923077</v>
      </c>
      <c r="I125">
        <f ca="1">IF(AND($B$294=1,LEN($I$253) * LEN($I$250)&gt;0),$I$253/$I$250*100,HLOOKUP(INDIRECT(ADDRESS(2,COLUMN())),OFFSET($AT$2,0,0,ROW()-1,40),ROW()-1,FALSE))</f>
        <v>7.355864811</v>
      </c>
      <c r="J125">
        <f ca="1">IF(AND($B$294=1,LEN($J$253) * LEN($J$250)&gt;0),$J$253/$J$250*100,HLOOKUP(INDIRECT(ADDRESS(2,COLUMN())),OFFSET($AT$2,0,0,ROW()-1,40),ROW()-1,FALSE))</f>
        <v>8.0717488789999994</v>
      </c>
      <c r="K125">
        <f ca="1">IF(AND($B$294=1,LEN($K$253) * LEN($K$250)&gt;0),$K$253/$K$250*100,HLOOKUP(INDIRECT(ADDRESS(2,COLUMN())),OFFSET($AT$2,0,0,ROW()-1,40),ROW()-1,FALSE))</f>
        <v>13.8317757</v>
      </c>
      <c r="L125">
        <f ca="1">IF(AND($B$294=1,LEN($L$253) * LEN($L$250)&gt;0),$L$253/$L$250*100,HLOOKUP(INDIRECT(ADDRESS(2,COLUMN())),OFFSET($AT$2,0,0,ROW()-1,40),ROW()-1,FALSE))</f>
        <v>7.8534031410000003</v>
      </c>
      <c r="M125">
        <f ca="1">IF(AND($B$294=1,LEN($M$253) * LEN($M$250)&gt;0),$M$253/$M$250*100,HLOOKUP(INDIRECT(ADDRESS(2,COLUMN())),OFFSET($AT$2,0,0,ROW()-1,40),ROW()-1,FALSE))</f>
        <v>6.8230277189999997</v>
      </c>
      <c r="N125">
        <f ca="1">IF(AND($B$294=1,LEN($N$253) * LEN($N$250)&gt;0),$N$253/$N$250*100,HLOOKUP(INDIRECT(ADDRESS(2,COLUMN())),OFFSET($AT$2,0,0,ROW()-1,40),ROW()-1,FALSE))</f>
        <v>8.6680761099999994</v>
      </c>
      <c r="O125">
        <f ca="1">IF(AND($B$294=1,LEN($O$253) * LEN($O$250)&gt;0),$O$253/$O$250*100,HLOOKUP(INDIRECT(ADDRESS(2,COLUMN())),OFFSET($AT$2,0,0,ROW()-1,40),ROW()-1,FALSE))</f>
        <v>6.9182389940000002</v>
      </c>
      <c r="P125">
        <f ca="1">IF(AND($B$294=1,LEN($P$253) * LEN($P$250)&gt;0),$P$253/$P$250*100,HLOOKUP(INDIRECT(ADDRESS(2,COLUMN())),OFFSET($AT$2,0,0,ROW()-1,40),ROW()-1,FALSE))</f>
        <v>7.2664359860000003</v>
      </c>
      <c r="Q125">
        <f ca="1">IF(AND($B$294=1,LEN($Q$253) * LEN($Q$250)&gt;0),$Q$253/$Q$250*100,HLOOKUP(INDIRECT(ADDRESS(2,COLUMN())),OFFSET($AT$2,0,0,ROW()-1,40),ROW()-1,FALSE))</f>
        <v>10.05025126</v>
      </c>
      <c r="R125">
        <f ca="1">IF(AND($B$294=1,LEN($R$253) * LEN($R$250)&gt;0),$R$253/$R$250*100,HLOOKUP(INDIRECT(ADDRESS(2,COLUMN())),OFFSET($AT$2,0,0,ROW()-1,40),ROW()-1,FALSE))</f>
        <v>3.4120734910000001</v>
      </c>
      <c r="S125">
        <f ca="1">IF(AND($B$294=1,LEN($S$253) * LEN($S$250)&gt;0),$S$253/$S$250*100,HLOOKUP(INDIRECT(ADDRESS(2,COLUMN())),OFFSET($AT$2,0,0,ROW()-1,40),ROW()-1,FALSE))</f>
        <v>2.3106546849999998</v>
      </c>
      <c r="T125">
        <f ca="1">IF(AND($B$294=1,LEN($T$253) * LEN($T$250)&gt;0),$T$253/$T$250*100,HLOOKUP(INDIRECT(ADDRESS(2,COLUMN())),OFFSET($AT$2,0,0,ROW()-1,40),ROW()-1,FALSE))</f>
        <v>7.8431372550000003</v>
      </c>
      <c r="U125">
        <f ca="1">IF(AND($B$294=1,LEN($U$253) * LEN($U$250)&gt;0),$U$253/$U$250*100,HLOOKUP(INDIRECT(ADDRESS(2,COLUMN())),OFFSET($AT$2,0,0,ROW()-1,40),ROW()-1,FALSE))</f>
        <v>3.163017032</v>
      </c>
      <c r="V125">
        <f ca="1">IF(AND($B$294=1,LEN($V$253) * LEN($V$250)&gt;0),$V$253/$V$250*100,HLOOKUP(INDIRECT(ADDRESS(2,COLUMN())),OFFSET($AT$2,0,0,ROW()-1,40),ROW()-1,FALSE))</f>
        <v>10.13824885</v>
      </c>
      <c r="W125">
        <f ca="1">IF(AND($B$294=1,LEN($W$253) * LEN($W$250)&gt;0),$W$253/$W$250*100,HLOOKUP(INDIRECT(ADDRESS(2,COLUMN())),OFFSET($AT$2,0,0,ROW()-1,40),ROW()-1,FALSE))</f>
        <v>9.1928251119999995</v>
      </c>
      <c r="X125">
        <f ca="1">IF(AND($B$294=1,LEN($X$253) * LEN($X$250)&gt;0),$X$253/$X$250*100,HLOOKUP(INDIRECT(ADDRESS(2,COLUMN())),OFFSET($AT$2,0,0,ROW()-1,40),ROW()-1,FALSE))</f>
        <v>7.9457364339999996</v>
      </c>
      <c r="Y125">
        <f ca="1">IF(AND($B$294=1,LEN($Y$253) * LEN($Y$250)&gt;0),$Y$253/$Y$250*100,HLOOKUP(INDIRECT(ADDRESS(2,COLUMN())),OFFSET($AT$2,0,0,ROW()-1,40),ROW()-1,FALSE))</f>
        <v>9.5890410960000008</v>
      </c>
      <c r="Z125">
        <f ca="1">IF(AND($B$294=1,LEN($Z$253) * LEN($Z$250)&gt;0),$Z$253/$Z$250*100,HLOOKUP(INDIRECT(ADDRESS(2,COLUMN())),OFFSET($AT$2,0,0,ROW()-1,40),ROW()-1,FALSE))</f>
        <v>10.144927539999999</v>
      </c>
      <c r="AA125">
        <f ca="1">IF(AND($B$294=1,LEN($AA$253) * LEN($AA$250)&gt;0),$AA$253/$AA$250*100,HLOOKUP(INDIRECT(ADDRESS(2,COLUMN())),OFFSET($AT$2,0,0,ROW()-1,40),ROW()-1,FALSE))</f>
        <v>6.5155807369999996</v>
      </c>
      <c r="AB125">
        <f ca="1">IF(AND($B$294=1,LEN($AB$253) * LEN($AB$250)&gt;0),$AB$253/$AB$250*100,HLOOKUP(INDIRECT(ADDRESS(2,COLUMN())),OFFSET($AT$2,0,0,ROW()-1,40),ROW()-1,FALSE))</f>
        <v>11.65803109</v>
      </c>
      <c r="AC125">
        <f ca="1">IF(AND($B$294=1,LEN($AC$253) * LEN($AC$250)&gt;0),$AC$253/$AC$250*100,HLOOKUP(INDIRECT(ADDRESS(2,COLUMN())),OFFSET($AT$2,0,0,ROW()-1,40),ROW()-1,FALSE))</f>
        <v>11.52542373</v>
      </c>
      <c r="AD125">
        <f ca="1">IF(AND($B$294=1,LEN($AD$253) * LEN($AD$250)&gt;0),$AD$253/$AD$250*100,HLOOKUP(INDIRECT(ADDRESS(2,COLUMN())),OFFSET($AT$2,0,0,ROW()-1,40),ROW()-1,FALSE))</f>
        <v>5.4621848740000001</v>
      </c>
      <c r="AE125">
        <f ca="1">IF(AND($B$294=1,LEN($AE$253) * LEN($AE$250)&gt;0),$AE$253/$AE$250*100,HLOOKUP(INDIRECT(ADDRESS(2,COLUMN())),OFFSET($AT$2,0,0,ROW()-1,40),ROW()-1,FALSE))</f>
        <v>2.3877745940000001</v>
      </c>
      <c r="AF125">
        <f ca="1">IF(AND($B$294=1,LEN($AF$253) * LEN($AF$250)&gt;0),$AF$253/$AF$250*100,HLOOKUP(INDIRECT(ADDRESS(2,COLUMN())),OFFSET($AT$2,0,0,ROW()-1,40),ROW()-1,FALSE))</f>
        <v>11.89320388</v>
      </c>
      <c r="AG125">
        <f ca="1">IF(AND($B$294=1,LEN($AG$253) * LEN($AG$250)&gt;0),$AG$253/$AG$250*100,HLOOKUP(INDIRECT(ADDRESS(2,COLUMN())),OFFSET($AT$2,0,0,ROW()-1,40),ROW()-1,FALSE))</f>
        <v>8.5416666669999994</v>
      </c>
      <c r="AH125">
        <f ca="1">IF(AND($B$294=1,LEN($AH$253) * LEN($AH$250)&gt;0),$AH$253/$AH$250*100,HLOOKUP(INDIRECT(ADDRESS(2,COLUMN())),OFFSET($AT$2,0,0,ROW()-1,40),ROW()-1,FALSE))</f>
        <v>8.7523277470000007</v>
      </c>
      <c r="AI125">
        <f ca="1">IF(AND($B$294=1,LEN($AI$253) * LEN($AI$250)&gt;0),$AI$253/$AI$250*100,HLOOKUP(INDIRECT(ADDRESS(2,COLUMN())),OFFSET($AT$2,0,0,ROW()-1,40),ROW()-1,FALSE))</f>
        <v>13.703099509999999</v>
      </c>
      <c r="AJ125">
        <f ca="1">IF(AND($B$294=1,LEN($AJ$253) * LEN($AJ$250)&gt;0),$AJ$253/$AJ$250*100,HLOOKUP(INDIRECT(ADDRESS(2,COLUMN())),OFFSET($AT$2,0,0,ROW()-1,40),ROW()-1,FALSE))</f>
        <v>17.88461538</v>
      </c>
      <c r="AK125">
        <f ca="1">IF(AND($B$294=1,LEN($AK$253) * LEN($AK$250)&gt;0),$AK$253/$AK$250*100,HLOOKUP(INDIRECT(ADDRESS(2,COLUMN())),OFFSET($AT$2,0,0,ROW()-1,40),ROW()-1,FALSE))</f>
        <v>9.6256684490000008</v>
      </c>
      <c r="AL125">
        <f ca="1">IF(AND($B$294=1,LEN($AL$253) * LEN($AL$250)&gt;0),$AL$253/$AL$250*100,HLOOKUP(INDIRECT(ADDRESS(2,COLUMN())),OFFSET($AT$2,0,0,ROW()-1,40),ROW()-1,FALSE))</f>
        <v>8.0078125</v>
      </c>
      <c r="AM125">
        <f ca="1">IF(AND($B$294=1,LEN($AM$253) * LEN($AM$250)&gt;0),$AM$253/$AM$250*100,HLOOKUP(INDIRECT(ADDRESS(2,COLUMN())),OFFSET($AT$2,0,0,ROW()-1,40),ROW()-1,FALSE))</f>
        <v>13.46938776</v>
      </c>
      <c r="AN125">
        <f ca="1">IF(AND($B$294=1,LEN($AN$253) * LEN($AN$250)&gt;0),$AN$253/$AN$250*100,HLOOKUP(INDIRECT(ADDRESS(2,COLUMN())),OFFSET($AT$2,0,0,ROW()-1,40),ROW()-1,FALSE))</f>
        <v>14.5785877</v>
      </c>
      <c r="AO125">
        <f ca="1">IF(AND($B$294=1,LEN($AO$253) * LEN($AO$250)&gt;0),$AO$253/$AO$250*100,HLOOKUP(INDIRECT(ADDRESS(2,COLUMN())),OFFSET($AT$2,0,0,ROW()-1,40),ROW()-1,FALSE))</f>
        <v>18.885448920000002</v>
      </c>
      <c r="AP125">
        <f ca="1">IF(AND($B$294=1,LEN($AP$253) * LEN($AP$250)&gt;0),$AP$253/$AP$250*100,HLOOKUP(INDIRECT(ADDRESS(2,COLUMN())),OFFSET($AT$2,0,0,ROW()-1,40),ROW()-1,FALSE))</f>
        <v>8.6042065010000002</v>
      </c>
      <c r="AQ125">
        <f ca="1">IF(AND($B$294=1,LEN($AQ$253) * LEN($AQ$250)&gt;0),$AQ$253/$AQ$250*100,HLOOKUP(INDIRECT(ADDRESS(2,COLUMN())),OFFSET($AT$2,0,0,ROW()-1,40),ROW()-1,FALSE))</f>
        <v>5.2280311460000002</v>
      </c>
      <c r="AR125">
        <f ca="1">IF(AND($B$294=1,LEN($AR$253) * LEN($AR$250)&gt;0),$AR$253/$AR$250*100,HLOOKUP(INDIRECT(ADDRESS(2,COLUMN())),OFFSET($AT$2,0,0,ROW()-1,40),ROW()-1,FALSE))</f>
        <v>9.7938144329999997</v>
      </c>
      <c r="AS125">
        <f ca="1">IF(AND($B$294=1,LEN($AS$253) * LEN($AS$250)&gt;0),$AS$253/$AS$250*100,HLOOKUP(INDIRECT(ADDRESS(2,COLUMN())),OFFSET($AT$2,0,0,ROW()-1,40),ROW()-1,FALSE))</f>
        <v>13.33333333</v>
      </c>
      <c r="AT125">
        <f>6.688963211</f>
        <v>6.6889632109999999</v>
      </c>
      <c r="AU125">
        <f>4.911838791</f>
        <v>4.9118387910000001</v>
      </c>
      <c r="AV125">
        <f>10.76923077</f>
        <v>10.76923077</v>
      </c>
      <c r="AW125">
        <f>7.355864811</f>
        <v>7.355864811</v>
      </c>
      <c r="AX125">
        <f>8.071748879</f>
        <v>8.0717488789999994</v>
      </c>
      <c r="AY125">
        <f>13.8317757</f>
        <v>13.8317757</v>
      </c>
      <c r="AZ125">
        <f>7.853403141</f>
        <v>7.8534031410000003</v>
      </c>
      <c r="BA125">
        <f>6.823027719</f>
        <v>6.8230277189999997</v>
      </c>
      <c r="BB125">
        <f>8.66807611</f>
        <v>8.6680761099999994</v>
      </c>
      <c r="BC125">
        <f>6.918238994</f>
        <v>6.9182389940000002</v>
      </c>
      <c r="BD125">
        <f>7.266435986</f>
        <v>7.2664359860000003</v>
      </c>
      <c r="BE125">
        <f>10.05025126</f>
        <v>10.05025126</v>
      </c>
      <c r="BF125">
        <f>3.412073491</f>
        <v>3.4120734910000001</v>
      </c>
      <c r="BG125">
        <f>2.310654685</f>
        <v>2.3106546849999998</v>
      </c>
      <c r="BH125">
        <f>7.843137255</f>
        <v>7.8431372550000003</v>
      </c>
      <c r="BI125">
        <f>3.163017032</f>
        <v>3.163017032</v>
      </c>
      <c r="BJ125">
        <f>10.13824885</f>
        <v>10.13824885</v>
      </c>
      <c r="BK125">
        <f>9.192825112</f>
        <v>9.1928251119999995</v>
      </c>
      <c r="BL125">
        <f>7.945736434</f>
        <v>7.9457364339999996</v>
      </c>
      <c r="BM125">
        <f>9.589041096</f>
        <v>9.5890410960000008</v>
      </c>
      <c r="BN125">
        <f>10.14492754</f>
        <v>10.144927539999999</v>
      </c>
      <c r="BO125">
        <f>6.515580737</f>
        <v>6.5155807369999996</v>
      </c>
      <c r="BP125">
        <f>11.65803109</f>
        <v>11.65803109</v>
      </c>
      <c r="BQ125">
        <f>11.52542373</f>
        <v>11.52542373</v>
      </c>
      <c r="BR125">
        <f>5.462184874</f>
        <v>5.4621848740000001</v>
      </c>
      <c r="BS125">
        <f>2.387774594</f>
        <v>2.3877745940000001</v>
      </c>
      <c r="BT125">
        <f>11.89320388</f>
        <v>11.89320388</v>
      </c>
      <c r="BU125">
        <f>8.541666667</f>
        <v>8.5416666669999994</v>
      </c>
      <c r="BV125">
        <f>8.752327747</f>
        <v>8.7523277470000007</v>
      </c>
      <c r="BW125">
        <f>13.70309951</f>
        <v>13.703099509999999</v>
      </c>
      <c r="BX125">
        <f>17.88461538</f>
        <v>17.88461538</v>
      </c>
      <c r="BY125">
        <f>9.625668449</f>
        <v>9.6256684490000008</v>
      </c>
      <c r="BZ125">
        <f>8.0078125</f>
        <v>8.0078125</v>
      </c>
      <c r="CA125">
        <f>13.46938776</f>
        <v>13.46938776</v>
      </c>
      <c r="CB125">
        <f>14.5785877</f>
        <v>14.5785877</v>
      </c>
      <c r="CC125">
        <f>18.88544892</f>
        <v>18.885448920000002</v>
      </c>
      <c r="CD125">
        <f>8.604206501</f>
        <v>8.6042065010000002</v>
      </c>
      <c r="CE125">
        <f>5.228031146</f>
        <v>5.2280311460000002</v>
      </c>
      <c r="CF125">
        <f>9.793814433</f>
        <v>9.7938144329999997</v>
      </c>
      <c r="CG125">
        <f>13.33333333</f>
        <v>13.33333333</v>
      </c>
    </row>
    <row r="126" spans="1:85" x14ac:dyDescent="0.25">
      <c r="A126" t="str">
        <f>"    Daimler"</f>
        <v xml:space="preserve">    Daimler</v>
      </c>
      <c r="B126" t="str">
        <f>"DAI GR Equity"</f>
        <v>DAI GR Equity</v>
      </c>
      <c r="E126" t="str">
        <f>"Sum"</f>
        <v>Sum</v>
      </c>
      <c r="F126">
        <f ca="1">IF(ISERROR(IF(SUM($F$127:$F$130) = 0, "", SUM($F$127:$F$130))), "", (IF(SUM($F$127:$F$130) = 0, "", SUM($F$127:$F$130))))</f>
        <v>11.204013379999999</v>
      </c>
      <c r="G126">
        <f ca="1">IF(ISERROR(IF(SUM($G$127:$G$130) = 0, "", SUM($G$127:$G$130))), "", (IF(SUM($G$127:$G$130) = 0, "", SUM($G$127:$G$130))))</f>
        <v>12.720403019999999</v>
      </c>
      <c r="H126">
        <f ca="1">IF(ISERROR(IF(SUM($H$127:$H$130) = 0, "", SUM($H$127:$H$130))), "", (IF(SUM($H$127:$H$130) = 0, "", SUM($H$127:$H$130))))</f>
        <v>12.051282049999999</v>
      </c>
      <c r="I126">
        <f ca="1">IF(ISERROR(IF(SUM($I$127:$I$130) = 0, "", SUM($I$127:$I$130))), "", (IF(SUM($I$127:$I$130) = 0, "", SUM($I$127:$I$130))))</f>
        <v>20.47713718</v>
      </c>
      <c r="J126">
        <f ca="1">IF(ISERROR(IF(SUM($J$127:$J$130) = 0, "", SUM($J$127:$J$130))), "", (IF(SUM($J$127:$J$130) = 0, "", SUM($J$127:$J$130))))</f>
        <v>17.488789239999999</v>
      </c>
      <c r="K126">
        <f ca="1">IF(ISERROR(IF(SUM($K$127:$K$130) = 0, "", SUM($K$127:$K$130))), "", (IF(SUM($K$127:$K$130) = 0, "", SUM($K$127:$K$130))))</f>
        <v>13.271028039999999</v>
      </c>
      <c r="L126">
        <f ca="1">IF(ISERROR(IF(SUM($L$127:$L$130) = 0, "", SUM($L$127:$L$130))), "", (IF(SUM($L$127:$L$130) = 0, "", SUM($L$127:$L$130))))</f>
        <v>31.239092500000002</v>
      </c>
      <c r="M126">
        <f ca="1">IF(ISERROR(IF(SUM($M$127:$M$130) = 0, "", SUM($M$127:$M$130))), "", (IF(SUM($M$127:$M$130) = 0, "", SUM($M$127:$M$130))))</f>
        <v>14.925373130000001</v>
      </c>
      <c r="N126">
        <f ca="1">IF(ISERROR(IF(SUM($N$127:$N$130) = 0, "", SUM($N$127:$N$130))), "", (IF(SUM($N$127:$N$130) = 0, "", SUM($N$127:$N$130))))</f>
        <v>12.68498943</v>
      </c>
      <c r="O126">
        <f ca="1">IF(ISERROR(IF(SUM($O$127:$O$130) = 0, "", SUM($O$127:$O$130))), "", (IF(SUM($O$127:$O$130) = 0, "", SUM($O$127:$O$130))))</f>
        <v>20.754716980000001</v>
      </c>
      <c r="P126">
        <f ca="1">IF(ISERROR(IF(SUM($P$127:$P$130) = 0, "", SUM($P$127:$P$130))), "", (IF(SUM($P$127:$P$130) = 0, "", SUM($P$127:$P$130))))</f>
        <v>17.647058820000002</v>
      </c>
      <c r="Q126">
        <f ca="1">IF(ISERROR(IF(SUM($Q$127:$Q$130) = 0, "", SUM($Q$127:$Q$130))), "", (IF(SUM($Q$127:$Q$130) = 0, "", SUM($Q$127:$Q$130))))</f>
        <v>21.356783920000002</v>
      </c>
      <c r="R126">
        <f ca="1">IF(ISERROR(IF(SUM($R$127:$R$130) = 0, "", SUM($R$127:$R$130))), "", (IF(SUM($R$127:$R$130) = 0, "", SUM($R$127:$R$130))))</f>
        <v>13.38582677</v>
      </c>
      <c r="S126">
        <f ca="1">IF(ISERROR(IF(SUM($S$127:$S$130) = 0, "", SUM($S$127:$S$130))), "", (IF(SUM($S$127:$S$130) = 0, "", SUM($S$127:$S$130))))</f>
        <v>9.2426187419999994</v>
      </c>
      <c r="T126">
        <f ca="1">IF(ISERROR(IF(SUM($T$127:$T$130) = 0, "", SUM($T$127:$T$130))), "", (IF(SUM($T$127:$T$130) = 0, "", SUM($T$127:$T$130))))</f>
        <v>14.70588235</v>
      </c>
      <c r="U126">
        <f ca="1">IF(ISERROR(IF(SUM($U$127:$U$130) = 0, "", SUM($U$127:$U$130))), "", (IF(SUM($U$127:$U$130) = 0, "", SUM($U$127:$U$130))))</f>
        <v>14.84184915</v>
      </c>
      <c r="V126">
        <f ca="1">IF(ISERROR(IF(SUM($V$127:$V$130) = 0, "", SUM($V$127:$V$130))), "", (IF(SUM($V$127:$V$130) = 0, "", SUM($V$127:$V$130))))</f>
        <v>17.741935479999999</v>
      </c>
      <c r="W126">
        <f ca="1">IF(ISERROR(IF(SUM($W$127:$W$130) = 0, "", SUM($W$127:$W$130))), "", (IF(SUM($W$127:$W$130) = 0, "", SUM($W$127:$W$130))))</f>
        <v>19.955156949999999</v>
      </c>
      <c r="X126">
        <f ca="1">IF(ISERROR(IF(SUM($X$127:$X$130) = 0, "", SUM($X$127:$X$130))), "", (IF(SUM($X$127:$X$130) = 0, "", SUM($X$127:$X$130))))</f>
        <v>15.116279069999999</v>
      </c>
      <c r="Y126">
        <f ca="1">IF(ISERROR(IF(SUM($Y$127:$Y$130) = 0, "", SUM($Y$127:$Y$130))), "", (IF(SUM($Y$127:$Y$130) = 0, "", SUM($Y$127:$Y$130))))</f>
        <v>19.178082190000001</v>
      </c>
      <c r="Z126">
        <f ca="1">IF(ISERROR(IF(SUM($Z$127:$Z$130) = 0, "", SUM($Z$127:$Z$130))), "", (IF(SUM($Z$127:$Z$130) = 0, "", SUM($Z$127:$Z$130))))</f>
        <v>19.668737060000002</v>
      </c>
      <c r="AA126">
        <f ca="1">IF(ISERROR(IF(SUM($AA$127:$AA$130) = 0, "", SUM($AA$127:$AA$130))), "", (IF(SUM($AA$127:$AA$130) = 0, "", SUM($AA$127:$AA$130))))</f>
        <v>23.796033990000002</v>
      </c>
      <c r="AB126">
        <f ca="1">IF(ISERROR(IF(SUM($AB$127:$AB$130) = 0, "", SUM($AB$127:$AB$130))), "", (IF(SUM($AB$127:$AB$130) = 0, "", SUM($AB$127:$AB$130))))</f>
        <v>22.79792746</v>
      </c>
      <c r="AC126">
        <f ca="1">IF(ISERROR(IF(SUM($AC$127:$AC$130) = 0, "", SUM($AC$127:$AC$130))), "", (IF(SUM($AC$127:$AC$130) = 0, "", SUM($AC$127:$AC$130))))</f>
        <v>31.18644068</v>
      </c>
      <c r="AD126">
        <f ca="1">IF(ISERROR(IF(SUM($AD$127:$AD$130) = 0, "", SUM($AD$127:$AD$130))), "", (IF(SUM($AD$127:$AD$130) = 0, "", SUM($AD$127:$AD$130))))</f>
        <v>25.210084030000001</v>
      </c>
      <c r="AE126">
        <f ca="1">IF(ISERROR(IF(SUM($AE$127:$AE$130) = 0, "", SUM($AE$127:$AE$130))), "", (IF(SUM($AE$127:$AE$130) = 0, "", SUM($AE$127:$AE$130))))</f>
        <v>10.792741169999999</v>
      </c>
      <c r="AF126">
        <f ca="1">IF(ISERROR(IF(SUM($AF$127:$AF$130) = 0, "", SUM($AF$127:$AF$130))), "", (IF(SUM($AF$127:$AF$130) = 0, "", SUM($AF$127:$AF$130))))</f>
        <v>19.902912619999999</v>
      </c>
      <c r="AG126">
        <f ca="1">IF(ISERROR(IF(SUM($AG$127:$AG$130) = 0, "", SUM($AG$127:$AG$130))), "", (IF(SUM($AG$127:$AG$130) = 0, "", SUM($AG$127:$AG$130))))</f>
        <v>20</v>
      </c>
      <c r="AH126">
        <f ca="1">IF(ISERROR(IF(SUM($AH$127:$AH$130) = 0, "", SUM($AH$127:$AH$130))), "", (IF(SUM($AH$127:$AH$130) = 0, "", SUM($AH$127:$AH$130))))</f>
        <v>14.338919929999999</v>
      </c>
      <c r="AI126">
        <f ca="1">IF(ISERROR(IF(SUM($AI$127:$AI$130) = 0, "", SUM($AI$127:$AI$130))), "", (IF(SUM($AI$127:$AI$130) = 0, "", SUM($AI$127:$AI$130))))</f>
        <v>25.285481239999999</v>
      </c>
      <c r="AJ126">
        <f ca="1">IF(ISERROR(IF(SUM($AJ$127:$AJ$130) = 0, "", SUM($AJ$127:$AJ$130))), "", (IF(SUM($AJ$127:$AJ$130) = 0, "", SUM($AJ$127:$AJ$130))))</f>
        <v>15.57692308</v>
      </c>
      <c r="AK126">
        <f ca="1">IF(ISERROR(IF(SUM($AK$127:$AK$130) = 0, "", SUM($AK$127:$AK$130))), "", (IF(SUM($AK$127:$AK$130) = 0, "", SUM($AK$127:$AK$130))))</f>
        <v>28.163992870000001</v>
      </c>
      <c r="AL126">
        <f ca="1">IF(ISERROR(IF(SUM($AL$127:$AL$130) = 0, "", SUM($AL$127:$AL$130))), "", (IF(SUM($AL$127:$AL$130) = 0, "", SUM($AL$127:$AL$130))))</f>
        <v>49.609375</v>
      </c>
      <c r="AM126">
        <f ca="1">IF(ISERROR(IF(SUM($AM$127:$AM$130) = 0, "", SUM($AM$127:$AM$130))), "", (IF(SUM($AM$127:$AM$130) = 0, "", SUM($AM$127:$AM$130))))</f>
        <v>21.632653059999999</v>
      </c>
      <c r="AN126">
        <f ca="1">IF(ISERROR(IF(SUM($AN$127:$AN$130) = 0, "", SUM($AN$127:$AN$130))), "", (IF(SUM($AN$127:$AN$130) = 0, "", SUM($AN$127:$AN$130))))</f>
        <v>27.562642369999999</v>
      </c>
      <c r="AO126">
        <f ca="1">IF(ISERROR(IF(SUM($AO$127:$AO$130) = 0, "", SUM($AO$127:$AO$130))), "", (IF(SUM($AO$127:$AO$130) = 0, "", SUM($AO$127:$AO$130))))</f>
        <v>27.244582040000001</v>
      </c>
      <c r="AP126">
        <f ca="1">IF(ISERROR(IF(SUM($AP$127:$AP$130) = 0, "", SUM($AP$127:$AP$130))), "", (IF(SUM($AP$127:$AP$130) = 0, "", SUM($AP$127:$AP$130))))</f>
        <v>20.26768642</v>
      </c>
      <c r="AQ126">
        <f ca="1">IF(ISERROR(IF(SUM($AQ$127:$AQ$130) = 0, "", SUM($AQ$127:$AQ$130))), "", (IF(SUM($AQ$127:$AQ$130) = 0, "", SUM($AQ$127:$AQ$130))))</f>
        <v>10.678531700000001</v>
      </c>
      <c r="AR126">
        <f ca="1">IF(ISERROR(IF(SUM($AR$127:$AR$130) = 0, "", SUM($AR$127:$AR$130))), "", (IF(SUM($AR$127:$AR$130) = 0, "", SUM($AR$127:$AR$130))))</f>
        <v>24.484536080000002</v>
      </c>
      <c r="AS126">
        <f ca="1">IF(ISERROR(IF(SUM($AS$127:$AS$130) = 0, "", SUM($AS$127:$AS$130))), "", (IF(SUM($AS$127:$AS$130) = 0, "", SUM($AS$127:$AS$130))))</f>
        <v>17.241379309999999</v>
      </c>
      <c r="AT126">
        <f>11.20401338</f>
        <v>11.204013379999999</v>
      </c>
      <c r="AU126">
        <f>12.72040302</f>
        <v>12.720403019999999</v>
      </c>
      <c r="AV126">
        <f>12.05128205</f>
        <v>12.051282049999999</v>
      </c>
      <c r="AW126">
        <f>20.47713718</f>
        <v>20.47713718</v>
      </c>
      <c r="AX126">
        <f>17.48878924</f>
        <v>17.488789239999999</v>
      </c>
      <c r="AY126">
        <f>13.27102804</f>
        <v>13.271028039999999</v>
      </c>
      <c r="AZ126">
        <f>31.2390925</f>
        <v>31.239092500000002</v>
      </c>
      <c r="BA126">
        <f>14.92537313</f>
        <v>14.925373130000001</v>
      </c>
      <c r="BB126">
        <f>12.68498943</f>
        <v>12.68498943</v>
      </c>
      <c r="BC126">
        <f>20.75471698</f>
        <v>20.754716980000001</v>
      </c>
      <c r="BD126">
        <f>17.64705882</f>
        <v>17.647058820000002</v>
      </c>
      <c r="BE126">
        <f>21.35678392</f>
        <v>21.356783920000002</v>
      </c>
      <c r="BF126">
        <f>13.38582677</f>
        <v>13.38582677</v>
      </c>
      <c r="BG126">
        <f>9.242618742</f>
        <v>9.2426187419999994</v>
      </c>
      <c r="BH126">
        <f>14.70588235</f>
        <v>14.70588235</v>
      </c>
      <c r="BI126">
        <f>14.84184915</f>
        <v>14.84184915</v>
      </c>
      <c r="BJ126">
        <f>17.74193548</f>
        <v>17.741935479999999</v>
      </c>
      <c r="BK126">
        <f>19.95515695</f>
        <v>19.955156949999999</v>
      </c>
      <c r="BL126">
        <f>15.11627907</f>
        <v>15.116279069999999</v>
      </c>
      <c r="BM126">
        <f>19.17808219</f>
        <v>19.178082190000001</v>
      </c>
      <c r="BN126">
        <f>19.66873706</f>
        <v>19.668737060000002</v>
      </c>
      <c r="BO126">
        <f>23.79603399</f>
        <v>23.796033990000002</v>
      </c>
      <c r="BP126">
        <f>22.79792746</f>
        <v>22.79792746</v>
      </c>
      <c r="BQ126">
        <f>31.18644068</f>
        <v>31.18644068</v>
      </c>
      <c r="BR126">
        <f>25.21008403</f>
        <v>25.210084030000001</v>
      </c>
      <c r="BS126">
        <f>10.79274117</f>
        <v>10.792741169999999</v>
      </c>
      <c r="BT126">
        <f>19.90291262</f>
        <v>19.902912619999999</v>
      </c>
      <c r="BU126">
        <f>20</f>
        <v>20</v>
      </c>
      <c r="BV126">
        <f>14.33891993</f>
        <v>14.338919929999999</v>
      </c>
      <c r="BW126">
        <f>25.28548124</f>
        <v>25.285481239999999</v>
      </c>
      <c r="BX126">
        <f>15.57692308</f>
        <v>15.57692308</v>
      </c>
      <c r="BY126">
        <f>28.16399287</f>
        <v>28.163992870000001</v>
      </c>
      <c r="BZ126">
        <f>49.609375</f>
        <v>49.609375</v>
      </c>
      <c r="CA126">
        <f>21.63265306</f>
        <v>21.632653059999999</v>
      </c>
      <c r="CB126">
        <f>27.56264237</f>
        <v>27.562642369999999</v>
      </c>
      <c r="CC126">
        <f>27.24458204</f>
        <v>27.244582040000001</v>
      </c>
      <c r="CD126">
        <f>20.26768642</f>
        <v>20.26768642</v>
      </c>
      <c r="CE126">
        <f>10.6785317</f>
        <v>10.678531700000001</v>
      </c>
      <c r="CF126">
        <f>24.48453608</f>
        <v>24.484536080000002</v>
      </c>
      <c r="CG126">
        <f>17.24137931</f>
        <v>17.241379309999999</v>
      </c>
    </row>
    <row r="127" spans="1:85" x14ac:dyDescent="0.25">
      <c r="A127" t="str">
        <f>"        Freightliner"</f>
        <v xml:space="preserve">        Freightliner</v>
      </c>
      <c r="B127" t="str">
        <f>"DAI GR Equity"</f>
        <v>DAI GR Equity</v>
      </c>
      <c r="E127" t="str">
        <f t="shared" ref="E127:E133" si="2">"Expression"</f>
        <v>Expression</v>
      </c>
      <c r="F127">
        <f ca="1">IF(AND($B$294=1,LEN($F$254) * LEN($F$250)&gt;0),$F$254/$F$250*100,HLOOKUP(INDIRECT(ADDRESS(2,COLUMN())),OFFSET($AT$2,0,0,ROW()-1,40),ROW()-1,FALSE))</f>
        <v>11.204013379999999</v>
      </c>
      <c r="G127">
        <f ca="1">IF(AND($B$294=1,LEN($G$254) * LEN($G$250)&gt;0),$G$254/$G$250*100,HLOOKUP(INDIRECT(ADDRESS(2,COLUMN())),OFFSET($AT$2,0,0,ROW()-1,40),ROW()-1,FALSE))</f>
        <v>12.720403019999999</v>
      </c>
      <c r="H127">
        <f ca="1">IF(AND($B$294=1,LEN($H$254) * LEN($H$250)&gt;0),$H$254/$H$250*100,HLOOKUP(INDIRECT(ADDRESS(2,COLUMN())),OFFSET($AT$2,0,0,ROW()-1,40),ROW()-1,FALSE))</f>
        <v>12.051282049999999</v>
      </c>
      <c r="I127">
        <f ca="1">IF(AND($B$294=1,LEN($I$254) * LEN($I$250)&gt;0),$I$254/$I$250*100,HLOOKUP(INDIRECT(ADDRESS(2,COLUMN())),OFFSET($AT$2,0,0,ROW()-1,40),ROW()-1,FALSE))</f>
        <v>20.47713718</v>
      </c>
      <c r="J127">
        <f ca="1">IF(AND($B$294=1,LEN($J$254) * LEN($J$250)&gt;0),$J$254/$J$250*100,HLOOKUP(INDIRECT(ADDRESS(2,COLUMN())),OFFSET($AT$2,0,0,ROW()-1,40),ROW()-1,FALSE))</f>
        <v>17.488789239999999</v>
      </c>
      <c r="K127">
        <f ca="1">IF(AND($B$294=1,LEN($K$254) * LEN($K$250)&gt;0),$K$254/$K$250*100,HLOOKUP(INDIRECT(ADDRESS(2,COLUMN())),OFFSET($AT$2,0,0,ROW()-1,40),ROW()-1,FALSE))</f>
        <v>13.271028039999999</v>
      </c>
      <c r="L127">
        <f ca="1">IF(AND($B$294=1,LEN($L$254) * LEN($L$250)&gt;0),$L$254/$L$250*100,HLOOKUP(INDIRECT(ADDRESS(2,COLUMN())),OFFSET($AT$2,0,0,ROW()-1,40),ROW()-1,FALSE))</f>
        <v>31.239092500000002</v>
      </c>
      <c r="M127">
        <f ca="1">IF(AND($B$294=1,LEN($M$254) * LEN($M$250)&gt;0),$M$254/$M$250*100,HLOOKUP(INDIRECT(ADDRESS(2,COLUMN())),OFFSET($AT$2,0,0,ROW()-1,40),ROW()-1,FALSE))</f>
        <v>14.925373130000001</v>
      </c>
      <c r="N127">
        <f ca="1">IF(AND($B$294=1,LEN($N$254) * LEN($N$250)&gt;0),$N$254/$N$250*100,HLOOKUP(INDIRECT(ADDRESS(2,COLUMN())),OFFSET($AT$2,0,0,ROW()-1,40),ROW()-1,FALSE))</f>
        <v>12.68498943</v>
      </c>
      <c r="O127">
        <f ca="1">IF(AND($B$294=1,LEN($O$254) * LEN($O$250)&gt;0),$O$254/$O$250*100,HLOOKUP(INDIRECT(ADDRESS(2,COLUMN())),OFFSET($AT$2,0,0,ROW()-1,40),ROW()-1,FALSE))</f>
        <v>20.754716980000001</v>
      </c>
      <c r="P127">
        <f ca="1">IF(AND($B$294=1,LEN($P$254) * LEN($P$250)&gt;0),$P$254/$P$250*100,HLOOKUP(INDIRECT(ADDRESS(2,COLUMN())),OFFSET($AT$2,0,0,ROW()-1,40),ROW()-1,FALSE))</f>
        <v>17.647058820000002</v>
      </c>
      <c r="Q127">
        <f ca="1">IF(AND($B$294=1,LEN($Q$254) * LEN($Q$250)&gt;0),$Q$254/$Q$250*100,HLOOKUP(INDIRECT(ADDRESS(2,COLUMN())),OFFSET($AT$2,0,0,ROW()-1,40),ROW()-1,FALSE))</f>
        <v>21.356783920000002</v>
      </c>
      <c r="R127">
        <f ca="1">IF(AND($B$294=1,LEN($R$254) * LEN($R$250)&gt;0),$R$254/$R$250*100,HLOOKUP(INDIRECT(ADDRESS(2,COLUMN())),OFFSET($AT$2,0,0,ROW()-1,40),ROW()-1,FALSE))</f>
        <v>13.38582677</v>
      </c>
      <c r="S127">
        <f ca="1">IF(AND($B$294=1,LEN($S$254) * LEN($S$250)&gt;0),$S$254/$S$250*100,HLOOKUP(INDIRECT(ADDRESS(2,COLUMN())),OFFSET($AT$2,0,0,ROW()-1,40),ROW()-1,FALSE))</f>
        <v>9.2426187419999994</v>
      </c>
      <c r="T127">
        <f ca="1">IF(AND($B$294=1,LEN($T$254) * LEN($T$250)&gt;0),$T$254/$T$250*100,HLOOKUP(INDIRECT(ADDRESS(2,COLUMN())),OFFSET($AT$2,0,0,ROW()-1,40),ROW()-1,FALSE))</f>
        <v>14.70588235</v>
      </c>
      <c r="U127">
        <f ca="1">IF(AND($B$294=1,LEN($U$254) * LEN($U$250)&gt;0),$U$254/$U$250*100,HLOOKUP(INDIRECT(ADDRESS(2,COLUMN())),OFFSET($AT$2,0,0,ROW()-1,40),ROW()-1,FALSE))</f>
        <v>14.84184915</v>
      </c>
      <c r="V127">
        <f ca="1">IF(AND($B$294=1,LEN($V$254) * LEN($V$250)&gt;0),$V$254/$V$250*100,HLOOKUP(INDIRECT(ADDRESS(2,COLUMN())),OFFSET($AT$2,0,0,ROW()-1,40),ROW()-1,FALSE))</f>
        <v>17.741935479999999</v>
      </c>
      <c r="W127">
        <f ca="1">IF(AND($B$294=1,LEN($W$254) * LEN($W$250)&gt;0),$W$254/$W$250*100,HLOOKUP(INDIRECT(ADDRESS(2,COLUMN())),OFFSET($AT$2,0,0,ROW()-1,40),ROW()-1,FALSE))</f>
        <v>19.955156949999999</v>
      </c>
      <c r="X127">
        <f ca="1">IF(AND($B$294=1,LEN($X$254) * LEN($X$250)&gt;0),$X$254/$X$250*100,HLOOKUP(INDIRECT(ADDRESS(2,COLUMN())),OFFSET($AT$2,0,0,ROW()-1,40),ROW()-1,FALSE))</f>
        <v>15.116279069999999</v>
      </c>
      <c r="Y127">
        <f ca="1">IF(AND($B$294=1,LEN($Y$254) * LEN($Y$250)&gt;0),$Y$254/$Y$250*100,HLOOKUP(INDIRECT(ADDRESS(2,COLUMN())),OFFSET($AT$2,0,0,ROW()-1,40),ROW()-1,FALSE))</f>
        <v>19.178082190000001</v>
      </c>
      <c r="Z127">
        <f ca="1">IF(AND($B$294=1,LEN($Z$254) * LEN($Z$250)&gt;0),$Z$254/$Z$250*100,HLOOKUP(INDIRECT(ADDRESS(2,COLUMN())),OFFSET($AT$2,0,0,ROW()-1,40),ROW()-1,FALSE))</f>
        <v>19.668737060000002</v>
      </c>
      <c r="AA127">
        <f ca="1">IF(AND($B$294=1,LEN($AA$254) * LEN($AA$250)&gt;0),$AA$254/$AA$250*100,HLOOKUP(INDIRECT(ADDRESS(2,COLUMN())),OFFSET($AT$2,0,0,ROW()-1,40),ROW()-1,FALSE))</f>
        <v>23.796033990000002</v>
      </c>
      <c r="AB127">
        <f ca="1">IF(AND($B$294=1,LEN($AB$254) * LEN($AB$250)&gt;0),$AB$254/$AB$250*100,HLOOKUP(INDIRECT(ADDRESS(2,COLUMN())),OFFSET($AT$2,0,0,ROW()-1,40),ROW()-1,FALSE))</f>
        <v>22.79792746</v>
      </c>
      <c r="AC127">
        <f ca="1">IF(AND($B$294=1,LEN($AC$254) * LEN($AC$250)&gt;0),$AC$254/$AC$250*100,HLOOKUP(INDIRECT(ADDRESS(2,COLUMN())),OFFSET($AT$2,0,0,ROW()-1,40),ROW()-1,FALSE))</f>
        <v>31.18644068</v>
      </c>
      <c r="AD127">
        <f ca="1">IF(AND($B$294=1,LEN($AD$254) * LEN($AD$250)&gt;0),$AD$254/$AD$250*100,HLOOKUP(INDIRECT(ADDRESS(2,COLUMN())),OFFSET($AT$2,0,0,ROW()-1,40),ROW()-1,FALSE))</f>
        <v>25.210084030000001</v>
      </c>
      <c r="AE127">
        <f ca="1">IF(AND($B$294=1,LEN($AE$254) * LEN($AE$250)&gt;0),$AE$254/$AE$250*100,HLOOKUP(INDIRECT(ADDRESS(2,COLUMN())),OFFSET($AT$2,0,0,ROW()-1,40),ROW()-1,FALSE))</f>
        <v>10.792741169999999</v>
      </c>
      <c r="AF127">
        <f ca="1">IF(AND($B$294=1,LEN($AF$254) * LEN($AF$250)&gt;0),$AF$254/$AF$250*100,HLOOKUP(INDIRECT(ADDRESS(2,COLUMN())),OFFSET($AT$2,0,0,ROW()-1,40),ROW()-1,FALSE))</f>
        <v>19.902912619999999</v>
      </c>
      <c r="AG127">
        <f ca="1">IF(AND($B$294=1,LEN($AG$254) * LEN($AG$250)&gt;0),$AG$254/$AG$250*100,HLOOKUP(INDIRECT(ADDRESS(2,COLUMN())),OFFSET($AT$2,0,0,ROW()-1,40),ROW()-1,FALSE))</f>
        <v>20</v>
      </c>
      <c r="AH127">
        <f ca="1">IF(AND($B$294=1,LEN($AH$254) * LEN($AH$250)&gt;0),$AH$254/$AH$250*100,HLOOKUP(INDIRECT(ADDRESS(2,COLUMN())),OFFSET($AT$2,0,0,ROW()-1,40),ROW()-1,FALSE))</f>
        <v>14.338919929999999</v>
      </c>
      <c r="AI127">
        <f ca="1">IF(AND($B$294=1,LEN($AI$254) * LEN($AI$250)&gt;0),$AI$254/$AI$250*100,HLOOKUP(INDIRECT(ADDRESS(2,COLUMN())),OFFSET($AT$2,0,0,ROW()-1,40),ROW()-1,FALSE))</f>
        <v>25.285481239999999</v>
      </c>
      <c r="AJ127">
        <f ca="1">IF(AND($B$294=1,LEN($AJ$254) * LEN($AJ$250)&gt;0),$AJ$254/$AJ$250*100,HLOOKUP(INDIRECT(ADDRESS(2,COLUMN())),OFFSET($AT$2,0,0,ROW()-1,40),ROW()-1,FALSE))</f>
        <v>15.57692308</v>
      </c>
      <c r="AK127">
        <f ca="1">IF(AND($B$294=1,LEN($AK$254) * LEN($AK$250)&gt;0),$AK$254/$AK$250*100,HLOOKUP(INDIRECT(ADDRESS(2,COLUMN())),OFFSET($AT$2,0,0,ROW()-1,40),ROW()-1,FALSE))</f>
        <v>28.163992870000001</v>
      </c>
      <c r="AL127">
        <f ca="1">IF(AND($B$294=1,LEN($AL$254) * LEN($AL$250)&gt;0),$AL$254/$AL$250*100,HLOOKUP(INDIRECT(ADDRESS(2,COLUMN())),OFFSET($AT$2,0,0,ROW()-1,40),ROW()-1,FALSE))</f>
        <v>49.609375</v>
      </c>
      <c r="AM127">
        <f ca="1">IF(AND($B$294=1,LEN($AM$254) * LEN($AM$250)&gt;0),$AM$254/$AM$250*100,HLOOKUP(INDIRECT(ADDRESS(2,COLUMN())),OFFSET($AT$2,0,0,ROW()-1,40),ROW()-1,FALSE))</f>
        <v>21.632653059999999</v>
      </c>
      <c r="AN127">
        <f ca="1">IF(AND($B$294=1,LEN($AN$254) * LEN($AN$250)&gt;0),$AN$254/$AN$250*100,HLOOKUP(INDIRECT(ADDRESS(2,COLUMN())),OFFSET($AT$2,0,0,ROW()-1,40),ROW()-1,FALSE))</f>
        <v>27.562642369999999</v>
      </c>
      <c r="AO127">
        <f ca="1">IF(AND($B$294=1,LEN($AO$254) * LEN($AO$250)&gt;0),$AO$254/$AO$250*100,HLOOKUP(INDIRECT(ADDRESS(2,COLUMN())),OFFSET($AT$2,0,0,ROW()-1,40),ROW()-1,FALSE))</f>
        <v>27.244582040000001</v>
      </c>
      <c r="AP127">
        <f ca="1">IF(AND($B$294=1,LEN($AP$254) * LEN($AP$250)&gt;0),$AP$254/$AP$250*100,HLOOKUP(INDIRECT(ADDRESS(2,COLUMN())),OFFSET($AT$2,0,0,ROW()-1,40),ROW()-1,FALSE))</f>
        <v>20.26768642</v>
      </c>
      <c r="AQ127">
        <f ca="1">IF(AND($B$294=1,LEN($AQ$254) * LEN($AQ$250)&gt;0),$AQ$254/$AQ$250*100,HLOOKUP(INDIRECT(ADDRESS(2,COLUMN())),OFFSET($AT$2,0,0,ROW()-1,40),ROW()-1,FALSE))</f>
        <v>10.678531700000001</v>
      </c>
      <c r="AR127">
        <f ca="1">IF(AND($B$294=1,LEN($AR$254) * LEN($AR$250)&gt;0),$AR$254/$AR$250*100,HLOOKUP(INDIRECT(ADDRESS(2,COLUMN())),OFFSET($AT$2,0,0,ROW()-1,40),ROW()-1,FALSE))</f>
        <v>24.484536080000002</v>
      </c>
      <c r="AS127">
        <f ca="1">IF(AND($B$294=1,LEN($AS$254) * LEN($AS$250)&gt;0),$AS$254/$AS$250*100,HLOOKUP(INDIRECT(ADDRESS(2,COLUMN())),OFFSET($AT$2,0,0,ROW()-1,40),ROW()-1,FALSE))</f>
        <v>17.241379309999999</v>
      </c>
      <c r="AT127">
        <f>11.20401338</f>
        <v>11.204013379999999</v>
      </c>
      <c r="AU127">
        <f>12.72040302</f>
        <v>12.720403019999999</v>
      </c>
      <c r="AV127">
        <f>12.05128205</f>
        <v>12.051282049999999</v>
      </c>
      <c r="AW127">
        <f>20.47713718</f>
        <v>20.47713718</v>
      </c>
      <c r="AX127">
        <f>17.48878924</f>
        <v>17.488789239999999</v>
      </c>
      <c r="AY127">
        <f>13.27102804</f>
        <v>13.271028039999999</v>
      </c>
      <c r="AZ127">
        <f>31.2390925</f>
        <v>31.239092500000002</v>
      </c>
      <c r="BA127">
        <f>14.92537313</f>
        <v>14.925373130000001</v>
      </c>
      <c r="BB127">
        <f>12.68498943</f>
        <v>12.68498943</v>
      </c>
      <c r="BC127">
        <f>20.75471698</f>
        <v>20.754716980000001</v>
      </c>
      <c r="BD127">
        <f>17.64705882</f>
        <v>17.647058820000002</v>
      </c>
      <c r="BE127">
        <f>21.35678392</f>
        <v>21.356783920000002</v>
      </c>
      <c r="BF127">
        <f>13.38582677</f>
        <v>13.38582677</v>
      </c>
      <c r="BG127">
        <f>9.242618742</f>
        <v>9.2426187419999994</v>
      </c>
      <c r="BH127">
        <f>14.70588235</f>
        <v>14.70588235</v>
      </c>
      <c r="BI127">
        <f>14.84184915</f>
        <v>14.84184915</v>
      </c>
      <c r="BJ127">
        <f>17.74193548</f>
        <v>17.741935479999999</v>
      </c>
      <c r="BK127">
        <f>19.95515695</f>
        <v>19.955156949999999</v>
      </c>
      <c r="BL127">
        <f>15.11627907</f>
        <v>15.116279069999999</v>
      </c>
      <c r="BM127">
        <f>19.17808219</f>
        <v>19.178082190000001</v>
      </c>
      <c r="BN127">
        <f>19.66873706</f>
        <v>19.668737060000002</v>
      </c>
      <c r="BO127">
        <f>23.79603399</f>
        <v>23.796033990000002</v>
      </c>
      <c r="BP127">
        <f>22.79792746</f>
        <v>22.79792746</v>
      </c>
      <c r="BQ127">
        <f>31.18644068</f>
        <v>31.18644068</v>
      </c>
      <c r="BR127">
        <f>25.21008403</f>
        <v>25.210084030000001</v>
      </c>
      <c r="BS127">
        <f>10.79274117</f>
        <v>10.792741169999999</v>
      </c>
      <c r="BT127">
        <f>19.90291262</f>
        <v>19.902912619999999</v>
      </c>
      <c r="BU127">
        <f>20</f>
        <v>20</v>
      </c>
      <c r="BV127">
        <f>14.33891993</f>
        <v>14.338919929999999</v>
      </c>
      <c r="BW127">
        <f>25.28548124</f>
        <v>25.285481239999999</v>
      </c>
      <c r="BX127">
        <f>15.57692308</f>
        <v>15.57692308</v>
      </c>
      <c r="BY127">
        <f>28.16399287</f>
        <v>28.163992870000001</v>
      </c>
      <c r="BZ127">
        <f>49.609375</f>
        <v>49.609375</v>
      </c>
      <c r="CA127">
        <f>21.63265306</f>
        <v>21.632653059999999</v>
      </c>
      <c r="CB127">
        <f>27.56264237</f>
        <v>27.562642369999999</v>
      </c>
      <c r="CC127">
        <f>27.24458204</f>
        <v>27.244582040000001</v>
      </c>
      <c r="CD127">
        <f>20.26768642</f>
        <v>20.26768642</v>
      </c>
      <c r="CE127">
        <f>10.6785317</f>
        <v>10.678531700000001</v>
      </c>
      <c r="CF127">
        <f>24.48453608</f>
        <v>24.484536080000002</v>
      </c>
      <c r="CG127">
        <f>17.24137931</f>
        <v>17.241379309999999</v>
      </c>
    </row>
    <row r="128" spans="1:85" x14ac:dyDescent="0.25">
      <c r="A128" t="str">
        <f>"        Mitsubishi Fuso"</f>
        <v xml:space="preserve">        Mitsubishi Fuso</v>
      </c>
      <c r="B128" t="str">
        <f>"DAI GR Equity"</f>
        <v>DAI GR Equity</v>
      </c>
      <c r="E128" t="str">
        <f t="shared" si="2"/>
        <v>Expression</v>
      </c>
      <c r="F128" t="str">
        <f ca="1">IF(AND($B$294=1,LEN($F$255) * LEN($F$250)&gt;0),$F$255/$F$250*100,HLOOKUP(INDIRECT(ADDRESS(2,COLUMN())),OFFSET($AT$2,0,0,ROW()-1,40),ROW()-1,FALSE))</f>
        <v/>
      </c>
      <c r="G128" t="str">
        <f ca="1">IF(AND($B$294=1,LEN($G$255) * LEN($G$250)&gt;0),$G$255/$G$250*100,HLOOKUP(INDIRECT(ADDRESS(2,COLUMN())),OFFSET($AT$2,0,0,ROW()-1,40),ROW()-1,FALSE))</f>
        <v/>
      </c>
      <c r="H128" t="str">
        <f ca="1">IF(AND($B$294=1,LEN($H$255) * LEN($H$250)&gt;0),$H$255/$H$250*100,HLOOKUP(INDIRECT(ADDRESS(2,COLUMN())),OFFSET($AT$2,0,0,ROW()-1,40),ROW()-1,FALSE))</f>
        <v/>
      </c>
      <c r="I128" t="str">
        <f ca="1">IF(AND($B$294=1,LEN($I$255) * LEN($I$250)&gt;0),$I$255/$I$250*100,HLOOKUP(INDIRECT(ADDRESS(2,COLUMN())),OFFSET($AT$2,0,0,ROW()-1,40),ROW()-1,FALSE))</f>
        <v/>
      </c>
      <c r="J128" t="str">
        <f ca="1">IF(AND($B$294=1,LEN($J$255) * LEN($J$250)&gt;0),$J$255/$J$250*100,HLOOKUP(INDIRECT(ADDRESS(2,COLUMN())),OFFSET($AT$2,0,0,ROW()-1,40),ROW()-1,FALSE))</f>
        <v/>
      </c>
      <c r="K128" t="str">
        <f ca="1">IF(AND($B$294=1,LEN($K$255) * LEN($K$250)&gt;0),$K$255/$K$250*100,HLOOKUP(INDIRECT(ADDRESS(2,COLUMN())),OFFSET($AT$2,0,0,ROW()-1,40),ROW()-1,FALSE))</f>
        <v/>
      </c>
      <c r="L128" t="str">
        <f ca="1">IF(AND($B$294=1,LEN($L$255) * LEN($L$250)&gt;0),$L$255/$L$250*100,HLOOKUP(INDIRECT(ADDRESS(2,COLUMN())),OFFSET($AT$2,0,0,ROW()-1,40),ROW()-1,FALSE))</f>
        <v/>
      </c>
      <c r="M128" t="str">
        <f ca="1">IF(AND($B$294=1,LEN($M$255) * LEN($M$250)&gt;0),$M$255/$M$250*100,HLOOKUP(INDIRECT(ADDRESS(2,COLUMN())),OFFSET($AT$2,0,0,ROW()-1,40),ROW()-1,FALSE))</f>
        <v/>
      </c>
      <c r="N128" t="str">
        <f ca="1">IF(AND($B$294=1,LEN($N$255) * LEN($N$250)&gt;0),$N$255/$N$250*100,HLOOKUP(INDIRECT(ADDRESS(2,COLUMN())),OFFSET($AT$2,0,0,ROW()-1,40),ROW()-1,FALSE))</f>
        <v/>
      </c>
      <c r="O128" t="str">
        <f ca="1">IF(AND($B$294=1,LEN($O$255) * LEN($O$250)&gt;0),$O$255/$O$250*100,HLOOKUP(INDIRECT(ADDRESS(2,COLUMN())),OFFSET($AT$2,0,0,ROW()-1,40),ROW()-1,FALSE))</f>
        <v/>
      </c>
      <c r="P128" t="str">
        <f ca="1">IF(AND($B$294=1,LEN($P$255) * LEN($P$250)&gt;0),$P$255/$P$250*100,HLOOKUP(INDIRECT(ADDRESS(2,COLUMN())),OFFSET($AT$2,0,0,ROW()-1,40),ROW()-1,FALSE))</f>
        <v/>
      </c>
      <c r="Q128" t="str">
        <f ca="1">IF(AND($B$294=1,LEN($Q$255) * LEN($Q$250)&gt;0),$Q$255/$Q$250*100,HLOOKUP(INDIRECT(ADDRESS(2,COLUMN())),OFFSET($AT$2,0,0,ROW()-1,40),ROW()-1,FALSE))</f>
        <v/>
      </c>
      <c r="R128" t="str">
        <f ca="1">IF(AND($B$294=1,LEN($R$255) * LEN($R$250)&gt;0),$R$255/$R$250*100,HLOOKUP(INDIRECT(ADDRESS(2,COLUMN())),OFFSET($AT$2,0,0,ROW()-1,40),ROW()-1,FALSE))</f>
        <v/>
      </c>
      <c r="S128" t="str">
        <f ca="1">IF(AND($B$294=1,LEN($S$255) * LEN($S$250)&gt;0),$S$255/$S$250*100,HLOOKUP(INDIRECT(ADDRESS(2,COLUMN())),OFFSET($AT$2,0,0,ROW()-1,40),ROW()-1,FALSE))</f>
        <v/>
      </c>
      <c r="T128" t="str">
        <f ca="1">IF(AND($B$294=1,LEN($T$255) * LEN($T$250)&gt;0),$T$255/$T$250*100,HLOOKUP(INDIRECT(ADDRESS(2,COLUMN())),OFFSET($AT$2,0,0,ROW()-1,40),ROW()-1,FALSE))</f>
        <v/>
      </c>
      <c r="U128" t="str">
        <f ca="1">IF(AND($B$294=1,LEN($U$255) * LEN($U$250)&gt;0),$U$255/$U$250*100,HLOOKUP(INDIRECT(ADDRESS(2,COLUMN())),OFFSET($AT$2,0,0,ROW()-1,40),ROW()-1,FALSE))</f>
        <v/>
      </c>
      <c r="V128" t="str">
        <f ca="1">IF(AND($B$294=1,LEN($V$255) * LEN($V$250)&gt;0),$V$255/$V$250*100,HLOOKUP(INDIRECT(ADDRESS(2,COLUMN())),OFFSET($AT$2,0,0,ROW()-1,40),ROW()-1,FALSE))</f>
        <v/>
      </c>
      <c r="W128" t="str">
        <f ca="1">IF(AND($B$294=1,LEN($W$255) * LEN($W$250)&gt;0),$W$255/$W$250*100,HLOOKUP(INDIRECT(ADDRESS(2,COLUMN())),OFFSET($AT$2,0,0,ROW()-1,40),ROW()-1,FALSE))</f>
        <v/>
      </c>
      <c r="X128" t="str">
        <f ca="1">IF(AND($B$294=1,LEN($X$255) * LEN($X$250)&gt;0),$X$255/$X$250*100,HLOOKUP(INDIRECT(ADDRESS(2,COLUMN())),OFFSET($AT$2,0,0,ROW()-1,40),ROW()-1,FALSE))</f>
        <v/>
      </c>
      <c r="Y128" t="str">
        <f ca="1">IF(AND($B$294=1,LEN($Y$255) * LEN($Y$250)&gt;0),$Y$255/$Y$250*100,HLOOKUP(INDIRECT(ADDRESS(2,COLUMN())),OFFSET($AT$2,0,0,ROW()-1,40),ROW()-1,FALSE))</f>
        <v/>
      </c>
      <c r="Z128" t="str">
        <f ca="1">IF(AND($B$294=1,LEN($Z$255) * LEN($Z$250)&gt;0),$Z$255/$Z$250*100,HLOOKUP(INDIRECT(ADDRESS(2,COLUMN())),OFFSET($AT$2,0,0,ROW()-1,40),ROW()-1,FALSE))</f>
        <v/>
      </c>
      <c r="AA128" t="str">
        <f ca="1">IF(AND($B$294=1,LEN($AA$255) * LEN($AA$250)&gt;0),$AA$255/$AA$250*100,HLOOKUP(INDIRECT(ADDRESS(2,COLUMN())),OFFSET($AT$2,0,0,ROW()-1,40),ROW()-1,FALSE))</f>
        <v/>
      </c>
      <c r="AB128" t="str">
        <f ca="1">IF(AND($B$294=1,LEN($AB$255) * LEN($AB$250)&gt;0),$AB$255/$AB$250*100,HLOOKUP(INDIRECT(ADDRESS(2,COLUMN())),OFFSET($AT$2,0,0,ROW()-1,40),ROW()-1,FALSE))</f>
        <v/>
      </c>
      <c r="AC128" t="str">
        <f ca="1">IF(AND($B$294=1,LEN($AC$255) * LEN($AC$250)&gt;0),$AC$255/$AC$250*100,HLOOKUP(INDIRECT(ADDRESS(2,COLUMN())),OFFSET($AT$2,0,0,ROW()-1,40),ROW()-1,FALSE))</f>
        <v/>
      </c>
      <c r="AD128" t="str">
        <f ca="1">IF(AND($B$294=1,LEN($AD$255) * LEN($AD$250)&gt;0),$AD$255/$AD$250*100,HLOOKUP(INDIRECT(ADDRESS(2,COLUMN())),OFFSET($AT$2,0,0,ROW()-1,40),ROW()-1,FALSE))</f>
        <v/>
      </c>
      <c r="AE128" t="str">
        <f ca="1">IF(AND($B$294=1,LEN($AE$255) * LEN($AE$250)&gt;0),$AE$255/$AE$250*100,HLOOKUP(INDIRECT(ADDRESS(2,COLUMN())),OFFSET($AT$2,0,0,ROW()-1,40),ROW()-1,FALSE))</f>
        <v/>
      </c>
      <c r="AF128" t="str">
        <f ca="1">IF(AND($B$294=1,LEN($AF$255) * LEN($AF$250)&gt;0),$AF$255/$AF$250*100,HLOOKUP(INDIRECT(ADDRESS(2,COLUMN())),OFFSET($AT$2,0,0,ROW()-1,40),ROW()-1,FALSE))</f>
        <v/>
      </c>
      <c r="AG128" t="str">
        <f ca="1">IF(AND($B$294=1,LEN($AG$255) * LEN($AG$250)&gt;0),$AG$255/$AG$250*100,HLOOKUP(INDIRECT(ADDRESS(2,COLUMN())),OFFSET($AT$2,0,0,ROW()-1,40),ROW()-1,FALSE))</f>
        <v/>
      </c>
      <c r="AH128" t="str">
        <f ca="1">IF(AND($B$294=1,LEN($AH$255) * LEN($AH$250)&gt;0),$AH$255/$AH$250*100,HLOOKUP(INDIRECT(ADDRESS(2,COLUMN())),OFFSET($AT$2,0,0,ROW()-1,40),ROW()-1,FALSE))</f>
        <v/>
      </c>
      <c r="AI128" t="str">
        <f ca="1">IF(AND($B$294=1,LEN($AI$255) * LEN($AI$250)&gt;0),$AI$255/$AI$250*100,HLOOKUP(INDIRECT(ADDRESS(2,COLUMN())),OFFSET($AT$2,0,0,ROW()-1,40),ROW()-1,FALSE))</f>
        <v/>
      </c>
      <c r="AJ128" t="str">
        <f ca="1">IF(AND($B$294=1,LEN($AJ$255) * LEN($AJ$250)&gt;0),$AJ$255/$AJ$250*100,HLOOKUP(INDIRECT(ADDRESS(2,COLUMN())),OFFSET($AT$2,0,0,ROW()-1,40),ROW()-1,FALSE))</f>
        <v/>
      </c>
      <c r="AK128" t="str">
        <f ca="1">IF(AND($B$294=1,LEN($AK$255) * LEN($AK$250)&gt;0),$AK$255/$AK$250*100,HLOOKUP(INDIRECT(ADDRESS(2,COLUMN())),OFFSET($AT$2,0,0,ROW()-1,40),ROW()-1,FALSE))</f>
        <v/>
      </c>
      <c r="AL128" t="str">
        <f ca="1">IF(AND($B$294=1,LEN($AL$255) * LEN($AL$250)&gt;0),$AL$255/$AL$250*100,HLOOKUP(INDIRECT(ADDRESS(2,COLUMN())),OFFSET($AT$2,0,0,ROW()-1,40),ROW()-1,FALSE))</f>
        <v/>
      </c>
      <c r="AM128" t="str">
        <f ca="1">IF(AND($B$294=1,LEN($AM$255) * LEN($AM$250)&gt;0),$AM$255/$AM$250*100,HLOOKUP(INDIRECT(ADDRESS(2,COLUMN())),OFFSET($AT$2,0,0,ROW()-1,40),ROW()-1,FALSE))</f>
        <v/>
      </c>
      <c r="AN128" t="str">
        <f ca="1">IF(AND($B$294=1,LEN($AN$255) * LEN($AN$250)&gt;0),$AN$255/$AN$250*100,HLOOKUP(INDIRECT(ADDRESS(2,COLUMN())),OFFSET($AT$2,0,0,ROW()-1,40),ROW()-1,FALSE))</f>
        <v/>
      </c>
      <c r="AO128" t="str">
        <f ca="1">IF(AND($B$294=1,LEN($AO$255) * LEN($AO$250)&gt;0),$AO$255/$AO$250*100,HLOOKUP(INDIRECT(ADDRESS(2,COLUMN())),OFFSET($AT$2,0,0,ROW()-1,40),ROW()-1,FALSE))</f>
        <v/>
      </c>
      <c r="AP128" t="str">
        <f ca="1">IF(AND($B$294=1,LEN($AP$255) * LEN($AP$250)&gt;0),$AP$255/$AP$250*100,HLOOKUP(INDIRECT(ADDRESS(2,COLUMN())),OFFSET($AT$2,0,0,ROW()-1,40),ROW()-1,FALSE))</f>
        <v/>
      </c>
      <c r="AQ128" t="str">
        <f ca="1">IF(AND($B$294=1,LEN($AQ$255) * LEN($AQ$250)&gt;0),$AQ$255/$AQ$250*100,HLOOKUP(INDIRECT(ADDRESS(2,COLUMN())),OFFSET($AT$2,0,0,ROW()-1,40),ROW()-1,FALSE))</f>
        <v/>
      </c>
      <c r="AR128" t="str">
        <f ca="1">IF(AND($B$294=1,LEN($AR$255) * LEN($AR$250)&gt;0),$AR$255/$AR$250*100,HLOOKUP(INDIRECT(ADDRESS(2,COLUMN())),OFFSET($AT$2,0,0,ROW()-1,40),ROW()-1,FALSE))</f>
        <v/>
      </c>
      <c r="AS128" t="str">
        <f ca="1">IF(AND($B$294=1,LEN($AS$255) * LEN($AS$250)&gt;0),$AS$255/$AS$250*100,HLOOKUP(INDIRECT(ADDRESS(2,COLUMN())),OFFSET($AT$2,0,0,ROW()-1,40),ROW()-1,FALSE))</f>
        <v/>
      </c>
      <c r="AT128" t="str">
        <f>""</f>
        <v/>
      </c>
      <c r="AU128" t="str">
        <f>""</f>
        <v/>
      </c>
      <c r="AV128" t="str">
        <f>""</f>
        <v/>
      </c>
      <c r="AW128" t="str">
        <f>""</f>
        <v/>
      </c>
      <c r="AX128" t="str">
        <f>""</f>
        <v/>
      </c>
      <c r="AY128" t="str">
        <f>""</f>
        <v/>
      </c>
      <c r="AZ128" t="str">
        <f>""</f>
        <v/>
      </c>
      <c r="BA128" t="str">
        <f>""</f>
        <v/>
      </c>
      <c r="BB128" t="str">
        <f>""</f>
        <v/>
      </c>
      <c r="BC128" t="str">
        <f>""</f>
        <v/>
      </c>
      <c r="BD128" t="str">
        <f>""</f>
        <v/>
      </c>
      <c r="BE128" t="str">
        <f>""</f>
        <v/>
      </c>
      <c r="BF128" t="str">
        <f>""</f>
        <v/>
      </c>
      <c r="BG128" t="str">
        <f>""</f>
        <v/>
      </c>
      <c r="BH128" t="str">
        <f>""</f>
        <v/>
      </c>
      <c r="BI128" t="str">
        <f>""</f>
        <v/>
      </c>
      <c r="BJ128" t="str">
        <f>""</f>
        <v/>
      </c>
      <c r="BK128" t="str">
        <f>""</f>
        <v/>
      </c>
      <c r="BL128" t="str">
        <f>""</f>
        <v/>
      </c>
      <c r="BM128" t="str">
        <f>""</f>
        <v/>
      </c>
      <c r="BN128" t="str">
        <f>""</f>
        <v/>
      </c>
      <c r="BO128" t="str">
        <f>""</f>
        <v/>
      </c>
      <c r="BP128" t="str">
        <f>""</f>
        <v/>
      </c>
      <c r="BQ128" t="str">
        <f>""</f>
        <v/>
      </c>
      <c r="BR128" t="str">
        <f>""</f>
        <v/>
      </c>
      <c r="BS128" t="str">
        <f>""</f>
        <v/>
      </c>
      <c r="BT128" t="str">
        <f>""</f>
        <v/>
      </c>
      <c r="BU128" t="str">
        <f>""</f>
        <v/>
      </c>
      <c r="BV128" t="str">
        <f>""</f>
        <v/>
      </c>
      <c r="BW128" t="str">
        <f>""</f>
        <v/>
      </c>
      <c r="BX128" t="str">
        <f>""</f>
        <v/>
      </c>
      <c r="BY128" t="str">
        <f>""</f>
        <v/>
      </c>
      <c r="BZ128" t="str">
        <f>""</f>
        <v/>
      </c>
      <c r="CA128" t="str">
        <f>""</f>
        <v/>
      </c>
      <c r="CB128" t="str">
        <f>""</f>
        <v/>
      </c>
      <c r="CC128" t="str">
        <f>""</f>
        <v/>
      </c>
      <c r="CD128" t="str">
        <f>""</f>
        <v/>
      </c>
      <c r="CE128" t="str">
        <f>""</f>
        <v/>
      </c>
      <c r="CF128" t="str">
        <f>""</f>
        <v/>
      </c>
      <c r="CG128" t="str">
        <f>""</f>
        <v/>
      </c>
    </row>
    <row r="129" spans="1:85" x14ac:dyDescent="0.25">
      <c r="A129" t="str">
        <f>"        Sterling"</f>
        <v xml:space="preserve">        Sterling</v>
      </c>
      <c r="B129" t="str">
        <f>"DAI GR Equity"</f>
        <v>DAI GR Equity</v>
      </c>
      <c r="E129" t="str">
        <f t="shared" si="2"/>
        <v>Expression</v>
      </c>
      <c r="F129" t="str">
        <f ca="1">IF(AND($B$294=1,LEN($F$256) * LEN($F$250)&gt;0),$F$256/$F$250*100,HLOOKUP(INDIRECT(ADDRESS(2,COLUMN())),OFFSET($AT$2,0,0,ROW()-1,40),ROW()-1,FALSE))</f>
        <v/>
      </c>
      <c r="G129" t="str">
        <f ca="1">IF(AND($B$294=1,LEN($G$256) * LEN($G$250)&gt;0),$G$256/$G$250*100,HLOOKUP(INDIRECT(ADDRESS(2,COLUMN())),OFFSET($AT$2,0,0,ROW()-1,40),ROW()-1,FALSE))</f>
        <v/>
      </c>
      <c r="H129" t="str">
        <f ca="1">IF(AND($B$294=1,LEN($H$256) * LEN($H$250)&gt;0),$H$256/$H$250*100,HLOOKUP(INDIRECT(ADDRESS(2,COLUMN())),OFFSET($AT$2,0,0,ROW()-1,40),ROW()-1,FALSE))</f>
        <v/>
      </c>
      <c r="I129" t="str">
        <f ca="1">IF(AND($B$294=1,LEN($I$256) * LEN($I$250)&gt;0),$I$256/$I$250*100,HLOOKUP(INDIRECT(ADDRESS(2,COLUMN())),OFFSET($AT$2,0,0,ROW()-1,40),ROW()-1,FALSE))</f>
        <v/>
      </c>
      <c r="J129" t="str">
        <f ca="1">IF(AND($B$294=1,LEN($J$256) * LEN($J$250)&gt;0),$J$256/$J$250*100,HLOOKUP(INDIRECT(ADDRESS(2,COLUMN())),OFFSET($AT$2,0,0,ROW()-1,40),ROW()-1,FALSE))</f>
        <v/>
      </c>
      <c r="K129" t="str">
        <f ca="1">IF(AND($B$294=1,LEN($K$256) * LEN($K$250)&gt;0),$K$256/$K$250*100,HLOOKUP(INDIRECT(ADDRESS(2,COLUMN())),OFFSET($AT$2,0,0,ROW()-1,40),ROW()-1,FALSE))</f>
        <v/>
      </c>
      <c r="L129" t="str">
        <f ca="1">IF(AND($B$294=1,LEN($L$256) * LEN($L$250)&gt;0),$L$256/$L$250*100,HLOOKUP(INDIRECT(ADDRESS(2,COLUMN())),OFFSET($AT$2,0,0,ROW()-1,40),ROW()-1,FALSE))</f>
        <v/>
      </c>
      <c r="M129" t="str">
        <f ca="1">IF(AND($B$294=1,LEN($M$256) * LEN($M$250)&gt;0),$M$256/$M$250*100,HLOOKUP(INDIRECT(ADDRESS(2,COLUMN())),OFFSET($AT$2,0,0,ROW()-1,40),ROW()-1,FALSE))</f>
        <v/>
      </c>
      <c r="N129" t="str">
        <f ca="1">IF(AND($B$294=1,LEN($N$256) * LEN($N$250)&gt;0),$N$256/$N$250*100,HLOOKUP(INDIRECT(ADDRESS(2,COLUMN())),OFFSET($AT$2,0,0,ROW()-1,40),ROW()-1,FALSE))</f>
        <v/>
      </c>
      <c r="O129" t="str">
        <f ca="1">IF(AND($B$294=1,LEN($O$256) * LEN($O$250)&gt;0),$O$256/$O$250*100,HLOOKUP(INDIRECT(ADDRESS(2,COLUMN())),OFFSET($AT$2,0,0,ROW()-1,40),ROW()-1,FALSE))</f>
        <v/>
      </c>
      <c r="P129" t="str">
        <f ca="1">IF(AND($B$294=1,LEN($P$256) * LEN($P$250)&gt;0),$P$256/$P$250*100,HLOOKUP(INDIRECT(ADDRESS(2,COLUMN())),OFFSET($AT$2,0,0,ROW()-1,40),ROW()-1,FALSE))</f>
        <v/>
      </c>
      <c r="Q129" t="str">
        <f ca="1">IF(AND($B$294=1,LEN($Q$256) * LEN($Q$250)&gt;0),$Q$256/$Q$250*100,HLOOKUP(INDIRECT(ADDRESS(2,COLUMN())),OFFSET($AT$2,0,0,ROW()-1,40),ROW()-1,FALSE))</f>
        <v/>
      </c>
      <c r="R129" t="str">
        <f ca="1">IF(AND($B$294=1,LEN($R$256) * LEN($R$250)&gt;0),$R$256/$R$250*100,HLOOKUP(INDIRECT(ADDRESS(2,COLUMN())),OFFSET($AT$2,0,0,ROW()-1,40),ROW()-1,FALSE))</f>
        <v/>
      </c>
      <c r="S129" t="str">
        <f ca="1">IF(AND($B$294=1,LEN($S$256) * LEN($S$250)&gt;0),$S$256/$S$250*100,HLOOKUP(INDIRECT(ADDRESS(2,COLUMN())),OFFSET($AT$2,0,0,ROW()-1,40),ROW()-1,FALSE))</f>
        <v/>
      </c>
      <c r="T129" t="str">
        <f ca="1">IF(AND($B$294=1,LEN($T$256) * LEN($T$250)&gt;0),$T$256/$T$250*100,HLOOKUP(INDIRECT(ADDRESS(2,COLUMN())),OFFSET($AT$2,0,0,ROW()-1,40),ROW()-1,FALSE))</f>
        <v/>
      </c>
      <c r="U129" t="str">
        <f ca="1">IF(AND($B$294=1,LEN($U$256) * LEN($U$250)&gt;0),$U$256/$U$250*100,HLOOKUP(INDIRECT(ADDRESS(2,COLUMN())),OFFSET($AT$2,0,0,ROW()-1,40),ROW()-1,FALSE))</f>
        <v/>
      </c>
      <c r="V129" t="str">
        <f ca="1">IF(AND($B$294=1,LEN($V$256) * LEN($V$250)&gt;0),$V$256/$V$250*100,HLOOKUP(INDIRECT(ADDRESS(2,COLUMN())),OFFSET($AT$2,0,0,ROW()-1,40),ROW()-1,FALSE))</f>
        <v/>
      </c>
      <c r="W129" t="str">
        <f ca="1">IF(AND($B$294=1,LEN($W$256) * LEN($W$250)&gt;0),$W$256/$W$250*100,HLOOKUP(INDIRECT(ADDRESS(2,COLUMN())),OFFSET($AT$2,0,0,ROW()-1,40),ROW()-1,FALSE))</f>
        <v/>
      </c>
      <c r="X129" t="str">
        <f ca="1">IF(AND($B$294=1,LEN($X$256) * LEN($X$250)&gt;0),$X$256/$X$250*100,HLOOKUP(INDIRECT(ADDRESS(2,COLUMN())),OFFSET($AT$2,0,0,ROW()-1,40),ROW()-1,FALSE))</f>
        <v/>
      </c>
      <c r="Y129" t="str">
        <f ca="1">IF(AND($B$294=1,LEN($Y$256) * LEN($Y$250)&gt;0),$Y$256/$Y$250*100,HLOOKUP(INDIRECT(ADDRESS(2,COLUMN())),OFFSET($AT$2,0,0,ROW()-1,40),ROW()-1,FALSE))</f>
        <v/>
      </c>
      <c r="Z129" t="str">
        <f ca="1">IF(AND($B$294=1,LEN($Z$256) * LEN($Z$250)&gt;0),$Z$256/$Z$250*100,HLOOKUP(INDIRECT(ADDRESS(2,COLUMN())),OFFSET($AT$2,0,0,ROW()-1,40),ROW()-1,FALSE))</f>
        <v/>
      </c>
      <c r="AA129" t="str">
        <f ca="1">IF(AND($B$294=1,LEN($AA$256) * LEN($AA$250)&gt;0),$AA$256/$AA$250*100,HLOOKUP(INDIRECT(ADDRESS(2,COLUMN())),OFFSET($AT$2,0,0,ROW()-1,40),ROW()-1,FALSE))</f>
        <v/>
      </c>
      <c r="AB129" t="str">
        <f ca="1">IF(AND($B$294=1,LEN($AB$256) * LEN($AB$250)&gt;0),$AB$256/$AB$250*100,HLOOKUP(INDIRECT(ADDRESS(2,COLUMN())),OFFSET($AT$2,0,0,ROW()-1,40),ROW()-1,FALSE))</f>
        <v/>
      </c>
      <c r="AC129" t="str">
        <f ca="1">IF(AND($B$294=1,LEN($AC$256) * LEN($AC$250)&gt;0),$AC$256/$AC$250*100,HLOOKUP(INDIRECT(ADDRESS(2,COLUMN())),OFFSET($AT$2,0,0,ROW()-1,40),ROW()-1,FALSE))</f>
        <v/>
      </c>
      <c r="AD129" t="str">
        <f ca="1">IF(AND($B$294=1,LEN($AD$256) * LEN($AD$250)&gt;0),$AD$256/$AD$250*100,HLOOKUP(INDIRECT(ADDRESS(2,COLUMN())),OFFSET($AT$2,0,0,ROW()-1,40),ROW()-1,FALSE))</f>
        <v/>
      </c>
      <c r="AE129" t="str">
        <f ca="1">IF(AND($B$294=1,LEN($AE$256) * LEN($AE$250)&gt;0),$AE$256/$AE$250*100,HLOOKUP(INDIRECT(ADDRESS(2,COLUMN())),OFFSET($AT$2,0,0,ROW()-1,40),ROW()-1,FALSE))</f>
        <v/>
      </c>
      <c r="AF129" t="str">
        <f ca="1">IF(AND($B$294=1,LEN($AF$256) * LEN($AF$250)&gt;0),$AF$256/$AF$250*100,HLOOKUP(INDIRECT(ADDRESS(2,COLUMN())),OFFSET($AT$2,0,0,ROW()-1,40),ROW()-1,FALSE))</f>
        <v/>
      </c>
      <c r="AG129" t="str">
        <f ca="1">IF(AND($B$294=1,LEN($AG$256) * LEN($AG$250)&gt;0),$AG$256/$AG$250*100,HLOOKUP(INDIRECT(ADDRESS(2,COLUMN())),OFFSET($AT$2,0,0,ROW()-1,40),ROW()-1,FALSE))</f>
        <v/>
      </c>
      <c r="AH129" t="str">
        <f ca="1">IF(AND($B$294=1,LEN($AH$256) * LEN($AH$250)&gt;0),$AH$256/$AH$250*100,HLOOKUP(INDIRECT(ADDRESS(2,COLUMN())),OFFSET($AT$2,0,0,ROW()-1,40),ROW()-1,FALSE))</f>
        <v/>
      </c>
      <c r="AI129" t="str">
        <f ca="1">IF(AND($B$294=1,LEN($AI$256) * LEN($AI$250)&gt;0),$AI$256/$AI$250*100,HLOOKUP(INDIRECT(ADDRESS(2,COLUMN())),OFFSET($AT$2,0,0,ROW()-1,40),ROW()-1,FALSE))</f>
        <v/>
      </c>
      <c r="AJ129" t="str">
        <f ca="1">IF(AND($B$294=1,LEN($AJ$256) * LEN($AJ$250)&gt;0),$AJ$256/$AJ$250*100,HLOOKUP(INDIRECT(ADDRESS(2,COLUMN())),OFFSET($AT$2,0,0,ROW()-1,40),ROW()-1,FALSE))</f>
        <v/>
      </c>
      <c r="AK129" t="str">
        <f ca="1">IF(AND($B$294=1,LEN($AK$256) * LEN($AK$250)&gt;0),$AK$256/$AK$250*100,HLOOKUP(INDIRECT(ADDRESS(2,COLUMN())),OFFSET($AT$2,0,0,ROW()-1,40),ROW()-1,FALSE))</f>
        <v/>
      </c>
      <c r="AL129" t="str">
        <f ca="1">IF(AND($B$294=1,LEN($AL$256) * LEN($AL$250)&gt;0),$AL$256/$AL$250*100,HLOOKUP(INDIRECT(ADDRESS(2,COLUMN())),OFFSET($AT$2,0,0,ROW()-1,40),ROW()-1,FALSE))</f>
        <v/>
      </c>
      <c r="AM129" t="str">
        <f ca="1">IF(AND($B$294=1,LEN($AM$256) * LEN($AM$250)&gt;0),$AM$256/$AM$250*100,HLOOKUP(INDIRECT(ADDRESS(2,COLUMN())),OFFSET($AT$2,0,0,ROW()-1,40),ROW()-1,FALSE))</f>
        <v/>
      </c>
      <c r="AN129" t="str">
        <f ca="1">IF(AND($B$294=1,LEN($AN$256) * LEN($AN$250)&gt;0),$AN$256/$AN$250*100,HLOOKUP(INDIRECT(ADDRESS(2,COLUMN())),OFFSET($AT$2,0,0,ROW()-1,40),ROW()-1,FALSE))</f>
        <v/>
      </c>
      <c r="AO129" t="str">
        <f ca="1">IF(AND($B$294=1,LEN($AO$256) * LEN($AO$250)&gt;0),$AO$256/$AO$250*100,HLOOKUP(INDIRECT(ADDRESS(2,COLUMN())),OFFSET($AT$2,0,0,ROW()-1,40),ROW()-1,FALSE))</f>
        <v/>
      </c>
      <c r="AP129" t="str">
        <f ca="1">IF(AND($B$294=1,LEN($AP$256) * LEN($AP$250)&gt;0),$AP$256/$AP$250*100,HLOOKUP(INDIRECT(ADDRESS(2,COLUMN())),OFFSET($AT$2,0,0,ROW()-1,40),ROW()-1,FALSE))</f>
        <v/>
      </c>
      <c r="AQ129" t="str">
        <f ca="1">IF(AND($B$294=1,LEN($AQ$256) * LEN($AQ$250)&gt;0),$AQ$256/$AQ$250*100,HLOOKUP(INDIRECT(ADDRESS(2,COLUMN())),OFFSET($AT$2,0,0,ROW()-1,40),ROW()-1,FALSE))</f>
        <v/>
      </c>
      <c r="AR129" t="str">
        <f ca="1">IF(AND($B$294=1,LEN($AR$256) * LEN($AR$250)&gt;0),$AR$256/$AR$250*100,HLOOKUP(INDIRECT(ADDRESS(2,COLUMN())),OFFSET($AT$2,0,0,ROW()-1,40),ROW()-1,FALSE))</f>
        <v/>
      </c>
      <c r="AS129" t="str">
        <f ca="1">IF(AND($B$294=1,LEN($AS$256) * LEN($AS$250)&gt;0),$AS$256/$AS$250*100,HLOOKUP(INDIRECT(ADDRESS(2,COLUMN())),OFFSET($AT$2,0,0,ROW()-1,40),ROW()-1,FALSE))</f>
        <v/>
      </c>
      <c r="AT129" t="str">
        <f>""</f>
        <v/>
      </c>
      <c r="AU129" t="str">
        <f>""</f>
        <v/>
      </c>
      <c r="AV129" t="str">
        <f>""</f>
        <v/>
      </c>
      <c r="AW129" t="str">
        <f>""</f>
        <v/>
      </c>
      <c r="AX129" t="str">
        <f>""</f>
        <v/>
      </c>
      <c r="AY129" t="str">
        <f>""</f>
        <v/>
      </c>
      <c r="AZ129" t="str">
        <f>""</f>
        <v/>
      </c>
      <c r="BA129" t="str">
        <f>""</f>
        <v/>
      </c>
      <c r="BB129" t="str">
        <f>""</f>
        <v/>
      </c>
      <c r="BC129" t="str">
        <f>""</f>
        <v/>
      </c>
      <c r="BD129" t="str">
        <f>""</f>
        <v/>
      </c>
      <c r="BE129" t="str">
        <f>""</f>
        <v/>
      </c>
      <c r="BF129" t="str">
        <f>""</f>
        <v/>
      </c>
      <c r="BG129" t="str">
        <f>""</f>
        <v/>
      </c>
      <c r="BH129" t="str">
        <f>""</f>
        <v/>
      </c>
      <c r="BI129" t="str">
        <f>""</f>
        <v/>
      </c>
      <c r="BJ129" t="str">
        <f>""</f>
        <v/>
      </c>
      <c r="BK129" t="str">
        <f>""</f>
        <v/>
      </c>
      <c r="BL129" t="str">
        <f>""</f>
        <v/>
      </c>
      <c r="BM129" t="str">
        <f>""</f>
        <v/>
      </c>
      <c r="BN129" t="str">
        <f>""</f>
        <v/>
      </c>
      <c r="BO129" t="str">
        <f>""</f>
        <v/>
      </c>
      <c r="BP129" t="str">
        <f>""</f>
        <v/>
      </c>
      <c r="BQ129" t="str">
        <f>""</f>
        <v/>
      </c>
      <c r="BR129" t="str">
        <f>""</f>
        <v/>
      </c>
      <c r="BS129" t="str">
        <f>""</f>
        <v/>
      </c>
      <c r="BT129" t="str">
        <f>""</f>
        <v/>
      </c>
      <c r="BU129" t="str">
        <f>""</f>
        <v/>
      </c>
      <c r="BV129" t="str">
        <f>""</f>
        <v/>
      </c>
      <c r="BW129" t="str">
        <f>""</f>
        <v/>
      </c>
      <c r="BX129" t="str">
        <f>""</f>
        <v/>
      </c>
      <c r="BY129" t="str">
        <f>""</f>
        <v/>
      </c>
      <c r="BZ129" t="str">
        <f>""</f>
        <v/>
      </c>
      <c r="CA129" t="str">
        <f>""</f>
        <v/>
      </c>
      <c r="CB129" t="str">
        <f>""</f>
        <v/>
      </c>
      <c r="CC129" t="str">
        <f>""</f>
        <v/>
      </c>
      <c r="CD129" t="str">
        <f>""</f>
        <v/>
      </c>
      <c r="CE129" t="str">
        <f>""</f>
        <v/>
      </c>
      <c r="CF129" t="str">
        <f>""</f>
        <v/>
      </c>
      <c r="CG129" t="str">
        <f>""</f>
        <v/>
      </c>
    </row>
    <row r="130" spans="1:85" x14ac:dyDescent="0.25">
      <c r="A130" t="str">
        <f>"        Western Star"</f>
        <v xml:space="preserve">        Western Star</v>
      </c>
      <c r="B130" t="str">
        <f>"DAI GR Equity"</f>
        <v>DAI GR Equity</v>
      </c>
      <c r="E130" t="str">
        <f t="shared" si="2"/>
        <v>Expression</v>
      </c>
      <c r="F130" t="str">
        <f ca="1">IF(AND($B$294=1,LEN($F$257) * LEN($F$250)&gt;0),$F$257/$F$250*100,HLOOKUP(INDIRECT(ADDRESS(2,COLUMN())),OFFSET($AT$2,0,0,ROW()-1,40),ROW()-1,FALSE))</f>
        <v/>
      </c>
      <c r="G130" t="str">
        <f ca="1">IF(AND($B$294=1,LEN($G$257) * LEN($G$250)&gt;0),$G$257/$G$250*100,HLOOKUP(INDIRECT(ADDRESS(2,COLUMN())),OFFSET($AT$2,0,0,ROW()-1,40),ROW()-1,FALSE))</f>
        <v/>
      </c>
      <c r="H130" t="str">
        <f ca="1">IF(AND($B$294=1,LEN($H$257) * LEN($H$250)&gt;0),$H$257/$H$250*100,HLOOKUP(INDIRECT(ADDRESS(2,COLUMN())),OFFSET($AT$2,0,0,ROW()-1,40),ROW()-1,FALSE))</f>
        <v/>
      </c>
      <c r="I130" t="str">
        <f ca="1">IF(AND($B$294=1,LEN($I$257) * LEN($I$250)&gt;0),$I$257/$I$250*100,HLOOKUP(INDIRECT(ADDRESS(2,COLUMN())),OFFSET($AT$2,0,0,ROW()-1,40),ROW()-1,FALSE))</f>
        <v/>
      </c>
      <c r="J130" t="str">
        <f ca="1">IF(AND($B$294=1,LEN($J$257) * LEN($J$250)&gt;0),$J$257/$J$250*100,HLOOKUP(INDIRECT(ADDRESS(2,COLUMN())),OFFSET($AT$2,0,0,ROW()-1,40),ROW()-1,FALSE))</f>
        <v/>
      </c>
      <c r="K130" t="str">
        <f ca="1">IF(AND($B$294=1,LEN($K$257) * LEN($K$250)&gt;0),$K$257/$K$250*100,HLOOKUP(INDIRECT(ADDRESS(2,COLUMN())),OFFSET($AT$2,0,0,ROW()-1,40),ROW()-1,FALSE))</f>
        <v/>
      </c>
      <c r="L130" t="str">
        <f ca="1">IF(AND($B$294=1,LEN($L$257) * LEN($L$250)&gt;0),$L$257/$L$250*100,HLOOKUP(INDIRECT(ADDRESS(2,COLUMN())),OFFSET($AT$2,0,0,ROW()-1,40),ROW()-1,FALSE))</f>
        <v/>
      </c>
      <c r="M130" t="str">
        <f ca="1">IF(AND($B$294=1,LEN($M$257) * LEN($M$250)&gt;0),$M$257/$M$250*100,HLOOKUP(INDIRECT(ADDRESS(2,COLUMN())),OFFSET($AT$2,0,0,ROW()-1,40),ROW()-1,FALSE))</f>
        <v/>
      </c>
      <c r="N130" t="str">
        <f ca="1">IF(AND($B$294=1,LEN($N$257) * LEN($N$250)&gt;0),$N$257/$N$250*100,HLOOKUP(INDIRECT(ADDRESS(2,COLUMN())),OFFSET($AT$2,0,0,ROW()-1,40),ROW()-1,FALSE))</f>
        <v/>
      </c>
      <c r="O130" t="str">
        <f ca="1">IF(AND($B$294=1,LEN($O$257) * LEN($O$250)&gt;0),$O$257/$O$250*100,HLOOKUP(INDIRECT(ADDRESS(2,COLUMN())),OFFSET($AT$2,0,0,ROW()-1,40),ROW()-1,FALSE))</f>
        <v/>
      </c>
      <c r="P130" t="str">
        <f ca="1">IF(AND($B$294=1,LEN($P$257) * LEN($P$250)&gt;0),$P$257/$P$250*100,HLOOKUP(INDIRECT(ADDRESS(2,COLUMN())),OFFSET($AT$2,0,0,ROW()-1,40),ROW()-1,FALSE))</f>
        <v/>
      </c>
      <c r="Q130" t="str">
        <f ca="1">IF(AND($B$294=1,LEN($Q$257) * LEN($Q$250)&gt;0),$Q$257/$Q$250*100,HLOOKUP(INDIRECT(ADDRESS(2,COLUMN())),OFFSET($AT$2,0,0,ROW()-1,40),ROW()-1,FALSE))</f>
        <v/>
      </c>
      <c r="R130" t="str">
        <f ca="1">IF(AND($B$294=1,LEN($R$257) * LEN($R$250)&gt;0),$R$257/$R$250*100,HLOOKUP(INDIRECT(ADDRESS(2,COLUMN())),OFFSET($AT$2,0,0,ROW()-1,40),ROW()-1,FALSE))</f>
        <v/>
      </c>
      <c r="S130" t="str">
        <f ca="1">IF(AND($B$294=1,LEN($S$257) * LEN($S$250)&gt;0),$S$257/$S$250*100,HLOOKUP(INDIRECT(ADDRESS(2,COLUMN())),OFFSET($AT$2,0,0,ROW()-1,40),ROW()-1,FALSE))</f>
        <v/>
      </c>
      <c r="T130" t="str">
        <f ca="1">IF(AND($B$294=1,LEN($T$257) * LEN($T$250)&gt;0),$T$257/$T$250*100,HLOOKUP(INDIRECT(ADDRESS(2,COLUMN())),OFFSET($AT$2,0,0,ROW()-1,40),ROW()-1,FALSE))</f>
        <v/>
      </c>
      <c r="U130" t="str">
        <f ca="1">IF(AND($B$294=1,LEN($U$257) * LEN($U$250)&gt;0),$U$257/$U$250*100,HLOOKUP(INDIRECT(ADDRESS(2,COLUMN())),OFFSET($AT$2,0,0,ROW()-1,40),ROW()-1,FALSE))</f>
        <v/>
      </c>
      <c r="V130" t="str">
        <f ca="1">IF(AND($B$294=1,LEN($V$257) * LEN($V$250)&gt;0),$V$257/$V$250*100,HLOOKUP(INDIRECT(ADDRESS(2,COLUMN())),OFFSET($AT$2,0,0,ROW()-1,40),ROW()-1,FALSE))</f>
        <v/>
      </c>
      <c r="W130" t="str">
        <f ca="1">IF(AND($B$294=1,LEN($W$257) * LEN($W$250)&gt;0),$W$257/$W$250*100,HLOOKUP(INDIRECT(ADDRESS(2,COLUMN())),OFFSET($AT$2,0,0,ROW()-1,40),ROW()-1,FALSE))</f>
        <v/>
      </c>
      <c r="X130" t="str">
        <f ca="1">IF(AND($B$294=1,LEN($X$257) * LEN($X$250)&gt;0),$X$257/$X$250*100,HLOOKUP(INDIRECT(ADDRESS(2,COLUMN())),OFFSET($AT$2,0,0,ROW()-1,40),ROW()-1,FALSE))</f>
        <v/>
      </c>
      <c r="Y130" t="str">
        <f ca="1">IF(AND($B$294=1,LEN($Y$257) * LEN($Y$250)&gt;0),$Y$257/$Y$250*100,HLOOKUP(INDIRECT(ADDRESS(2,COLUMN())),OFFSET($AT$2,0,0,ROW()-1,40),ROW()-1,FALSE))</f>
        <v/>
      </c>
      <c r="Z130" t="str">
        <f ca="1">IF(AND($B$294=1,LEN($Z$257) * LEN($Z$250)&gt;0),$Z$257/$Z$250*100,HLOOKUP(INDIRECT(ADDRESS(2,COLUMN())),OFFSET($AT$2,0,0,ROW()-1,40),ROW()-1,FALSE))</f>
        <v/>
      </c>
      <c r="AA130" t="str">
        <f ca="1">IF(AND($B$294=1,LEN($AA$257) * LEN($AA$250)&gt;0),$AA$257/$AA$250*100,HLOOKUP(INDIRECT(ADDRESS(2,COLUMN())),OFFSET($AT$2,0,0,ROW()-1,40),ROW()-1,FALSE))</f>
        <v/>
      </c>
      <c r="AB130" t="str">
        <f ca="1">IF(AND($B$294=1,LEN($AB$257) * LEN($AB$250)&gt;0),$AB$257/$AB$250*100,HLOOKUP(INDIRECT(ADDRESS(2,COLUMN())),OFFSET($AT$2,0,0,ROW()-1,40),ROW()-1,FALSE))</f>
        <v/>
      </c>
      <c r="AC130" t="str">
        <f ca="1">IF(AND($B$294=1,LEN($AC$257) * LEN($AC$250)&gt;0),$AC$257/$AC$250*100,HLOOKUP(INDIRECT(ADDRESS(2,COLUMN())),OFFSET($AT$2,0,0,ROW()-1,40),ROW()-1,FALSE))</f>
        <v/>
      </c>
      <c r="AD130" t="str">
        <f ca="1">IF(AND($B$294=1,LEN($AD$257) * LEN($AD$250)&gt;0),$AD$257/$AD$250*100,HLOOKUP(INDIRECT(ADDRESS(2,COLUMN())),OFFSET($AT$2,0,0,ROW()-1,40),ROW()-1,FALSE))</f>
        <v/>
      </c>
      <c r="AE130" t="str">
        <f ca="1">IF(AND($B$294=1,LEN($AE$257) * LEN($AE$250)&gt;0),$AE$257/$AE$250*100,HLOOKUP(INDIRECT(ADDRESS(2,COLUMN())),OFFSET($AT$2,0,0,ROW()-1,40),ROW()-1,FALSE))</f>
        <v/>
      </c>
      <c r="AF130" t="str">
        <f ca="1">IF(AND($B$294=1,LEN($AF$257) * LEN($AF$250)&gt;0),$AF$257/$AF$250*100,HLOOKUP(INDIRECT(ADDRESS(2,COLUMN())),OFFSET($AT$2,0,0,ROW()-1,40),ROW()-1,FALSE))</f>
        <v/>
      </c>
      <c r="AG130" t="str">
        <f ca="1">IF(AND($B$294=1,LEN($AG$257) * LEN($AG$250)&gt;0),$AG$257/$AG$250*100,HLOOKUP(INDIRECT(ADDRESS(2,COLUMN())),OFFSET($AT$2,0,0,ROW()-1,40),ROW()-1,FALSE))</f>
        <v/>
      </c>
      <c r="AH130" t="str">
        <f ca="1">IF(AND($B$294=1,LEN($AH$257) * LEN($AH$250)&gt;0),$AH$257/$AH$250*100,HLOOKUP(INDIRECT(ADDRESS(2,COLUMN())),OFFSET($AT$2,0,0,ROW()-1,40),ROW()-1,FALSE))</f>
        <v/>
      </c>
      <c r="AI130" t="str">
        <f ca="1">IF(AND($B$294=1,LEN($AI$257) * LEN($AI$250)&gt;0),$AI$257/$AI$250*100,HLOOKUP(INDIRECT(ADDRESS(2,COLUMN())),OFFSET($AT$2,0,0,ROW()-1,40),ROW()-1,FALSE))</f>
        <v/>
      </c>
      <c r="AJ130" t="str">
        <f ca="1">IF(AND($B$294=1,LEN($AJ$257) * LEN($AJ$250)&gt;0),$AJ$257/$AJ$250*100,HLOOKUP(INDIRECT(ADDRESS(2,COLUMN())),OFFSET($AT$2,0,0,ROW()-1,40),ROW()-1,FALSE))</f>
        <v/>
      </c>
      <c r="AK130" t="str">
        <f ca="1">IF(AND($B$294=1,LEN($AK$257) * LEN($AK$250)&gt;0),$AK$257/$AK$250*100,HLOOKUP(INDIRECT(ADDRESS(2,COLUMN())),OFFSET($AT$2,0,0,ROW()-1,40),ROW()-1,FALSE))</f>
        <v/>
      </c>
      <c r="AL130" t="str">
        <f ca="1">IF(AND($B$294=1,LEN($AL$257) * LEN($AL$250)&gt;0),$AL$257/$AL$250*100,HLOOKUP(INDIRECT(ADDRESS(2,COLUMN())),OFFSET($AT$2,0,0,ROW()-1,40),ROW()-1,FALSE))</f>
        <v/>
      </c>
      <c r="AM130" t="str">
        <f ca="1">IF(AND($B$294=1,LEN($AM$257) * LEN($AM$250)&gt;0),$AM$257/$AM$250*100,HLOOKUP(INDIRECT(ADDRESS(2,COLUMN())),OFFSET($AT$2,0,0,ROW()-1,40),ROW()-1,FALSE))</f>
        <v/>
      </c>
      <c r="AN130" t="str">
        <f ca="1">IF(AND($B$294=1,LEN($AN$257) * LEN($AN$250)&gt;0),$AN$257/$AN$250*100,HLOOKUP(INDIRECT(ADDRESS(2,COLUMN())),OFFSET($AT$2,0,0,ROW()-1,40),ROW()-1,FALSE))</f>
        <v/>
      </c>
      <c r="AO130" t="str">
        <f ca="1">IF(AND($B$294=1,LEN($AO$257) * LEN($AO$250)&gt;0),$AO$257/$AO$250*100,HLOOKUP(INDIRECT(ADDRESS(2,COLUMN())),OFFSET($AT$2,0,0,ROW()-1,40),ROW()-1,FALSE))</f>
        <v/>
      </c>
      <c r="AP130" t="str">
        <f ca="1">IF(AND($B$294=1,LEN($AP$257) * LEN($AP$250)&gt;0),$AP$257/$AP$250*100,HLOOKUP(INDIRECT(ADDRESS(2,COLUMN())),OFFSET($AT$2,0,0,ROW()-1,40),ROW()-1,FALSE))</f>
        <v/>
      </c>
      <c r="AQ130" t="str">
        <f ca="1">IF(AND($B$294=1,LEN($AQ$257) * LEN($AQ$250)&gt;0),$AQ$257/$AQ$250*100,HLOOKUP(INDIRECT(ADDRESS(2,COLUMN())),OFFSET($AT$2,0,0,ROW()-1,40),ROW()-1,FALSE))</f>
        <v/>
      </c>
      <c r="AR130" t="str">
        <f ca="1">IF(AND($B$294=1,LEN($AR$257) * LEN($AR$250)&gt;0),$AR$257/$AR$250*100,HLOOKUP(INDIRECT(ADDRESS(2,COLUMN())),OFFSET($AT$2,0,0,ROW()-1,40),ROW()-1,FALSE))</f>
        <v/>
      </c>
      <c r="AS130" t="str">
        <f ca="1">IF(AND($B$294=1,LEN($AS$257) * LEN($AS$250)&gt;0),$AS$257/$AS$250*100,HLOOKUP(INDIRECT(ADDRESS(2,COLUMN())),OFFSET($AT$2,0,0,ROW()-1,40),ROW()-1,FALSE))</f>
        <v/>
      </c>
      <c r="AT130" t="str">
        <f>""</f>
        <v/>
      </c>
      <c r="AU130" t="str">
        <f>""</f>
        <v/>
      </c>
      <c r="AV130" t="str">
        <f>""</f>
        <v/>
      </c>
      <c r="AW130" t="str">
        <f>""</f>
        <v/>
      </c>
      <c r="AX130" t="str">
        <f>""</f>
        <v/>
      </c>
      <c r="AY130" t="str">
        <f>""</f>
        <v/>
      </c>
      <c r="AZ130" t="str">
        <f>""</f>
        <v/>
      </c>
      <c r="BA130" t="str">
        <f>""</f>
        <v/>
      </c>
      <c r="BB130" t="str">
        <f>""</f>
        <v/>
      </c>
      <c r="BC130" t="str">
        <f>""</f>
        <v/>
      </c>
      <c r="BD130" t="str">
        <f>""</f>
        <v/>
      </c>
      <c r="BE130" t="str">
        <f>""</f>
        <v/>
      </c>
      <c r="BF130" t="str">
        <f>""</f>
        <v/>
      </c>
      <c r="BG130" t="str">
        <f>""</f>
        <v/>
      </c>
      <c r="BH130" t="str">
        <f>""</f>
        <v/>
      </c>
      <c r="BI130" t="str">
        <f>""</f>
        <v/>
      </c>
      <c r="BJ130" t="str">
        <f>""</f>
        <v/>
      </c>
      <c r="BK130" t="str">
        <f>""</f>
        <v/>
      </c>
      <c r="BL130" t="str">
        <f>""</f>
        <v/>
      </c>
      <c r="BM130" t="str">
        <f>""</f>
        <v/>
      </c>
      <c r="BN130" t="str">
        <f>""</f>
        <v/>
      </c>
      <c r="BO130" t="str">
        <f>""</f>
        <v/>
      </c>
      <c r="BP130" t="str">
        <f>""</f>
        <v/>
      </c>
      <c r="BQ130" t="str">
        <f>""</f>
        <v/>
      </c>
      <c r="BR130" t="str">
        <f>""</f>
        <v/>
      </c>
      <c r="BS130" t="str">
        <f>""</f>
        <v/>
      </c>
      <c r="BT130" t="str">
        <f>""</f>
        <v/>
      </c>
      <c r="BU130" t="str">
        <f>""</f>
        <v/>
      </c>
      <c r="BV130" t="str">
        <f>""</f>
        <v/>
      </c>
      <c r="BW130" t="str">
        <f>""</f>
        <v/>
      </c>
      <c r="BX130" t="str">
        <f>""</f>
        <v/>
      </c>
      <c r="BY130" t="str">
        <f>""</f>
        <v/>
      </c>
      <c r="BZ130" t="str">
        <f>""</f>
        <v/>
      </c>
      <c r="CA130" t="str">
        <f>""</f>
        <v/>
      </c>
      <c r="CB130" t="str">
        <f>""</f>
        <v/>
      </c>
      <c r="CC130" t="str">
        <f>""</f>
        <v/>
      </c>
      <c r="CD130" t="str">
        <f>""</f>
        <v/>
      </c>
      <c r="CE130" t="str">
        <f>""</f>
        <v/>
      </c>
      <c r="CF130" t="str">
        <f>""</f>
        <v/>
      </c>
      <c r="CG130" t="str">
        <f>""</f>
        <v/>
      </c>
    </row>
    <row r="131" spans="1:85" x14ac:dyDescent="0.25">
      <c r="A131" t="str">
        <f>"    Hino"</f>
        <v xml:space="preserve">    Hino</v>
      </c>
      <c r="B131" t="str">
        <f>"7205 JP Equity"</f>
        <v>7205 JP Equity</v>
      </c>
      <c r="E131" t="str">
        <f t="shared" si="2"/>
        <v>Expression</v>
      </c>
      <c r="F131">
        <f ca="1">IF(AND($B$294=1,LEN($F$258) * LEN($F$250)&gt;0),$F$258/$F$250*100,HLOOKUP(INDIRECT(ADDRESS(2,COLUMN())),OFFSET($AT$2,0,0,ROW()-1,40),ROW()-1,FALSE))</f>
        <v>19.565217390000001</v>
      </c>
      <c r="G131">
        <f ca="1">IF(AND($B$294=1,LEN($G$258) * LEN($G$250)&gt;0),$G$258/$G$250*100,HLOOKUP(INDIRECT(ADDRESS(2,COLUMN())),OFFSET($AT$2,0,0,ROW()-1,40),ROW()-1,FALSE))</f>
        <v>18.13602015</v>
      </c>
      <c r="H131">
        <f ca="1">IF(AND($B$294=1,LEN($H$258) * LEN($H$250)&gt;0),$H$258/$H$250*100,HLOOKUP(INDIRECT(ADDRESS(2,COLUMN())),OFFSET($AT$2,0,0,ROW()-1,40),ROW()-1,FALSE))</f>
        <v>30.76923077</v>
      </c>
      <c r="I131">
        <f ca="1">IF(AND($B$294=1,LEN($I$258) * LEN($I$250)&gt;0),$I$258/$I$250*100,HLOOKUP(INDIRECT(ADDRESS(2,COLUMN())),OFFSET($AT$2,0,0,ROW()-1,40),ROW()-1,FALSE))</f>
        <v>27.037773359999999</v>
      </c>
      <c r="J131">
        <f ca="1">IF(AND($B$294=1,LEN($J$258) * LEN($J$250)&gt;0),$J$258/$J$250*100,HLOOKUP(INDIRECT(ADDRESS(2,COLUMN())),OFFSET($AT$2,0,0,ROW()-1,40),ROW()-1,FALSE))</f>
        <v>31.390134530000001</v>
      </c>
      <c r="K131">
        <f ca="1">IF(AND($B$294=1,LEN($K$258) * LEN($K$250)&gt;0),$K$258/$K$250*100,HLOOKUP(INDIRECT(ADDRESS(2,COLUMN())),OFFSET($AT$2,0,0,ROW()-1,40),ROW()-1,FALSE))</f>
        <v>30.8411215</v>
      </c>
      <c r="L131">
        <f ca="1">IF(AND($B$294=1,LEN($L$258) * LEN($L$250)&gt;0),$L$258/$L$250*100,HLOOKUP(INDIRECT(ADDRESS(2,COLUMN())),OFFSET($AT$2,0,0,ROW()-1,40),ROW()-1,FALSE))</f>
        <v>27.050610819999999</v>
      </c>
      <c r="M131">
        <f ca="1">IF(AND($B$294=1,LEN($M$258) * LEN($M$250)&gt;0),$M$258/$M$250*100,HLOOKUP(INDIRECT(ADDRESS(2,COLUMN())),OFFSET($AT$2,0,0,ROW()-1,40),ROW()-1,FALSE))</f>
        <v>29.211087419999998</v>
      </c>
      <c r="N131">
        <f ca="1">IF(AND($B$294=1,LEN($N$258) * LEN($N$250)&gt;0),$N$258/$N$250*100,HLOOKUP(INDIRECT(ADDRESS(2,COLUMN())),OFFSET($AT$2,0,0,ROW()-1,40),ROW()-1,FALSE))</f>
        <v>30.866807609999999</v>
      </c>
      <c r="O131">
        <f ca="1">IF(AND($B$294=1,LEN($O$258) * LEN($O$250)&gt;0),$O$258/$O$250*100,HLOOKUP(INDIRECT(ADDRESS(2,COLUMN())),OFFSET($AT$2,0,0,ROW()-1,40),ROW()-1,FALSE))</f>
        <v>36.792452830000002</v>
      </c>
      <c r="P131">
        <f ca="1">IF(AND($B$294=1,LEN($P$258) * LEN($P$250)&gt;0),$P$258/$P$250*100,HLOOKUP(INDIRECT(ADDRESS(2,COLUMN())),OFFSET($AT$2,0,0,ROW()-1,40),ROW()-1,FALSE))</f>
        <v>29.757785470000002</v>
      </c>
      <c r="Q131">
        <f ca="1">IF(AND($B$294=1,LEN($Q$258) * LEN($Q$250)&gt;0),$Q$258/$Q$250*100,HLOOKUP(INDIRECT(ADDRESS(2,COLUMN())),OFFSET($AT$2,0,0,ROW()-1,40),ROW()-1,FALSE))</f>
        <v>27.386934669999999</v>
      </c>
      <c r="R131">
        <f ca="1">IF(AND($B$294=1,LEN($R$258) * LEN($R$250)&gt;0),$R$258/$R$250*100,HLOOKUP(INDIRECT(ADDRESS(2,COLUMN())),OFFSET($AT$2,0,0,ROW()-1,40),ROW()-1,FALSE))</f>
        <v>24.934383199999999</v>
      </c>
      <c r="S131">
        <f ca="1">IF(AND($B$294=1,LEN($S$258) * LEN($S$250)&gt;0),$S$258/$S$250*100,HLOOKUP(INDIRECT(ADDRESS(2,COLUMN())),OFFSET($AT$2,0,0,ROW()-1,40),ROW()-1,FALSE))</f>
        <v>16.3029525</v>
      </c>
      <c r="T131">
        <f ca="1">IF(AND($B$294=1,LEN($T$258) * LEN($T$250)&gt;0),$T$258/$T$250*100,HLOOKUP(INDIRECT(ADDRESS(2,COLUMN())),OFFSET($AT$2,0,0,ROW()-1,40),ROW()-1,FALSE))</f>
        <v>18.039215689999999</v>
      </c>
      <c r="U131">
        <f ca="1">IF(AND($B$294=1,LEN($U$258) * LEN($U$250)&gt;0),$U$258/$U$250*100,HLOOKUP(INDIRECT(ADDRESS(2,COLUMN())),OFFSET($AT$2,0,0,ROW()-1,40),ROW()-1,FALSE))</f>
        <v>34.306569340000003</v>
      </c>
      <c r="V131">
        <f ca="1">IF(AND($B$294=1,LEN($V$258) * LEN($V$250)&gt;0),$V$258/$V$250*100,HLOOKUP(INDIRECT(ADDRESS(2,COLUMN())),OFFSET($AT$2,0,0,ROW()-1,40),ROW()-1,FALSE))</f>
        <v>23.502304150000001</v>
      </c>
      <c r="W131">
        <f ca="1">IF(AND($B$294=1,LEN($W$258) * LEN($W$250)&gt;0),$W$258/$W$250*100,HLOOKUP(INDIRECT(ADDRESS(2,COLUMN())),OFFSET($AT$2,0,0,ROW()-1,40),ROW()-1,FALSE))</f>
        <v>33.183856499999997</v>
      </c>
      <c r="X131">
        <f ca="1">IF(AND($B$294=1,LEN($X$258) * LEN($X$250)&gt;0),$X$258/$X$250*100,HLOOKUP(INDIRECT(ADDRESS(2,COLUMN())),OFFSET($AT$2,0,0,ROW()-1,40),ROW()-1,FALSE))</f>
        <v>23.25581395</v>
      </c>
      <c r="Y131">
        <f ca="1">IF(AND($B$294=1,LEN($Y$258) * LEN($Y$250)&gt;0),$Y$258/$Y$250*100,HLOOKUP(INDIRECT(ADDRESS(2,COLUMN())),OFFSET($AT$2,0,0,ROW()-1,40),ROW()-1,FALSE))</f>
        <v>23.059360730000002</v>
      </c>
      <c r="Z131">
        <f ca="1">IF(AND($B$294=1,LEN($Z$258) * LEN($Z$250)&gt;0),$Z$258/$Z$250*100,HLOOKUP(INDIRECT(ADDRESS(2,COLUMN())),OFFSET($AT$2,0,0,ROW()-1,40),ROW()-1,FALSE))</f>
        <v>25.051759830000002</v>
      </c>
      <c r="AA131">
        <f ca="1">IF(AND($B$294=1,LEN($AA$258) * LEN($AA$250)&gt;0),$AA$258/$AA$250*100,HLOOKUP(INDIRECT(ADDRESS(2,COLUMN())),OFFSET($AT$2,0,0,ROW()-1,40),ROW()-1,FALSE))</f>
        <v>30.311614729999999</v>
      </c>
      <c r="AB131">
        <f ca="1">IF(AND($B$294=1,LEN($AB$258) * LEN($AB$250)&gt;0),$AB$258/$AB$250*100,HLOOKUP(INDIRECT(ADDRESS(2,COLUMN())),OFFSET($AT$2,0,0,ROW()-1,40),ROW()-1,FALSE))</f>
        <v>30.051813469999999</v>
      </c>
      <c r="AC131">
        <f ca="1">IF(AND($B$294=1,LEN($AC$258) * LEN($AC$250)&gt;0),$AC$258/$AC$250*100,HLOOKUP(INDIRECT(ADDRESS(2,COLUMN())),OFFSET($AT$2,0,0,ROW()-1,40),ROW()-1,FALSE))</f>
        <v>28.81355932</v>
      </c>
      <c r="AD131">
        <f ca="1">IF(AND($B$294=1,LEN($AD$258) * LEN($AD$250)&gt;0),$AD$258/$AD$250*100,HLOOKUP(INDIRECT(ADDRESS(2,COLUMN())),OFFSET($AT$2,0,0,ROW()-1,40),ROW()-1,FALSE))</f>
        <v>18.067226890000001</v>
      </c>
      <c r="AE131">
        <f ca="1">IF(AND($B$294=1,LEN($AE$258) * LEN($AE$250)&gt;0),$AE$258/$AE$250*100,HLOOKUP(INDIRECT(ADDRESS(2,COLUMN())),OFFSET($AT$2,0,0,ROW()-1,40),ROW()-1,FALSE))</f>
        <v>7.5453677170000004</v>
      </c>
      <c r="AF131">
        <f ca="1">IF(AND($B$294=1,LEN($AF$258) * LEN($AF$250)&gt;0),$AF$258/$AF$250*100,HLOOKUP(INDIRECT(ADDRESS(2,COLUMN())),OFFSET($AT$2,0,0,ROW()-1,40),ROW()-1,FALSE))</f>
        <v>20.388349510000001</v>
      </c>
      <c r="AG131">
        <f ca="1">IF(AND($B$294=1,LEN($AG$258) * LEN($AG$250)&gt;0),$AG$258/$AG$250*100,HLOOKUP(INDIRECT(ADDRESS(2,COLUMN())),OFFSET($AT$2,0,0,ROW()-1,40),ROW()-1,FALSE))</f>
        <v>19.583333329999999</v>
      </c>
      <c r="AH131">
        <f ca="1">IF(AND($B$294=1,LEN($AH$258) * LEN($AH$250)&gt;0),$AH$258/$AH$250*100,HLOOKUP(INDIRECT(ADDRESS(2,COLUMN())),OFFSET($AT$2,0,0,ROW()-1,40),ROW()-1,FALSE))</f>
        <v>18.99441341</v>
      </c>
      <c r="AI131">
        <f ca="1">IF(AND($B$294=1,LEN($AI$258) * LEN($AI$250)&gt;0),$AI$258/$AI$250*100,HLOOKUP(INDIRECT(ADDRESS(2,COLUMN())),OFFSET($AT$2,0,0,ROW()-1,40),ROW()-1,FALSE))</f>
        <v>15.823817289999999</v>
      </c>
      <c r="AJ131">
        <f ca="1">IF(AND($B$294=1,LEN($AJ$258) * LEN($AJ$250)&gt;0),$AJ$258/$AJ$250*100,HLOOKUP(INDIRECT(ADDRESS(2,COLUMN())),OFFSET($AT$2,0,0,ROW()-1,40),ROW()-1,FALSE))</f>
        <v>19.61538462</v>
      </c>
      <c r="AK131">
        <f ca="1">IF(AND($B$294=1,LEN($AK$258) * LEN($AK$250)&gt;0),$AK$258/$AK$250*100,HLOOKUP(INDIRECT(ADDRESS(2,COLUMN())),OFFSET($AT$2,0,0,ROW()-1,40),ROW()-1,FALSE))</f>
        <v>15.86452763</v>
      </c>
      <c r="AL131">
        <f ca="1">IF(AND($B$294=1,LEN($AL$258) * LEN($AL$250)&gt;0),$AL$258/$AL$250*100,HLOOKUP(INDIRECT(ADDRESS(2,COLUMN())),OFFSET($AT$2,0,0,ROW()-1,40),ROW()-1,FALSE))</f>
        <v>13.0859375</v>
      </c>
      <c r="AM131">
        <f ca="1">IF(AND($B$294=1,LEN($AM$258) * LEN($AM$250)&gt;0),$AM$258/$AM$250*100,HLOOKUP(INDIRECT(ADDRESS(2,COLUMN())),OFFSET($AT$2,0,0,ROW()-1,40),ROW()-1,FALSE))</f>
        <v>17.55102041</v>
      </c>
      <c r="AN131">
        <f ca="1">IF(AND($B$294=1,LEN($AN$258) * LEN($AN$250)&gt;0),$AN$258/$AN$250*100,HLOOKUP(INDIRECT(ADDRESS(2,COLUMN())),OFFSET($AT$2,0,0,ROW()-1,40),ROW()-1,FALSE))</f>
        <v>18.906605920000001</v>
      </c>
      <c r="AO131">
        <f ca="1">IF(AND($B$294=1,LEN($AO$258) * LEN($AO$250)&gt;0),$AO$258/$AO$250*100,HLOOKUP(INDIRECT(ADDRESS(2,COLUMN())),OFFSET($AT$2,0,0,ROW()-1,40),ROW()-1,FALSE))</f>
        <v>19.814241490000001</v>
      </c>
      <c r="AP131">
        <f ca="1">IF(AND($B$294=1,LEN($AP$258) * LEN($AP$250)&gt;0),$AP$258/$AP$250*100,HLOOKUP(INDIRECT(ADDRESS(2,COLUMN())),OFFSET($AT$2,0,0,ROW()-1,40),ROW()-1,FALSE))</f>
        <v>13.00191205</v>
      </c>
      <c r="AQ131">
        <f ca="1">IF(AND($B$294=1,LEN($AQ$258) * LEN($AQ$250)&gt;0),$AQ$258/$AQ$250*100,HLOOKUP(INDIRECT(ADDRESS(2,COLUMN())),OFFSET($AT$2,0,0,ROW()-1,40),ROW()-1,FALSE))</f>
        <v>7.8976640710000003</v>
      </c>
      <c r="AR131">
        <f ca="1">IF(AND($B$294=1,LEN($AR$258) * LEN($AR$250)&gt;0),$AR$258/$AR$250*100,HLOOKUP(INDIRECT(ADDRESS(2,COLUMN())),OFFSET($AT$2,0,0,ROW()-1,40),ROW()-1,FALSE))</f>
        <v>14.94845361</v>
      </c>
      <c r="AS131">
        <f ca="1">IF(AND($B$294=1,LEN($AS$258) * LEN($AS$250)&gt;0),$AS$258/$AS$250*100,HLOOKUP(INDIRECT(ADDRESS(2,COLUMN())),OFFSET($AT$2,0,0,ROW()-1,40),ROW()-1,FALSE))</f>
        <v>16.781609199999998</v>
      </c>
      <c r="AT131">
        <f>19.56521739</f>
        <v>19.565217390000001</v>
      </c>
      <c r="AU131">
        <f>18.13602015</f>
        <v>18.13602015</v>
      </c>
      <c r="AV131">
        <f>30.76923077</f>
        <v>30.76923077</v>
      </c>
      <c r="AW131">
        <f>27.03777336</f>
        <v>27.037773359999999</v>
      </c>
      <c r="AX131">
        <f>31.39013453</f>
        <v>31.390134530000001</v>
      </c>
      <c r="AY131">
        <f>30.8411215</f>
        <v>30.8411215</v>
      </c>
      <c r="AZ131">
        <f>27.05061082</f>
        <v>27.050610819999999</v>
      </c>
      <c r="BA131">
        <f>29.21108742</f>
        <v>29.211087419999998</v>
      </c>
      <c r="BB131">
        <f>30.86680761</f>
        <v>30.866807609999999</v>
      </c>
      <c r="BC131">
        <f>36.79245283</f>
        <v>36.792452830000002</v>
      </c>
      <c r="BD131">
        <f>29.75778547</f>
        <v>29.757785470000002</v>
      </c>
      <c r="BE131">
        <f>27.38693467</f>
        <v>27.386934669999999</v>
      </c>
      <c r="BF131">
        <f>24.9343832</f>
        <v>24.934383199999999</v>
      </c>
      <c r="BG131">
        <f>16.3029525</f>
        <v>16.3029525</v>
      </c>
      <c r="BH131">
        <f>18.03921569</f>
        <v>18.039215689999999</v>
      </c>
      <c r="BI131">
        <f>34.30656934</f>
        <v>34.306569340000003</v>
      </c>
      <c r="BJ131">
        <f>23.50230415</f>
        <v>23.502304150000001</v>
      </c>
      <c r="BK131">
        <f>33.1838565</f>
        <v>33.183856499999997</v>
      </c>
      <c r="BL131">
        <f>23.25581395</f>
        <v>23.25581395</v>
      </c>
      <c r="BM131">
        <f>23.05936073</f>
        <v>23.059360730000002</v>
      </c>
      <c r="BN131">
        <f>25.05175983</f>
        <v>25.051759830000002</v>
      </c>
      <c r="BO131">
        <f>30.31161473</f>
        <v>30.311614729999999</v>
      </c>
      <c r="BP131">
        <f>30.05181347</f>
        <v>30.051813469999999</v>
      </c>
      <c r="BQ131">
        <f>28.81355932</f>
        <v>28.81355932</v>
      </c>
      <c r="BR131">
        <f>18.06722689</f>
        <v>18.067226890000001</v>
      </c>
      <c r="BS131">
        <f>7.545367717</f>
        <v>7.5453677170000004</v>
      </c>
      <c r="BT131">
        <f>20.38834951</f>
        <v>20.388349510000001</v>
      </c>
      <c r="BU131">
        <f>19.58333333</f>
        <v>19.583333329999999</v>
      </c>
      <c r="BV131">
        <f>18.99441341</f>
        <v>18.99441341</v>
      </c>
      <c r="BW131">
        <f>15.82381729</f>
        <v>15.823817289999999</v>
      </c>
      <c r="BX131">
        <f>19.61538462</f>
        <v>19.61538462</v>
      </c>
      <c r="BY131">
        <f>15.86452763</f>
        <v>15.86452763</v>
      </c>
      <c r="BZ131">
        <f>13.0859375</f>
        <v>13.0859375</v>
      </c>
      <c r="CA131">
        <f>17.55102041</f>
        <v>17.55102041</v>
      </c>
      <c r="CB131">
        <f>18.90660592</f>
        <v>18.906605920000001</v>
      </c>
      <c r="CC131">
        <f>19.81424149</f>
        <v>19.814241490000001</v>
      </c>
      <c r="CD131">
        <f>13.00191205</f>
        <v>13.00191205</v>
      </c>
      <c r="CE131">
        <f>7.897664071</f>
        <v>7.8976640710000003</v>
      </c>
      <c r="CF131">
        <f>14.94845361</f>
        <v>14.94845361</v>
      </c>
      <c r="CG131">
        <f>16.7816092</f>
        <v>16.781609199999998</v>
      </c>
    </row>
    <row r="132" spans="1:85" x14ac:dyDescent="0.25">
      <c r="A132" t="str">
        <f>"    Ford"</f>
        <v xml:space="preserve">    Ford</v>
      </c>
      <c r="B132" t="str">
        <f>"F US Equity"</f>
        <v>F US Equity</v>
      </c>
      <c r="E132" t="str">
        <f t="shared" si="2"/>
        <v>Expression</v>
      </c>
      <c r="F132">
        <f ca="1">IF(AND($B$294=1,LEN($F$259) * LEN($F$250)&gt;0),$F$259/$F$250*100,HLOOKUP(INDIRECT(ADDRESS(2,COLUMN())),OFFSET($AT$2,0,0,ROW()-1,40),ROW()-1,FALSE))</f>
        <v>2.1739130430000002</v>
      </c>
      <c r="G132">
        <f ca="1">IF(AND($B$294=1,LEN($G$259) * LEN($G$250)&gt;0),$G$259/$G$250*100,HLOOKUP(INDIRECT(ADDRESS(2,COLUMN())),OFFSET($AT$2,0,0,ROW()-1,40),ROW()-1,FALSE))</f>
        <v>2.267002519</v>
      </c>
      <c r="H132">
        <f ca="1">IF(AND($B$294=1,LEN($H$259) * LEN($H$250)&gt;0),$H$259/$H$250*100,HLOOKUP(INDIRECT(ADDRESS(2,COLUMN())),OFFSET($AT$2,0,0,ROW()-1,40),ROW()-1,FALSE))</f>
        <v>3.3333333330000001</v>
      </c>
      <c r="I132">
        <f ca="1">IF(AND($B$294=1,LEN($I$259) * LEN($I$250)&gt;0),$I$259/$I$250*100,HLOOKUP(INDIRECT(ADDRESS(2,COLUMN())),OFFSET($AT$2,0,0,ROW()-1,40),ROW()-1,FALSE))</f>
        <v>3.777335984</v>
      </c>
      <c r="J132">
        <f ca="1">IF(AND($B$294=1,LEN($J$259) * LEN($J$250)&gt;0),$J$259/$J$250*100,HLOOKUP(INDIRECT(ADDRESS(2,COLUMN())),OFFSET($AT$2,0,0,ROW()-1,40),ROW()-1,FALSE))</f>
        <v>4.2600896859999997</v>
      </c>
      <c r="K132">
        <f ca="1">IF(AND($B$294=1,LEN($K$259) * LEN($K$250)&gt;0),$K$259/$K$250*100,HLOOKUP(INDIRECT(ADDRESS(2,COLUMN())),OFFSET($AT$2,0,0,ROW()-1,40),ROW()-1,FALSE))</f>
        <v>2.0560747660000001</v>
      </c>
      <c r="L132">
        <f ca="1">IF(AND($B$294=1,LEN($L$259) * LEN($L$250)&gt;0),$L$259/$L$250*100,HLOOKUP(INDIRECT(ADDRESS(2,COLUMN())),OFFSET($AT$2,0,0,ROW()-1,40),ROW()-1,FALSE))</f>
        <v>2.7923211170000002</v>
      </c>
      <c r="M132">
        <f ca="1">IF(AND($B$294=1,LEN($M$259) * LEN($M$250)&gt;0),$M$259/$M$250*100,HLOOKUP(INDIRECT(ADDRESS(2,COLUMN())),OFFSET($AT$2,0,0,ROW()-1,40),ROW()-1,FALSE))</f>
        <v>1.4925373129999999</v>
      </c>
      <c r="N132">
        <f ca="1">IF(AND($B$294=1,LEN($N$259) * LEN($N$250)&gt;0),$N$259/$N$250*100,HLOOKUP(INDIRECT(ADDRESS(2,COLUMN())),OFFSET($AT$2,0,0,ROW()-1,40),ROW()-1,FALSE))</f>
        <v>4.22832981</v>
      </c>
      <c r="O132">
        <f ca="1">IF(AND($B$294=1,LEN($O$259) * LEN($O$250)&gt;0),$O$259/$O$250*100,HLOOKUP(INDIRECT(ADDRESS(2,COLUMN())),OFFSET($AT$2,0,0,ROW()-1,40),ROW()-1,FALSE))</f>
        <v>2.2012578619999998</v>
      </c>
      <c r="P132">
        <f ca="1">IF(AND($B$294=1,LEN($P$259) * LEN($P$250)&gt;0),$P$259/$P$250*100,HLOOKUP(INDIRECT(ADDRESS(2,COLUMN())),OFFSET($AT$2,0,0,ROW()-1,40),ROW()-1,FALSE))</f>
        <v>3.460207612</v>
      </c>
      <c r="Q132">
        <f ca="1">IF(AND($B$294=1,LEN($Q$259) * LEN($Q$250)&gt;0),$Q$259/$Q$250*100,HLOOKUP(INDIRECT(ADDRESS(2,COLUMN())),OFFSET($AT$2,0,0,ROW()-1,40),ROW()-1,FALSE))</f>
        <v>5.5276381910000003</v>
      </c>
      <c r="R132">
        <f ca="1">IF(AND($B$294=1,LEN($R$259) * LEN($R$250)&gt;0),$R$259/$R$250*100,HLOOKUP(INDIRECT(ADDRESS(2,COLUMN())),OFFSET($AT$2,0,0,ROW()-1,40),ROW()-1,FALSE))</f>
        <v>2.624671916</v>
      </c>
      <c r="S132">
        <f ca="1">IF(AND($B$294=1,LEN($S$259) * LEN($S$250)&gt;0),$S$259/$S$250*100,HLOOKUP(INDIRECT(ADDRESS(2,COLUMN())),OFFSET($AT$2,0,0,ROW()-1,40),ROW()-1,FALSE))</f>
        <v>2.4390243900000002</v>
      </c>
      <c r="T132">
        <f ca="1">IF(AND($B$294=1,LEN($T$259) * LEN($T$250)&gt;0),$T$259/$T$250*100,HLOOKUP(INDIRECT(ADDRESS(2,COLUMN())),OFFSET($AT$2,0,0,ROW()-1,40),ROW()-1,FALSE))</f>
        <v>0.98039215700000004</v>
      </c>
      <c r="U132">
        <f ca="1">IF(AND($B$294=1,LEN($U$259) * LEN($U$250)&gt;0),$U$259/$U$250*100,HLOOKUP(INDIRECT(ADDRESS(2,COLUMN())),OFFSET($AT$2,0,0,ROW()-1,40),ROW()-1,FALSE))</f>
        <v>1.7031630170000001</v>
      </c>
      <c r="V132">
        <f ca="1">IF(AND($B$294=1,LEN($V$259) * LEN($V$250)&gt;0),$V$259/$V$250*100,HLOOKUP(INDIRECT(ADDRESS(2,COLUMN())),OFFSET($AT$2,0,0,ROW()-1,40),ROW()-1,FALSE))</f>
        <v>4.3778801840000003</v>
      </c>
      <c r="W132">
        <f ca="1">IF(AND($B$294=1,LEN($W$259) * LEN($W$250)&gt;0),$W$259/$W$250*100,HLOOKUP(INDIRECT(ADDRESS(2,COLUMN())),OFFSET($AT$2,0,0,ROW()-1,40),ROW()-1,FALSE))</f>
        <v>5.829596413</v>
      </c>
      <c r="X132">
        <f ca="1">IF(AND($B$294=1,LEN($X$259) * LEN($X$250)&gt;0),$X$259/$X$250*100,HLOOKUP(INDIRECT(ADDRESS(2,COLUMN())),OFFSET($AT$2,0,0,ROW()-1,40),ROW()-1,FALSE))</f>
        <v>3.1007751940000001</v>
      </c>
      <c r="Y132">
        <f ca="1">IF(AND($B$294=1,LEN($Y$259) * LEN($Y$250)&gt;0),$Y$259/$Y$250*100,HLOOKUP(INDIRECT(ADDRESS(2,COLUMN())),OFFSET($AT$2,0,0,ROW()-1,40),ROW()-1,FALSE))</f>
        <v>3.4246575340000001</v>
      </c>
      <c r="Z132">
        <f ca="1">IF(AND($B$294=1,LEN($Z$259) * LEN($Z$250)&gt;0),$Z$259/$Z$250*100,HLOOKUP(INDIRECT(ADDRESS(2,COLUMN())),OFFSET($AT$2,0,0,ROW()-1,40),ROW()-1,FALSE))</f>
        <v>2.8985507250000002</v>
      </c>
      <c r="AA132">
        <f ca="1">IF(AND($B$294=1,LEN($AA$259) * LEN($AA$250)&gt;0),$AA$259/$AA$250*100,HLOOKUP(INDIRECT(ADDRESS(2,COLUMN())),OFFSET($AT$2,0,0,ROW()-1,40),ROW()-1,FALSE))</f>
        <v>2.83286119</v>
      </c>
      <c r="AB132">
        <f ca="1">IF(AND($B$294=1,LEN($AB$259) * LEN($AB$250)&gt;0),$AB$259/$AB$250*100,HLOOKUP(INDIRECT(ADDRESS(2,COLUMN())),OFFSET($AT$2,0,0,ROW()-1,40),ROW()-1,FALSE))</f>
        <v>4.1450777199999997</v>
      </c>
      <c r="AC132">
        <f ca="1">IF(AND($B$294=1,LEN($AC$259) * LEN($AC$250)&gt;0),$AC$259/$AC$250*100,HLOOKUP(INDIRECT(ADDRESS(2,COLUMN())),OFFSET($AT$2,0,0,ROW()-1,40),ROW()-1,FALSE))</f>
        <v>3.3898305080000002</v>
      </c>
      <c r="AD132">
        <f ca="1">IF(AND($B$294=1,LEN($AD$259) * LEN($AD$250)&gt;0),$AD$259/$AD$250*100,HLOOKUP(INDIRECT(ADDRESS(2,COLUMN())),OFFSET($AT$2,0,0,ROW()-1,40),ROW()-1,FALSE))</f>
        <v>1.680672269</v>
      </c>
      <c r="AE132">
        <f ca="1">IF(AND($B$294=1,LEN($AE$259) * LEN($AE$250)&gt;0),$AE$259/$AE$250*100,HLOOKUP(INDIRECT(ADDRESS(2,COLUMN())),OFFSET($AT$2,0,0,ROW()-1,40),ROW()-1,FALSE))</f>
        <v>9.5510983999999993E-2</v>
      </c>
      <c r="AF132">
        <f ca="1">IF(AND($B$294=1,LEN($AF$259) * LEN($AF$250)&gt;0),$AF$259/$AF$250*100,HLOOKUP(INDIRECT(ADDRESS(2,COLUMN())),OFFSET($AT$2,0,0,ROW()-1,40),ROW()-1,FALSE))</f>
        <v>0.48543689299999998</v>
      </c>
      <c r="AG132">
        <f ca="1">IF(AND($B$294=1,LEN($AG$259) * LEN($AG$250)&gt;0),$AG$259/$AG$250*100,HLOOKUP(INDIRECT(ADDRESS(2,COLUMN())),OFFSET($AT$2,0,0,ROW()-1,40),ROW()-1,FALSE))</f>
        <v>1.25</v>
      </c>
      <c r="AH132">
        <f ca="1">IF(AND($B$294=1,LEN($AH$259) * LEN($AH$250)&gt;0),$AH$259/$AH$250*100,HLOOKUP(INDIRECT(ADDRESS(2,COLUMN())),OFFSET($AT$2,0,0,ROW()-1,40),ROW()-1,FALSE))</f>
        <v>1.4897579139999999</v>
      </c>
      <c r="AI132">
        <f ca="1">IF(AND($B$294=1,LEN($AI$259) * LEN($AI$250)&gt;0),$AI$259/$AI$250*100,HLOOKUP(INDIRECT(ADDRESS(2,COLUMN())),OFFSET($AT$2,0,0,ROW()-1,40),ROW()-1,FALSE))</f>
        <v>1.4681892329999999</v>
      </c>
      <c r="AJ132">
        <f ca="1">IF(AND($B$294=1,LEN($AJ$259) * LEN($AJ$250)&gt;0),$AJ$259/$AJ$250*100,HLOOKUP(INDIRECT(ADDRESS(2,COLUMN())),OFFSET($AT$2,0,0,ROW()-1,40),ROW()-1,FALSE))</f>
        <v>1.538461538</v>
      </c>
      <c r="AK132">
        <f ca="1">IF(AND($B$294=1,LEN($AK$259) * LEN($AK$250)&gt;0),$AK$259/$AK$250*100,HLOOKUP(INDIRECT(ADDRESS(2,COLUMN())),OFFSET($AT$2,0,0,ROW()-1,40),ROW()-1,FALSE))</f>
        <v>2.3172905529999999</v>
      </c>
      <c r="AL132">
        <f ca="1">IF(AND($B$294=1,LEN($AL$259) * LEN($AL$250)&gt;0),$AL$259/$AL$250*100,HLOOKUP(INDIRECT(ADDRESS(2,COLUMN())),OFFSET($AT$2,0,0,ROW()-1,40),ROW()-1,FALSE))</f>
        <v>0.78125</v>
      </c>
      <c r="AM132">
        <f ca="1">IF(AND($B$294=1,LEN($AM$259) * LEN($AM$250)&gt;0),$AM$259/$AM$250*100,HLOOKUP(INDIRECT(ADDRESS(2,COLUMN())),OFFSET($AT$2,0,0,ROW()-1,40),ROW()-1,FALSE))</f>
        <v>3.673469388</v>
      </c>
      <c r="AN132">
        <f ca="1">IF(AND($B$294=1,LEN($AN$259) * LEN($AN$250)&gt;0),$AN$259/$AN$250*100,HLOOKUP(INDIRECT(ADDRESS(2,COLUMN())),OFFSET($AT$2,0,0,ROW()-1,40),ROW()-1,FALSE))</f>
        <v>3.416856492</v>
      </c>
      <c r="AO132">
        <f ca="1">IF(AND($B$294=1,LEN($AO$259) * LEN($AO$250)&gt;0),$AO$259/$AO$250*100,HLOOKUP(INDIRECT(ADDRESS(2,COLUMN())),OFFSET($AT$2,0,0,ROW()-1,40),ROW()-1,FALSE))</f>
        <v>3.4055727550000001</v>
      </c>
      <c r="AP132">
        <f ca="1">IF(AND($B$294=1,LEN($AP$259) * LEN($AP$250)&gt;0),$AP$259/$AP$250*100,HLOOKUP(INDIRECT(ADDRESS(2,COLUMN())),OFFSET($AT$2,0,0,ROW()-1,40),ROW()-1,FALSE))</f>
        <v>2.1032504780000001</v>
      </c>
      <c r="AQ132">
        <f ca="1">IF(AND($B$294=1,LEN($AQ$259) * LEN($AQ$250)&gt;0),$AQ$259/$AQ$250*100,HLOOKUP(INDIRECT(ADDRESS(2,COLUMN())),OFFSET($AT$2,0,0,ROW()-1,40),ROW()-1,FALSE))</f>
        <v>1.4460511680000001</v>
      </c>
      <c r="AR132">
        <f ca="1">IF(AND($B$294=1,LEN($AR$259) * LEN($AR$250)&gt;0),$AR$259/$AR$250*100,HLOOKUP(INDIRECT(ADDRESS(2,COLUMN())),OFFSET($AT$2,0,0,ROW()-1,40),ROW()-1,FALSE))</f>
        <v>4.8969072159999998</v>
      </c>
      <c r="AS132">
        <f ca="1">IF(AND($B$294=1,LEN($AS$259) * LEN($AS$250)&gt;0),$AS$259/$AS$250*100,HLOOKUP(INDIRECT(ADDRESS(2,COLUMN())),OFFSET($AT$2,0,0,ROW()-1,40),ROW()-1,FALSE))</f>
        <v>2.7586206899999999</v>
      </c>
      <c r="AT132">
        <f>2.173913043</f>
        <v>2.1739130430000002</v>
      </c>
      <c r="AU132">
        <f>2.267002519</f>
        <v>2.267002519</v>
      </c>
      <c r="AV132">
        <f>3.333333333</f>
        <v>3.3333333330000001</v>
      </c>
      <c r="AW132">
        <f>3.777335984</f>
        <v>3.777335984</v>
      </c>
      <c r="AX132">
        <f>4.260089686</f>
        <v>4.2600896859999997</v>
      </c>
      <c r="AY132">
        <f>2.056074766</f>
        <v>2.0560747660000001</v>
      </c>
      <c r="AZ132">
        <f>2.792321117</f>
        <v>2.7923211170000002</v>
      </c>
      <c r="BA132">
        <f>1.492537313</f>
        <v>1.4925373129999999</v>
      </c>
      <c r="BB132">
        <f>4.22832981</f>
        <v>4.22832981</v>
      </c>
      <c r="BC132">
        <f>2.201257862</f>
        <v>2.2012578619999998</v>
      </c>
      <c r="BD132">
        <f>3.460207612</f>
        <v>3.460207612</v>
      </c>
      <c r="BE132">
        <f>5.527638191</f>
        <v>5.5276381910000003</v>
      </c>
      <c r="BF132">
        <f>2.624671916</f>
        <v>2.624671916</v>
      </c>
      <c r="BG132">
        <f>2.43902439</f>
        <v>2.4390243900000002</v>
      </c>
      <c r="BH132">
        <f>0.980392157</f>
        <v>0.98039215700000004</v>
      </c>
      <c r="BI132">
        <f>1.703163017</f>
        <v>1.7031630170000001</v>
      </c>
      <c r="BJ132">
        <f>4.377880184</f>
        <v>4.3778801840000003</v>
      </c>
      <c r="BK132">
        <f>5.829596413</f>
        <v>5.829596413</v>
      </c>
      <c r="BL132">
        <f>3.100775194</f>
        <v>3.1007751940000001</v>
      </c>
      <c r="BM132">
        <f>3.424657534</f>
        <v>3.4246575340000001</v>
      </c>
      <c r="BN132">
        <f>2.898550725</f>
        <v>2.8985507250000002</v>
      </c>
      <c r="BO132">
        <f>2.83286119</f>
        <v>2.83286119</v>
      </c>
      <c r="BP132">
        <f>4.14507772</f>
        <v>4.1450777199999997</v>
      </c>
      <c r="BQ132">
        <f>3.389830508</f>
        <v>3.3898305080000002</v>
      </c>
      <c r="BR132">
        <f>1.680672269</f>
        <v>1.680672269</v>
      </c>
      <c r="BS132">
        <f>0.095510984</f>
        <v>9.5510983999999993E-2</v>
      </c>
      <c r="BT132">
        <f>0.485436893</f>
        <v>0.48543689299999998</v>
      </c>
      <c r="BU132">
        <f>1.25</f>
        <v>1.25</v>
      </c>
      <c r="BV132">
        <f>1.489757914</f>
        <v>1.4897579139999999</v>
      </c>
      <c r="BW132">
        <f>1.468189233</f>
        <v>1.4681892329999999</v>
      </c>
      <c r="BX132">
        <f>1.538461538</f>
        <v>1.538461538</v>
      </c>
      <c r="BY132">
        <f>2.317290553</f>
        <v>2.3172905529999999</v>
      </c>
      <c r="BZ132">
        <f>0.78125</f>
        <v>0.78125</v>
      </c>
      <c r="CA132">
        <f>3.673469388</f>
        <v>3.673469388</v>
      </c>
      <c r="CB132">
        <f>3.416856492</f>
        <v>3.416856492</v>
      </c>
      <c r="CC132">
        <f>3.405572755</f>
        <v>3.4055727550000001</v>
      </c>
      <c r="CD132">
        <f>2.103250478</f>
        <v>2.1032504780000001</v>
      </c>
      <c r="CE132">
        <f>1.446051168</f>
        <v>1.4460511680000001</v>
      </c>
      <c r="CF132">
        <f>4.896907216</f>
        <v>4.8969072159999998</v>
      </c>
      <c r="CG132">
        <f>2.75862069</f>
        <v>2.7586206899999999</v>
      </c>
    </row>
    <row r="133" spans="1:85" x14ac:dyDescent="0.25">
      <c r="A133" t="str">
        <f>"    Isuzu"</f>
        <v xml:space="preserve">    Isuzu</v>
      </c>
      <c r="B133" t="str">
        <f>"7202 JP Equity"</f>
        <v>7202 JP Equity</v>
      </c>
      <c r="E133" t="str">
        <f t="shared" si="2"/>
        <v>Expression</v>
      </c>
      <c r="F133">
        <f ca="1">IF(AND($B$294=1,LEN($F$260) * LEN($F$250)&gt;0),$F$260/$F$250*100,HLOOKUP(INDIRECT(ADDRESS(2,COLUMN())),OFFSET($AT$2,0,0,ROW()-1,40),ROW()-1,FALSE))</f>
        <v>0.33444816100000002</v>
      </c>
      <c r="G133">
        <f ca="1">IF(AND($B$294=1,LEN($G$260) * LEN($G$250)&gt;0),$G$260/$G$250*100,HLOOKUP(INDIRECT(ADDRESS(2,COLUMN())),OFFSET($AT$2,0,0,ROW()-1,40),ROW()-1,FALSE))</f>
        <v>0.125944584</v>
      </c>
      <c r="H133">
        <f ca="1">IF(AND($B$294=1,LEN($H$260) * LEN($H$250)&gt;0),$H$260/$H$250*100,HLOOKUP(INDIRECT(ADDRESS(2,COLUMN())),OFFSET($AT$2,0,0,ROW()-1,40),ROW()-1,FALSE))</f>
        <v>0.256410256</v>
      </c>
      <c r="I133">
        <f ca="1">IF(AND($B$294=1,LEN($I$260) * LEN($I$250)&gt;0),$I$260/$I$250*100,HLOOKUP(INDIRECT(ADDRESS(2,COLUMN())),OFFSET($AT$2,0,0,ROW()-1,40),ROW()-1,FALSE))</f>
        <v>0</v>
      </c>
      <c r="J133">
        <f ca="1">IF(AND($B$294=1,LEN($J$260) * LEN($J$250)&gt;0),$J$260/$J$250*100,HLOOKUP(INDIRECT(ADDRESS(2,COLUMN())),OFFSET($AT$2,0,0,ROW()-1,40),ROW()-1,FALSE))</f>
        <v>0</v>
      </c>
      <c r="K133">
        <f ca="1">IF(AND($B$294=1,LEN($K$260) * LEN($K$250)&gt;0),$K$260/$K$250*100,HLOOKUP(INDIRECT(ADDRESS(2,COLUMN())),OFFSET($AT$2,0,0,ROW()-1,40),ROW()-1,FALSE))</f>
        <v>0</v>
      </c>
      <c r="L133">
        <f ca="1">IF(AND($B$294=1,LEN($L$260) * LEN($L$250)&gt;0),$L$260/$L$250*100,HLOOKUP(INDIRECT(ADDRESS(2,COLUMN())),OFFSET($AT$2,0,0,ROW()-1,40),ROW()-1,FALSE))</f>
        <v>0</v>
      </c>
      <c r="M133">
        <f ca="1">IF(AND($B$294=1,LEN($M$260) * LEN($M$250)&gt;0),$M$260/$M$250*100,HLOOKUP(INDIRECT(ADDRESS(2,COLUMN())),OFFSET($AT$2,0,0,ROW()-1,40),ROW()-1,FALSE))</f>
        <v>0</v>
      </c>
      <c r="N133">
        <f ca="1">IF(AND($B$294=1,LEN($N$260) * LEN($N$250)&gt;0),$N$260/$N$250*100,HLOOKUP(INDIRECT(ADDRESS(2,COLUMN())),OFFSET($AT$2,0,0,ROW()-1,40),ROW()-1,FALSE))</f>
        <v>0</v>
      </c>
      <c r="O133">
        <f ca="1">IF(AND($B$294=1,LEN($O$260) * LEN($O$250)&gt;0),$O$260/$O$250*100,HLOOKUP(INDIRECT(ADDRESS(2,COLUMN())),OFFSET($AT$2,0,0,ROW()-1,40),ROW()-1,FALSE))</f>
        <v>0</v>
      </c>
      <c r="P133">
        <f ca="1">IF(AND($B$294=1,LEN($P$260) * LEN($P$250)&gt;0),$P$260/$P$250*100,HLOOKUP(INDIRECT(ADDRESS(2,COLUMN())),OFFSET($AT$2,0,0,ROW()-1,40),ROW()-1,FALSE))</f>
        <v>0</v>
      </c>
      <c r="Q133">
        <f ca="1">IF(AND($B$294=1,LEN($Q$260) * LEN($Q$250)&gt;0),$Q$260/$Q$250*100,HLOOKUP(INDIRECT(ADDRESS(2,COLUMN())),OFFSET($AT$2,0,0,ROW()-1,40),ROW()-1,FALSE))</f>
        <v>0</v>
      </c>
      <c r="R133">
        <f ca="1">IF(AND($B$294=1,LEN($R$260) * LEN($R$250)&gt;0),$R$260/$R$250*100,HLOOKUP(INDIRECT(ADDRESS(2,COLUMN())),OFFSET($AT$2,0,0,ROW()-1,40),ROW()-1,FALSE))</f>
        <v>0</v>
      </c>
      <c r="S133">
        <f ca="1">IF(AND($B$294=1,LEN($S$260) * LEN($S$250)&gt;0),$S$260/$S$250*100,HLOOKUP(INDIRECT(ADDRESS(2,COLUMN())),OFFSET($AT$2,0,0,ROW()-1,40),ROW()-1,FALSE))</f>
        <v>0</v>
      </c>
      <c r="T133">
        <f ca="1">IF(AND($B$294=1,LEN($T$260) * LEN($T$250)&gt;0),$T$260/$T$250*100,HLOOKUP(INDIRECT(ADDRESS(2,COLUMN())),OFFSET($AT$2,0,0,ROW()-1,40),ROW()-1,FALSE))</f>
        <v>0</v>
      </c>
      <c r="U133">
        <f ca="1">IF(AND($B$294=1,LEN($U$260) * LEN($U$250)&gt;0),$U$260/$U$250*100,HLOOKUP(INDIRECT(ADDRESS(2,COLUMN())),OFFSET($AT$2,0,0,ROW()-1,40),ROW()-1,FALSE))</f>
        <v>0</v>
      </c>
      <c r="V133">
        <f ca="1">IF(AND($B$294=1,LEN($V$260) * LEN($V$250)&gt;0),$V$260/$V$250*100,HLOOKUP(INDIRECT(ADDRESS(2,COLUMN())),OFFSET($AT$2,0,0,ROW()-1,40),ROW()-1,FALSE))</f>
        <v>0</v>
      </c>
      <c r="W133">
        <f ca="1">IF(AND($B$294=1,LEN($W$260) * LEN($W$250)&gt;0),$W$260/$W$250*100,HLOOKUP(INDIRECT(ADDRESS(2,COLUMN())),OFFSET($AT$2,0,0,ROW()-1,40),ROW()-1,FALSE))</f>
        <v>0</v>
      </c>
      <c r="X133">
        <f ca="1">IF(AND($B$294=1,LEN($X$260) * LEN($X$250)&gt;0),$X$260/$X$250*100,HLOOKUP(INDIRECT(ADDRESS(2,COLUMN())),OFFSET($AT$2,0,0,ROW()-1,40),ROW()-1,FALSE))</f>
        <v>0</v>
      </c>
      <c r="Y133">
        <f ca="1">IF(AND($B$294=1,LEN($Y$260) * LEN($Y$250)&gt;0),$Y$260/$Y$250*100,HLOOKUP(INDIRECT(ADDRESS(2,COLUMN())),OFFSET($AT$2,0,0,ROW()-1,40),ROW()-1,FALSE))</f>
        <v>0</v>
      </c>
      <c r="Z133">
        <f ca="1">IF(AND($B$294=1,LEN($Z$260) * LEN($Z$250)&gt;0),$Z$260/$Z$250*100,HLOOKUP(INDIRECT(ADDRESS(2,COLUMN())),OFFSET($AT$2,0,0,ROW()-1,40),ROW()-1,FALSE))</f>
        <v>0</v>
      </c>
      <c r="AA133">
        <f ca="1">IF(AND($B$294=1,LEN($AA$260) * LEN($AA$250)&gt;0),$AA$260/$AA$250*100,HLOOKUP(INDIRECT(ADDRESS(2,COLUMN())),OFFSET($AT$2,0,0,ROW()-1,40),ROW()-1,FALSE))</f>
        <v>0</v>
      </c>
      <c r="AB133" t="str">
        <f ca="1">IF(AND($B$294=1,LEN($AB$260) * LEN($AB$250)&gt;0),$AB$260/$AB$250*100,HLOOKUP(INDIRECT(ADDRESS(2,COLUMN())),OFFSET($AT$2,0,0,ROW()-1,40),ROW()-1,FALSE))</f>
        <v/>
      </c>
      <c r="AC133" t="str">
        <f ca="1">IF(AND($B$294=1,LEN($AC$260) * LEN($AC$250)&gt;0),$AC$260/$AC$250*100,HLOOKUP(INDIRECT(ADDRESS(2,COLUMN())),OFFSET($AT$2,0,0,ROW()-1,40),ROW()-1,FALSE))</f>
        <v/>
      </c>
      <c r="AD133" t="str">
        <f ca="1">IF(AND($B$294=1,LEN($AD$260) * LEN($AD$250)&gt;0),$AD$260/$AD$250*100,HLOOKUP(INDIRECT(ADDRESS(2,COLUMN())),OFFSET($AT$2,0,0,ROW()-1,40),ROW()-1,FALSE))</f>
        <v/>
      </c>
      <c r="AE133" t="str">
        <f ca="1">IF(AND($B$294=1,LEN($AE$260) * LEN($AE$250)&gt;0),$AE$260/$AE$250*100,HLOOKUP(INDIRECT(ADDRESS(2,COLUMN())),OFFSET($AT$2,0,0,ROW()-1,40),ROW()-1,FALSE))</f>
        <v/>
      </c>
      <c r="AF133" t="str">
        <f ca="1">IF(AND($B$294=1,LEN($AF$260) * LEN($AF$250)&gt;0),$AF$260/$AF$250*100,HLOOKUP(INDIRECT(ADDRESS(2,COLUMN())),OFFSET($AT$2,0,0,ROW()-1,40),ROW()-1,FALSE))</f>
        <v/>
      </c>
      <c r="AG133" t="str">
        <f ca="1">IF(AND($B$294=1,LEN($AG$260) * LEN($AG$250)&gt;0),$AG$260/$AG$250*100,HLOOKUP(INDIRECT(ADDRESS(2,COLUMN())),OFFSET($AT$2,0,0,ROW()-1,40),ROW()-1,FALSE))</f>
        <v/>
      </c>
      <c r="AH133" t="str">
        <f ca="1">IF(AND($B$294=1,LEN($AH$260) * LEN($AH$250)&gt;0),$AH$260/$AH$250*100,HLOOKUP(INDIRECT(ADDRESS(2,COLUMN())),OFFSET($AT$2,0,0,ROW()-1,40),ROW()-1,FALSE))</f>
        <v/>
      </c>
      <c r="AI133" t="str">
        <f ca="1">IF(AND($B$294=1,LEN($AI$260) * LEN($AI$250)&gt;0),$AI$260/$AI$250*100,HLOOKUP(INDIRECT(ADDRESS(2,COLUMN())),OFFSET($AT$2,0,0,ROW()-1,40),ROW()-1,FALSE))</f>
        <v/>
      </c>
      <c r="AJ133" t="str">
        <f ca="1">IF(AND($B$294=1,LEN($AJ$260) * LEN($AJ$250)&gt;0),$AJ$260/$AJ$250*100,HLOOKUP(INDIRECT(ADDRESS(2,COLUMN())),OFFSET($AT$2,0,0,ROW()-1,40),ROW()-1,FALSE))</f>
        <v/>
      </c>
      <c r="AK133" t="str">
        <f ca="1">IF(AND($B$294=1,LEN($AK$260) * LEN($AK$250)&gt;0),$AK$260/$AK$250*100,HLOOKUP(INDIRECT(ADDRESS(2,COLUMN())),OFFSET($AT$2,0,0,ROW()-1,40),ROW()-1,FALSE))</f>
        <v/>
      </c>
      <c r="AL133" t="str">
        <f ca="1">IF(AND($B$294=1,LEN($AL$260) * LEN($AL$250)&gt;0),$AL$260/$AL$250*100,HLOOKUP(INDIRECT(ADDRESS(2,COLUMN())),OFFSET($AT$2,0,0,ROW()-1,40),ROW()-1,FALSE))</f>
        <v/>
      </c>
      <c r="AM133" t="str">
        <f ca="1">IF(AND($B$294=1,LEN($AM$260) * LEN($AM$250)&gt;0),$AM$260/$AM$250*100,HLOOKUP(INDIRECT(ADDRESS(2,COLUMN())),OFFSET($AT$2,0,0,ROW()-1,40),ROW()-1,FALSE))</f>
        <v/>
      </c>
      <c r="AN133" t="str">
        <f ca="1">IF(AND($B$294=1,LEN($AN$260) * LEN($AN$250)&gt;0),$AN$260/$AN$250*100,HLOOKUP(INDIRECT(ADDRESS(2,COLUMN())),OFFSET($AT$2,0,0,ROW()-1,40),ROW()-1,FALSE))</f>
        <v/>
      </c>
      <c r="AO133" t="str">
        <f ca="1">IF(AND($B$294=1,LEN($AO$260) * LEN($AO$250)&gt;0),$AO$260/$AO$250*100,HLOOKUP(INDIRECT(ADDRESS(2,COLUMN())),OFFSET($AT$2,0,0,ROW()-1,40),ROW()-1,FALSE))</f>
        <v/>
      </c>
      <c r="AP133" t="str">
        <f ca="1">IF(AND($B$294=1,LEN($AP$260) * LEN($AP$250)&gt;0),$AP$260/$AP$250*100,HLOOKUP(INDIRECT(ADDRESS(2,COLUMN())),OFFSET($AT$2,0,0,ROW()-1,40),ROW()-1,FALSE))</f>
        <v/>
      </c>
      <c r="AQ133" t="str">
        <f ca="1">IF(AND($B$294=1,LEN($AQ$260) * LEN($AQ$250)&gt;0),$AQ$260/$AQ$250*100,HLOOKUP(INDIRECT(ADDRESS(2,COLUMN())),OFFSET($AT$2,0,0,ROW()-1,40),ROW()-1,FALSE))</f>
        <v/>
      </c>
      <c r="AR133" t="str">
        <f ca="1">IF(AND($B$294=1,LEN($AR$260) * LEN($AR$250)&gt;0),$AR$260/$AR$250*100,HLOOKUP(INDIRECT(ADDRESS(2,COLUMN())),OFFSET($AT$2,0,0,ROW()-1,40),ROW()-1,FALSE))</f>
        <v/>
      </c>
      <c r="AS133" t="str">
        <f ca="1">IF(AND($B$294=1,LEN($AS$260) * LEN($AS$250)&gt;0),$AS$260/$AS$250*100,HLOOKUP(INDIRECT(ADDRESS(2,COLUMN())),OFFSET($AT$2,0,0,ROW()-1,40),ROW()-1,FALSE))</f>
        <v/>
      </c>
      <c r="AT133">
        <f>0.334448161</f>
        <v>0.33444816100000002</v>
      </c>
      <c r="AU133">
        <f>0.125944584</f>
        <v>0.125944584</v>
      </c>
      <c r="AV133">
        <f>0.256410256</f>
        <v>0.256410256</v>
      </c>
      <c r="AW133">
        <f>0</f>
        <v>0</v>
      </c>
      <c r="AX133">
        <f>0</f>
        <v>0</v>
      </c>
      <c r="AY133">
        <f>0</f>
        <v>0</v>
      </c>
      <c r="AZ133">
        <f>0</f>
        <v>0</v>
      </c>
      <c r="BA133">
        <f>0</f>
        <v>0</v>
      </c>
      <c r="BB133">
        <f>0</f>
        <v>0</v>
      </c>
      <c r="BC133">
        <f>0</f>
        <v>0</v>
      </c>
      <c r="BD133">
        <f>0</f>
        <v>0</v>
      </c>
      <c r="BE133">
        <f>0</f>
        <v>0</v>
      </c>
      <c r="BF133">
        <f>0</f>
        <v>0</v>
      </c>
      <c r="BG133">
        <f>0</f>
        <v>0</v>
      </c>
      <c r="BH133">
        <f>0</f>
        <v>0</v>
      </c>
      <c r="BI133">
        <f>0</f>
        <v>0</v>
      </c>
      <c r="BJ133">
        <f>0</f>
        <v>0</v>
      </c>
      <c r="BK133">
        <f>0</f>
        <v>0</v>
      </c>
      <c r="BL133">
        <f>0</f>
        <v>0</v>
      </c>
      <c r="BM133">
        <f>0</f>
        <v>0</v>
      </c>
      <c r="BN133">
        <f>0</f>
        <v>0</v>
      </c>
      <c r="BO133">
        <f>0</f>
        <v>0</v>
      </c>
      <c r="BP133" t="str">
        <f>""</f>
        <v/>
      </c>
      <c r="BQ133" t="str">
        <f>""</f>
        <v/>
      </c>
      <c r="BR133" t="str">
        <f>""</f>
        <v/>
      </c>
      <c r="BS133" t="str">
        <f>""</f>
        <v/>
      </c>
      <c r="BT133" t="str">
        <f>""</f>
        <v/>
      </c>
      <c r="BU133" t="str">
        <f>""</f>
        <v/>
      </c>
      <c r="BV133" t="str">
        <f>""</f>
        <v/>
      </c>
      <c r="BW133" t="str">
        <f>""</f>
        <v/>
      </c>
      <c r="BX133" t="str">
        <f>""</f>
        <v/>
      </c>
      <c r="BY133" t="str">
        <f>""</f>
        <v/>
      </c>
      <c r="BZ133" t="str">
        <f>""</f>
        <v/>
      </c>
      <c r="CA133" t="str">
        <f>""</f>
        <v/>
      </c>
      <c r="CB133" t="str">
        <f>""</f>
        <v/>
      </c>
      <c r="CC133" t="str">
        <f>""</f>
        <v/>
      </c>
      <c r="CD133" t="str">
        <f>""</f>
        <v/>
      </c>
      <c r="CE133" t="str">
        <f>""</f>
        <v/>
      </c>
      <c r="CF133" t="str">
        <f>""</f>
        <v/>
      </c>
      <c r="CG133" t="str">
        <f>""</f>
        <v/>
      </c>
    </row>
    <row r="134" spans="1:85" x14ac:dyDescent="0.25">
      <c r="A134" t="str">
        <f>"    General Motors"</f>
        <v xml:space="preserve">    General Motors</v>
      </c>
      <c r="B134" t="str">
        <f>"MTLQQ US Equity"</f>
        <v>MTLQQ US Equity</v>
      </c>
      <c r="E134" t="str">
        <f>"Sum"</f>
        <v>Sum</v>
      </c>
      <c r="F134" t="str">
        <f ca="1">IF(ISERROR(IF(SUM($F$135:$F$136) = 0, "", SUM($F$135:$F$136))), "", (IF(SUM($F$135:$F$136) = 0, "", SUM($F$135:$F$136))))</f>
        <v/>
      </c>
      <c r="G134" t="str">
        <f ca="1">IF(ISERROR(IF(SUM($G$135:$G$136) = 0, "", SUM($G$135:$G$136))), "", (IF(SUM($G$135:$G$136) = 0, "", SUM($G$135:$G$136))))</f>
        <v/>
      </c>
      <c r="H134" t="str">
        <f ca="1">IF(ISERROR(IF(SUM($H$135:$H$136) = 0, "", SUM($H$135:$H$136))), "", (IF(SUM($H$135:$H$136) = 0, "", SUM($H$135:$H$136))))</f>
        <v/>
      </c>
      <c r="I134" t="str">
        <f ca="1">IF(ISERROR(IF(SUM($I$135:$I$136) = 0, "", SUM($I$135:$I$136))), "", (IF(SUM($I$135:$I$136) = 0, "", SUM($I$135:$I$136))))</f>
        <v/>
      </c>
      <c r="J134" t="str">
        <f ca="1">IF(ISERROR(IF(SUM($J$135:$J$136) = 0, "", SUM($J$135:$J$136))), "", (IF(SUM($J$135:$J$136) = 0, "", SUM($J$135:$J$136))))</f>
        <v/>
      </c>
      <c r="K134" t="str">
        <f ca="1">IF(ISERROR(IF(SUM($K$135:$K$136) = 0, "", SUM($K$135:$K$136))), "", (IF(SUM($K$135:$K$136) = 0, "", SUM($K$135:$K$136))))</f>
        <v/>
      </c>
      <c r="L134" t="str">
        <f ca="1">IF(ISERROR(IF(SUM($L$135:$L$136) = 0, "", SUM($L$135:$L$136))), "", (IF(SUM($L$135:$L$136) = 0, "", SUM($L$135:$L$136))))</f>
        <v/>
      </c>
      <c r="M134" t="str">
        <f ca="1">IF(ISERROR(IF(SUM($M$135:$M$136) = 0, "", SUM($M$135:$M$136))), "", (IF(SUM($M$135:$M$136) = 0, "", SUM($M$135:$M$136))))</f>
        <v/>
      </c>
      <c r="N134" t="str">
        <f ca="1">IF(ISERROR(IF(SUM($N$135:$N$136) = 0, "", SUM($N$135:$N$136))), "", (IF(SUM($N$135:$N$136) = 0, "", SUM($N$135:$N$136))))</f>
        <v/>
      </c>
      <c r="O134" t="str">
        <f ca="1">IF(ISERROR(IF(SUM($O$135:$O$136) = 0, "", SUM($O$135:$O$136))), "", (IF(SUM($O$135:$O$136) = 0, "", SUM($O$135:$O$136))))</f>
        <v/>
      </c>
      <c r="P134" t="str">
        <f ca="1">IF(ISERROR(IF(SUM($P$135:$P$136) = 0, "", SUM($P$135:$P$136))), "", (IF(SUM($P$135:$P$136) = 0, "", SUM($P$135:$P$136))))</f>
        <v/>
      </c>
      <c r="Q134" t="str">
        <f ca="1">IF(ISERROR(IF(SUM($Q$135:$Q$136) = 0, "", SUM($Q$135:$Q$136))), "", (IF(SUM($Q$135:$Q$136) = 0, "", SUM($Q$135:$Q$136))))</f>
        <v/>
      </c>
      <c r="R134" t="str">
        <f ca="1">IF(ISERROR(IF(SUM($R$135:$R$136) = 0, "", SUM($R$135:$R$136))), "", (IF(SUM($R$135:$R$136) = 0, "", SUM($R$135:$R$136))))</f>
        <v/>
      </c>
      <c r="S134" t="str">
        <f ca="1">IF(ISERROR(IF(SUM($S$135:$S$136) = 0, "", SUM($S$135:$S$136))), "", (IF(SUM($S$135:$S$136) = 0, "", SUM($S$135:$S$136))))</f>
        <v/>
      </c>
      <c r="T134" t="str">
        <f ca="1">IF(ISERROR(IF(SUM($T$135:$T$136) = 0, "", SUM($T$135:$T$136))), "", (IF(SUM($T$135:$T$136) = 0, "", SUM($T$135:$T$136))))</f>
        <v/>
      </c>
      <c r="U134" t="str">
        <f ca="1">IF(ISERROR(IF(SUM($U$135:$U$136) = 0, "", SUM($U$135:$U$136))), "", (IF(SUM($U$135:$U$136) = 0, "", SUM($U$135:$U$136))))</f>
        <v/>
      </c>
      <c r="V134" t="str">
        <f ca="1">IF(ISERROR(IF(SUM($V$135:$V$136) = 0, "", SUM($V$135:$V$136))), "", (IF(SUM($V$135:$V$136) = 0, "", SUM($V$135:$V$136))))</f>
        <v/>
      </c>
      <c r="W134" t="str">
        <f ca="1">IF(ISERROR(IF(SUM($W$135:$W$136) = 0, "", SUM($W$135:$W$136))), "", (IF(SUM($W$135:$W$136) = 0, "", SUM($W$135:$W$136))))</f>
        <v/>
      </c>
      <c r="X134" t="str">
        <f ca="1">IF(ISERROR(IF(SUM($X$135:$X$136) = 0, "", SUM($X$135:$X$136))), "", (IF(SUM($X$135:$X$136) = 0, "", SUM($X$135:$X$136))))</f>
        <v/>
      </c>
      <c r="Y134" t="str">
        <f ca="1">IF(ISERROR(IF(SUM($Y$135:$Y$136) = 0, "", SUM($Y$135:$Y$136))), "", (IF(SUM($Y$135:$Y$136) = 0, "", SUM($Y$135:$Y$136))))</f>
        <v/>
      </c>
      <c r="Z134" t="str">
        <f ca="1">IF(ISERROR(IF(SUM($Z$135:$Z$136) = 0, "", SUM($Z$135:$Z$136))), "", (IF(SUM($Z$135:$Z$136) = 0, "", SUM($Z$135:$Z$136))))</f>
        <v/>
      </c>
      <c r="AA134" t="str">
        <f ca="1">IF(ISERROR(IF(SUM($AA$135:$AA$136) = 0, "", SUM($AA$135:$AA$136))), "", (IF(SUM($AA$135:$AA$136) = 0, "", SUM($AA$135:$AA$136))))</f>
        <v/>
      </c>
      <c r="AB134" t="str">
        <f ca="1">IF(ISERROR(IF(SUM($AB$135:$AB$136) = 0, "", SUM($AB$135:$AB$136))), "", (IF(SUM($AB$135:$AB$136) = 0, "", SUM($AB$135:$AB$136))))</f>
        <v/>
      </c>
      <c r="AC134" t="str">
        <f ca="1">IF(ISERROR(IF(SUM($AC$135:$AC$136) = 0, "", SUM($AC$135:$AC$136))), "", (IF(SUM($AC$135:$AC$136) = 0, "", SUM($AC$135:$AC$136))))</f>
        <v/>
      </c>
      <c r="AD134" t="str">
        <f ca="1">IF(ISERROR(IF(SUM($AD$135:$AD$136) = 0, "", SUM($AD$135:$AD$136))), "", (IF(SUM($AD$135:$AD$136) = 0, "", SUM($AD$135:$AD$136))))</f>
        <v/>
      </c>
      <c r="AE134" t="str">
        <f ca="1">IF(ISERROR(IF(SUM($AE$135:$AE$136) = 0, "", SUM($AE$135:$AE$136))), "", (IF(SUM($AE$135:$AE$136) = 0, "", SUM($AE$135:$AE$136))))</f>
        <v/>
      </c>
      <c r="AF134" t="str">
        <f ca="1">IF(ISERROR(IF(SUM($AF$135:$AF$136) = 0, "", SUM($AF$135:$AF$136))), "", (IF(SUM($AF$135:$AF$136) = 0, "", SUM($AF$135:$AF$136))))</f>
        <v/>
      </c>
      <c r="AG134" t="str">
        <f ca="1">IF(ISERROR(IF(SUM($AG$135:$AG$136) = 0, "", SUM($AG$135:$AG$136))), "", (IF(SUM($AG$135:$AG$136) = 0, "", SUM($AG$135:$AG$136))))</f>
        <v/>
      </c>
      <c r="AH134" t="str">
        <f ca="1">IF(ISERROR(IF(SUM($AH$135:$AH$136) = 0, "", SUM($AH$135:$AH$136))), "", (IF(SUM($AH$135:$AH$136) = 0, "", SUM($AH$135:$AH$136))))</f>
        <v/>
      </c>
      <c r="AI134" t="str">
        <f ca="1">IF(ISERROR(IF(SUM($AI$135:$AI$136) = 0, "", SUM($AI$135:$AI$136))), "", (IF(SUM($AI$135:$AI$136) = 0, "", SUM($AI$135:$AI$136))))</f>
        <v/>
      </c>
      <c r="AJ134" t="str">
        <f ca="1">IF(ISERROR(IF(SUM($AJ$135:$AJ$136) = 0, "", SUM($AJ$135:$AJ$136))), "", (IF(SUM($AJ$135:$AJ$136) = 0, "", SUM($AJ$135:$AJ$136))))</f>
        <v/>
      </c>
      <c r="AK134" t="str">
        <f ca="1">IF(ISERROR(IF(SUM($AK$135:$AK$136) = 0, "", SUM($AK$135:$AK$136))), "", (IF(SUM($AK$135:$AK$136) = 0, "", SUM($AK$135:$AK$136))))</f>
        <v/>
      </c>
      <c r="AL134" t="str">
        <f ca="1">IF(ISERROR(IF(SUM($AL$135:$AL$136) = 0, "", SUM($AL$135:$AL$136))), "", (IF(SUM($AL$135:$AL$136) = 0, "", SUM($AL$135:$AL$136))))</f>
        <v/>
      </c>
      <c r="AM134" t="str">
        <f ca="1">IF(ISERROR(IF(SUM($AM$135:$AM$136) = 0, "", SUM($AM$135:$AM$136))), "", (IF(SUM($AM$135:$AM$136) = 0, "", SUM($AM$135:$AM$136))))</f>
        <v/>
      </c>
      <c r="AN134" t="str">
        <f ca="1">IF(ISERROR(IF(SUM($AN$135:$AN$136) = 0, "", SUM($AN$135:$AN$136))), "", (IF(SUM($AN$135:$AN$136) = 0, "", SUM($AN$135:$AN$136))))</f>
        <v/>
      </c>
      <c r="AO134" t="str">
        <f ca="1">IF(ISERROR(IF(SUM($AO$135:$AO$136) = 0, "", SUM($AO$135:$AO$136))), "", (IF(SUM($AO$135:$AO$136) = 0, "", SUM($AO$135:$AO$136))))</f>
        <v/>
      </c>
      <c r="AP134" t="str">
        <f ca="1">IF(ISERROR(IF(SUM($AP$135:$AP$136) = 0, "", SUM($AP$135:$AP$136))), "", (IF(SUM($AP$135:$AP$136) = 0, "", SUM($AP$135:$AP$136))))</f>
        <v/>
      </c>
      <c r="AQ134" t="str">
        <f ca="1">IF(ISERROR(IF(SUM($AQ$135:$AQ$136) = 0, "", SUM($AQ$135:$AQ$136))), "", (IF(SUM($AQ$135:$AQ$136) = 0, "", SUM($AQ$135:$AQ$136))))</f>
        <v/>
      </c>
      <c r="AR134" t="str">
        <f ca="1">IF(ISERROR(IF(SUM($AR$135:$AR$136) = 0, "", SUM($AR$135:$AR$136))), "", (IF(SUM($AR$135:$AR$136) = 0, "", SUM($AR$135:$AR$136))))</f>
        <v/>
      </c>
      <c r="AS134" t="str">
        <f ca="1">IF(ISERROR(IF(SUM($AS$135:$AS$136) = 0, "", SUM($AS$135:$AS$136))), "", (IF(SUM($AS$135:$AS$136) = 0, "", SUM($AS$135:$AS$136))))</f>
        <v/>
      </c>
      <c r="AT134" t="str">
        <f>""</f>
        <v/>
      </c>
      <c r="AU134" t="str">
        <f>""</f>
        <v/>
      </c>
      <c r="AV134" t="str">
        <f>""</f>
        <v/>
      </c>
      <c r="AW134" t="str">
        <f>""</f>
        <v/>
      </c>
      <c r="AX134" t="str">
        <f>""</f>
        <v/>
      </c>
      <c r="AY134" t="str">
        <f>""</f>
        <v/>
      </c>
      <c r="AZ134" t="str">
        <f>""</f>
        <v/>
      </c>
      <c r="BA134" t="str">
        <f>""</f>
        <v/>
      </c>
      <c r="BB134" t="str">
        <f>""</f>
        <v/>
      </c>
      <c r="BC134" t="str">
        <f>""</f>
        <v/>
      </c>
      <c r="BD134" t="str">
        <f>""</f>
        <v/>
      </c>
      <c r="BE134" t="str">
        <f>""</f>
        <v/>
      </c>
      <c r="BF134" t="str">
        <f>""</f>
        <v/>
      </c>
      <c r="BG134" t="str">
        <f>""</f>
        <v/>
      </c>
      <c r="BH134" t="str">
        <f>""</f>
        <v/>
      </c>
      <c r="BI134" t="str">
        <f>""</f>
        <v/>
      </c>
      <c r="BJ134" t="str">
        <f>""</f>
        <v/>
      </c>
      <c r="BK134" t="str">
        <f>""</f>
        <v/>
      </c>
      <c r="BL134" t="str">
        <f>""</f>
        <v/>
      </c>
      <c r="BM134" t="str">
        <f>""</f>
        <v/>
      </c>
      <c r="BN134" t="str">
        <f>""</f>
        <v/>
      </c>
      <c r="BO134" t="str">
        <f>""</f>
        <v/>
      </c>
      <c r="BP134" t="str">
        <f>""</f>
        <v/>
      </c>
      <c r="BQ134" t="str">
        <f>""</f>
        <v/>
      </c>
      <c r="BR134" t="str">
        <f>""</f>
        <v/>
      </c>
      <c r="BS134" t="str">
        <f>""</f>
        <v/>
      </c>
      <c r="BT134" t="str">
        <f>""</f>
        <v/>
      </c>
      <c r="BU134" t="str">
        <f>""</f>
        <v/>
      </c>
      <c r="BV134" t="str">
        <f>""</f>
        <v/>
      </c>
      <c r="BW134" t="str">
        <f>""</f>
        <v/>
      </c>
      <c r="BX134" t="str">
        <f>""</f>
        <v/>
      </c>
      <c r="BY134" t="str">
        <f>""</f>
        <v/>
      </c>
      <c r="BZ134" t="str">
        <f>""</f>
        <v/>
      </c>
      <c r="CA134" t="str">
        <f>""</f>
        <v/>
      </c>
      <c r="CB134" t="str">
        <f>""</f>
        <v/>
      </c>
      <c r="CC134" t="str">
        <f>""</f>
        <v/>
      </c>
      <c r="CD134" t="str">
        <f>""</f>
        <v/>
      </c>
      <c r="CE134" t="str">
        <f>""</f>
        <v/>
      </c>
      <c r="CF134" t="str">
        <f>""</f>
        <v/>
      </c>
      <c r="CG134" t="str">
        <f>""</f>
        <v/>
      </c>
    </row>
    <row r="135" spans="1:85" x14ac:dyDescent="0.25">
      <c r="A135" t="str">
        <f>"        GMC"</f>
        <v xml:space="preserve">        GMC</v>
      </c>
      <c r="B135" t="str">
        <f>"MTLQQ US Equity"</f>
        <v>MTLQQ US Equity</v>
      </c>
      <c r="E135" t="str">
        <f>"Expression"</f>
        <v>Expression</v>
      </c>
      <c r="F135" t="str">
        <f ca="1">IF(AND($B$294=1,LEN($F$261) * LEN($F$250)&gt;0),$F$261/$F$250*100,HLOOKUP(INDIRECT(ADDRESS(2,COLUMN())),OFFSET($AT$2,0,0,ROW()-1,40),ROW()-1,FALSE))</f>
        <v/>
      </c>
      <c r="G135" t="str">
        <f ca="1">IF(AND($B$294=1,LEN($G$261) * LEN($G$250)&gt;0),$G$261/$G$250*100,HLOOKUP(INDIRECT(ADDRESS(2,COLUMN())),OFFSET($AT$2,0,0,ROW()-1,40),ROW()-1,FALSE))</f>
        <v/>
      </c>
      <c r="H135" t="str">
        <f ca="1">IF(AND($B$294=1,LEN($H$261) * LEN($H$250)&gt;0),$H$261/$H$250*100,HLOOKUP(INDIRECT(ADDRESS(2,COLUMN())),OFFSET($AT$2,0,0,ROW()-1,40),ROW()-1,FALSE))</f>
        <v/>
      </c>
      <c r="I135" t="str">
        <f ca="1">IF(AND($B$294=1,LEN($I$261) * LEN($I$250)&gt;0),$I$261/$I$250*100,HLOOKUP(INDIRECT(ADDRESS(2,COLUMN())),OFFSET($AT$2,0,0,ROW()-1,40),ROW()-1,FALSE))</f>
        <v/>
      </c>
      <c r="J135" t="str">
        <f ca="1">IF(AND($B$294=1,LEN($J$261) * LEN($J$250)&gt;0),$J$261/$J$250*100,HLOOKUP(INDIRECT(ADDRESS(2,COLUMN())),OFFSET($AT$2,0,0,ROW()-1,40),ROW()-1,FALSE))</f>
        <v/>
      </c>
      <c r="K135" t="str">
        <f ca="1">IF(AND($B$294=1,LEN($K$261) * LEN($K$250)&gt;0),$K$261/$K$250*100,HLOOKUP(INDIRECT(ADDRESS(2,COLUMN())),OFFSET($AT$2,0,0,ROW()-1,40),ROW()-1,FALSE))</f>
        <v/>
      </c>
      <c r="L135" t="str">
        <f ca="1">IF(AND($B$294=1,LEN($L$261) * LEN($L$250)&gt;0),$L$261/$L$250*100,HLOOKUP(INDIRECT(ADDRESS(2,COLUMN())),OFFSET($AT$2,0,0,ROW()-1,40),ROW()-1,FALSE))</f>
        <v/>
      </c>
      <c r="M135" t="str">
        <f ca="1">IF(AND($B$294=1,LEN($M$261) * LEN($M$250)&gt;0),$M$261/$M$250*100,HLOOKUP(INDIRECT(ADDRESS(2,COLUMN())),OFFSET($AT$2,0,0,ROW()-1,40),ROW()-1,FALSE))</f>
        <v/>
      </c>
      <c r="N135" t="str">
        <f ca="1">IF(AND($B$294=1,LEN($N$261) * LEN($N$250)&gt;0),$N$261/$N$250*100,HLOOKUP(INDIRECT(ADDRESS(2,COLUMN())),OFFSET($AT$2,0,0,ROW()-1,40),ROW()-1,FALSE))</f>
        <v/>
      </c>
      <c r="O135" t="str">
        <f ca="1">IF(AND($B$294=1,LEN($O$261) * LEN($O$250)&gt;0),$O$261/$O$250*100,HLOOKUP(INDIRECT(ADDRESS(2,COLUMN())),OFFSET($AT$2,0,0,ROW()-1,40),ROW()-1,FALSE))</f>
        <v/>
      </c>
      <c r="P135" t="str">
        <f ca="1">IF(AND($B$294=1,LEN($P$261) * LEN($P$250)&gt;0),$P$261/$P$250*100,HLOOKUP(INDIRECT(ADDRESS(2,COLUMN())),OFFSET($AT$2,0,0,ROW()-1,40),ROW()-1,FALSE))</f>
        <v/>
      </c>
      <c r="Q135" t="str">
        <f ca="1">IF(AND($B$294=1,LEN($Q$261) * LEN($Q$250)&gt;0),$Q$261/$Q$250*100,HLOOKUP(INDIRECT(ADDRESS(2,COLUMN())),OFFSET($AT$2,0,0,ROW()-1,40),ROW()-1,FALSE))</f>
        <v/>
      </c>
      <c r="R135" t="str">
        <f ca="1">IF(AND($B$294=1,LEN($R$261) * LEN($R$250)&gt;0),$R$261/$R$250*100,HLOOKUP(INDIRECT(ADDRESS(2,COLUMN())),OFFSET($AT$2,0,0,ROW()-1,40),ROW()-1,FALSE))</f>
        <v/>
      </c>
      <c r="S135" t="str">
        <f ca="1">IF(AND($B$294=1,LEN($S$261) * LEN($S$250)&gt;0),$S$261/$S$250*100,HLOOKUP(INDIRECT(ADDRESS(2,COLUMN())),OFFSET($AT$2,0,0,ROW()-1,40),ROW()-1,FALSE))</f>
        <v/>
      </c>
      <c r="T135" t="str">
        <f ca="1">IF(AND($B$294=1,LEN($T$261) * LEN($T$250)&gt;0),$T$261/$T$250*100,HLOOKUP(INDIRECT(ADDRESS(2,COLUMN())),OFFSET($AT$2,0,0,ROW()-1,40),ROW()-1,FALSE))</f>
        <v/>
      </c>
      <c r="U135" t="str">
        <f ca="1">IF(AND($B$294=1,LEN($U$261) * LEN($U$250)&gt;0),$U$261/$U$250*100,HLOOKUP(INDIRECT(ADDRESS(2,COLUMN())),OFFSET($AT$2,0,0,ROW()-1,40),ROW()-1,FALSE))</f>
        <v/>
      </c>
      <c r="V135" t="str">
        <f ca="1">IF(AND($B$294=1,LEN($V$261) * LEN($V$250)&gt;0),$V$261/$V$250*100,HLOOKUP(INDIRECT(ADDRESS(2,COLUMN())),OFFSET($AT$2,0,0,ROW()-1,40),ROW()-1,FALSE))</f>
        <v/>
      </c>
      <c r="W135" t="str">
        <f ca="1">IF(AND($B$294=1,LEN($W$261) * LEN($W$250)&gt;0),$W$261/$W$250*100,HLOOKUP(INDIRECT(ADDRESS(2,COLUMN())),OFFSET($AT$2,0,0,ROW()-1,40),ROW()-1,FALSE))</f>
        <v/>
      </c>
      <c r="X135" t="str">
        <f ca="1">IF(AND($B$294=1,LEN($X$261) * LEN($X$250)&gt;0),$X$261/$X$250*100,HLOOKUP(INDIRECT(ADDRESS(2,COLUMN())),OFFSET($AT$2,0,0,ROW()-1,40),ROW()-1,FALSE))</f>
        <v/>
      </c>
      <c r="Y135" t="str">
        <f ca="1">IF(AND($B$294=1,LEN($Y$261) * LEN($Y$250)&gt;0),$Y$261/$Y$250*100,HLOOKUP(INDIRECT(ADDRESS(2,COLUMN())),OFFSET($AT$2,0,0,ROW()-1,40),ROW()-1,FALSE))</f>
        <v/>
      </c>
      <c r="Z135" t="str">
        <f ca="1">IF(AND($B$294=1,LEN($Z$261) * LEN($Z$250)&gt;0),$Z$261/$Z$250*100,HLOOKUP(INDIRECT(ADDRESS(2,COLUMN())),OFFSET($AT$2,0,0,ROW()-1,40),ROW()-1,FALSE))</f>
        <v/>
      </c>
      <c r="AA135" t="str">
        <f ca="1">IF(AND($B$294=1,LEN($AA$261) * LEN($AA$250)&gt;0),$AA$261/$AA$250*100,HLOOKUP(INDIRECT(ADDRESS(2,COLUMN())),OFFSET($AT$2,0,0,ROW()-1,40),ROW()-1,FALSE))</f>
        <v/>
      </c>
      <c r="AB135" t="str">
        <f ca="1">IF(AND($B$294=1,LEN($AB$261) * LEN($AB$250)&gt;0),$AB$261/$AB$250*100,HLOOKUP(INDIRECT(ADDRESS(2,COLUMN())),OFFSET($AT$2,0,0,ROW()-1,40),ROW()-1,FALSE))</f>
        <v/>
      </c>
      <c r="AC135" t="str">
        <f ca="1">IF(AND($B$294=1,LEN($AC$261) * LEN($AC$250)&gt;0),$AC$261/$AC$250*100,HLOOKUP(INDIRECT(ADDRESS(2,COLUMN())),OFFSET($AT$2,0,0,ROW()-1,40),ROW()-1,FALSE))</f>
        <v/>
      </c>
      <c r="AD135" t="str">
        <f ca="1">IF(AND($B$294=1,LEN($AD$261) * LEN($AD$250)&gt;0),$AD$261/$AD$250*100,HLOOKUP(INDIRECT(ADDRESS(2,COLUMN())),OFFSET($AT$2,0,0,ROW()-1,40),ROW()-1,FALSE))</f>
        <v/>
      </c>
      <c r="AE135" t="str">
        <f ca="1">IF(AND($B$294=1,LEN($AE$261) * LEN($AE$250)&gt;0),$AE$261/$AE$250*100,HLOOKUP(INDIRECT(ADDRESS(2,COLUMN())),OFFSET($AT$2,0,0,ROW()-1,40),ROW()-1,FALSE))</f>
        <v/>
      </c>
      <c r="AF135" t="str">
        <f ca="1">IF(AND($B$294=1,LEN($AF$261) * LEN($AF$250)&gt;0),$AF$261/$AF$250*100,HLOOKUP(INDIRECT(ADDRESS(2,COLUMN())),OFFSET($AT$2,0,0,ROW()-1,40),ROW()-1,FALSE))</f>
        <v/>
      </c>
      <c r="AG135" t="str">
        <f ca="1">IF(AND($B$294=1,LEN($AG$261) * LEN($AG$250)&gt;0),$AG$261/$AG$250*100,HLOOKUP(INDIRECT(ADDRESS(2,COLUMN())),OFFSET($AT$2,0,0,ROW()-1,40),ROW()-1,FALSE))</f>
        <v/>
      </c>
      <c r="AH135" t="str">
        <f ca="1">IF(AND($B$294=1,LEN($AH$261) * LEN($AH$250)&gt;0),$AH$261/$AH$250*100,HLOOKUP(INDIRECT(ADDRESS(2,COLUMN())),OFFSET($AT$2,0,0,ROW()-1,40),ROW()-1,FALSE))</f>
        <v/>
      </c>
      <c r="AI135" t="str">
        <f ca="1">IF(AND($B$294=1,LEN($AI$261) * LEN($AI$250)&gt;0),$AI$261/$AI$250*100,HLOOKUP(INDIRECT(ADDRESS(2,COLUMN())),OFFSET($AT$2,0,0,ROW()-1,40),ROW()-1,FALSE))</f>
        <v/>
      </c>
      <c r="AJ135" t="str">
        <f ca="1">IF(AND($B$294=1,LEN($AJ$261) * LEN($AJ$250)&gt;0),$AJ$261/$AJ$250*100,HLOOKUP(INDIRECT(ADDRESS(2,COLUMN())),OFFSET($AT$2,0,0,ROW()-1,40),ROW()-1,FALSE))</f>
        <v/>
      </c>
      <c r="AK135" t="str">
        <f ca="1">IF(AND($B$294=1,LEN($AK$261) * LEN($AK$250)&gt;0),$AK$261/$AK$250*100,HLOOKUP(INDIRECT(ADDRESS(2,COLUMN())),OFFSET($AT$2,0,0,ROW()-1,40),ROW()-1,FALSE))</f>
        <v/>
      </c>
      <c r="AL135" t="str">
        <f ca="1">IF(AND($B$294=1,LEN($AL$261) * LEN($AL$250)&gt;0),$AL$261/$AL$250*100,HLOOKUP(INDIRECT(ADDRESS(2,COLUMN())),OFFSET($AT$2,0,0,ROW()-1,40),ROW()-1,FALSE))</f>
        <v/>
      </c>
      <c r="AM135" t="str">
        <f ca="1">IF(AND($B$294=1,LEN($AM$261) * LEN($AM$250)&gt;0),$AM$261/$AM$250*100,HLOOKUP(INDIRECT(ADDRESS(2,COLUMN())),OFFSET($AT$2,0,0,ROW()-1,40),ROW()-1,FALSE))</f>
        <v/>
      </c>
      <c r="AN135" t="str">
        <f ca="1">IF(AND($B$294=1,LEN($AN$261) * LEN($AN$250)&gt;0),$AN$261/$AN$250*100,HLOOKUP(INDIRECT(ADDRESS(2,COLUMN())),OFFSET($AT$2,0,0,ROW()-1,40),ROW()-1,FALSE))</f>
        <v/>
      </c>
      <c r="AO135" t="str">
        <f ca="1">IF(AND($B$294=1,LEN($AO$261) * LEN($AO$250)&gt;0),$AO$261/$AO$250*100,HLOOKUP(INDIRECT(ADDRESS(2,COLUMN())),OFFSET($AT$2,0,0,ROW()-1,40),ROW()-1,FALSE))</f>
        <v/>
      </c>
      <c r="AP135" t="str">
        <f ca="1">IF(AND($B$294=1,LEN($AP$261) * LEN($AP$250)&gt;0),$AP$261/$AP$250*100,HLOOKUP(INDIRECT(ADDRESS(2,COLUMN())),OFFSET($AT$2,0,0,ROW()-1,40),ROW()-1,FALSE))</f>
        <v/>
      </c>
      <c r="AQ135" t="str">
        <f ca="1">IF(AND($B$294=1,LEN($AQ$261) * LEN($AQ$250)&gt;0),$AQ$261/$AQ$250*100,HLOOKUP(INDIRECT(ADDRESS(2,COLUMN())),OFFSET($AT$2,0,0,ROW()-1,40),ROW()-1,FALSE))</f>
        <v/>
      </c>
      <c r="AR135" t="str">
        <f ca="1">IF(AND($B$294=1,LEN($AR$261) * LEN($AR$250)&gt;0),$AR$261/$AR$250*100,HLOOKUP(INDIRECT(ADDRESS(2,COLUMN())),OFFSET($AT$2,0,0,ROW()-1,40),ROW()-1,FALSE))</f>
        <v/>
      </c>
      <c r="AS135" t="str">
        <f ca="1">IF(AND($B$294=1,LEN($AS$261) * LEN($AS$250)&gt;0),$AS$261/$AS$250*100,HLOOKUP(INDIRECT(ADDRESS(2,COLUMN())),OFFSET($AT$2,0,0,ROW()-1,40),ROW()-1,FALSE))</f>
        <v/>
      </c>
      <c r="AT135" t="str">
        <f>""</f>
        <v/>
      </c>
      <c r="AU135" t="str">
        <f>""</f>
        <v/>
      </c>
      <c r="AV135" t="str">
        <f>""</f>
        <v/>
      </c>
      <c r="AW135" t="str">
        <f>""</f>
        <v/>
      </c>
      <c r="AX135" t="str">
        <f>""</f>
        <v/>
      </c>
      <c r="AY135" t="str">
        <f>""</f>
        <v/>
      </c>
      <c r="AZ135" t="str">
        <f>""</f>
        <v/>
      </c>
      <c r="BA135" t="str">
        <f>""</f>
        <v/>
      </c>
      <c r="BB135" t="str">
        <f>""</f>
        <v/>
      </c>
      <c r="BC135" t="str">
        <f>""</f>
        <v/>
      </c>
      <c r="BD135" t="str">
        <f>""</f>
        <v/>
      </c>
      <c r="BE135" t="str">
        <f>""</f>
        <v/>
      </c>
      <c r="BF135" t="str">
        <f>""</f>
        <v/>
      </c>
      <c r="BG135" t="str">
        <f>""</f>
        <v/>
      </c>
      <c r="BH135" t="str">
        <f>""</f>
        <v/>
      </c>
      <c r="BI135" t="str">
        <f>""</f>
        <v/>
      </c>
      <c r="BJ135" t="str">
        <f>""</f>
        <v/>
      </c>
      <c r="BK135" t="str">
        <f>""</f>
        <v/>
      </c>
      <c r="BL135" t="str">
        <f>""</f>
        <v/>
      </c>
      <c r="BM135" t="str">
        <f>""</f>
        <v/>
      </c>
      <c r="BN135" t="str">
        <f>""</f>
        <v/>
      </c>
      <c r="BO135" t="str">
        <f>""</f>
        <v/>
      </c>
      <c r="BP135" t="str">
        <f>""</f>
        <v/>
      </c>
      <c r="BQ135" t="str">
        <f>""</f>
        <v/>
      </c>
      <c r="BR135" t="str">
        <f>""</f>
        <v/>
      </c>
      <c r="BS135" t="str">
        <f>""</f>
        <v/>
      </c>
      <c r="BT135" t="str">
        <f>""</f>
        <v/>
      </c>
      <c r="BU135" t="str">
        <f>""</f>
        <v/>
      </c>
      <c r="BV135" t="str">
        <f>""</f>
        <v/>
      </c>
      <c r="BW135" t="str">
        <f>""</f>
        <v/>
      </c>
      <c r="BX135" t="str">
        <f>""</f>
        <v/>
      </c>
      <c r="BY135" t="str">
        <f>""</f>
        <v/>
      </c>
      <c r="BZ135" t="str">
        <f>""</f>
        <v/>
      </c>
      <c r="CA135" t="str">
        <f>""</f>
        <v/>
      </c>
      <c r="CB135" t="str">
        <f>""</f>
        <v/>
      </c>
      <c r="CC135" t="str">
        <f>""</f>
        <v/>
      </c>
      <c r="CD135" t="str">
        <f>""</f>
        <v/>
      </c>
      <c r="CE135" t="str">
        <f>""</f>
        <v/>
      </c>
      <c r="CF135" t="str">
        <f>""</f>
        <v/>
      </c>
      <c r="CG135" t="str">
        <f>""</f>
        <v/>
      </c>
    </row>
    <row r="136" spans="1:85" x14ac:dyDescent="0.25">
      <c r="A136" t="str">
        <f>"        Chevrolet"</f>
        <v xml:space="preserve">        Chevrolet</v>
      </c>
      <c r="B136" t="str">
        <f>"MTLQQ US Equity"</f>
        <v>MTLQQ US Equity</v>
      </c>
      <c r="E136" t="str">
        <f>"Expression"</f>
        <v>Expression</v>
      </c>
      <c r="F136" t="str">
        <f ca="1">IF(AND($B$294=1,LEN($F$262) * LEN($F$250)&gt;0),$F$262/$F$250*100,HLOOKUP(INDIRECT(ADDRESS(2,COLUMN())),OFFSET($AT$2,0,0,ROW()-1,40),ROW()-1,FALSE))</f>
        <v/>
      </c>
      <c r="G136" t="str">
        <f ca="1">IF(AND($B$294=1,LEN($G$262) * LEN($G$250)&gt;0),$G$262/$G$250*100,HLOOKUP(INDIRECT(ADDRESS(2,COLUMN())),OFFSET($AT$2,0,0,ROW()-1,40),ROW()-1,FALSE))</f>
        <v/>
      </c>
      <c r="H136" t="str">
        <f ca="1">IF(AND($B$294=1,LEN($H$262) * LEN($H$250)&gt;0),$H$262/$H$250*100,HLOOKUP(INDIRECT(ADDRESS(2,COLUMN())),OFFSET($AT$2,0,0,ROW()-1,40),ROW()-1,FALSE))</f>
        <v/>
      </c>
      <c r="I136" t="str">
        <f ca="1">IF(AND($B$294=1,LEN($I$262) * LEN($I$250)&gt;0),$I$262/$I$250*100,HLOOKUP(INDIRECT(ADDRESS(2,COLUMN())),OFFSET($AT$2,0,0,ROW()-1,40),ROW()-1,FALSE))</f>
        <v/>
      </c>
      <c r="J136" t="str">
        <f ca="1">IF(AND($B$294=1,LEN($J$262) * LEN($J$250)&gt;0),$J$262/$J$250*100,HLOOKUP(INDIRECT(ADDRESS(2,COLUMN())),OFFSET($AT$2,0,0,ROW()-1,40),ROW()-1,FALSE))</f>
        <v/>
      </c>
      <c r="K136" t="str">
        <f ca="1">IF(AND($B$294=1,LEN($K$262) * LEN($K$250)&gt;0),$K$262/$K$250*100,HLOOKUP(INDIRECT(ADDRESS(2,COLUMN())),OFFSET($AT$2,0,0,ROW()-1,40),ROW()-1,FALSE))</f>
        <v/>
      </c>
      <c r="L136" t="str">
        <f ca="1">IF(AND($B$294=1,LEN($L$262) * LEN($L$250)&gt;0),$L$262/$L$250*100,HLOOKUP(INDIRECT(ADDRESS(2,COLUMN())),OFFSET($AT$2,0,0,ROW()-1,40),ROW()-1,FALSE))</f>
        <v/>
      </c>
      <c r="M136" t="str">
        <f ca="1">IF(AND($B$294=1,LEN($M$262) * LEN($M$250)&gt;0),$M$262/$M$250*100,HLOOKUP(INDIRECT(ADDRESS(2,COLUMN())),OFFSET($AT$2,0,0,ROW()-1,40),ROW()-1,FALSE))</f>
        <v/>
      </c>
      <c r="N136" t="str">
        <f ca="1">IF(AND($B$294=1,LEN($N$262) * LEN($N$250)&gt;0),$N$262/$N$250*100,HLOOKUP(INDIRECT(ADDRESS(2,COLUMN())),OFFSET($AT$2,0,0,ROW()-1,40),ROW()-1,FALSE))</f>
        <v/>
      </c>
      <c r="O136" t="str">
        <f ca="1">IF(AND($B$294=1,LEN($O$262) * LEN($O$250)&gt;0),$O$262/$O$250*100,HLOOKUP(INDIRECT(ADDRESS(2,COLUMN())),OFFSET($AT$2,0,0,ROW()-1,40),ROW()-1,FALSE))</f>
        <v/>
      </c>
      <c r="P136" t="str">
        <f ca="1">IF(AND($B$294=1,LEN($P$262) * LEN($P$250)&gt;0),$P$262/$P$250*100,HLOOKUP(INDIRECT(ADDRESS(2,COLUMN())),OFFSET($AT$2,0,0,ROW()-1,40),ROW()-1,FALSE))</f>
        <v/>
      </c>
      <c r="Q136" t="str">
        <f ca="1">IF(AND($B$294=1,LEN($Q$262) * LEN($Q$250)&gt;0),$Q$262/$Q$250*100,HLOOKUP(INDIRECT(ADDRESS(2,COLUMN())),OFFSET($AT$2,0,0,ROW()-1,40),ROW()-1,FALSE))</f>
        <v/>
      </c>
      <c r="R136" t="str">
        <f ca="1">IF(AND($B$294=1,LEN($R$262) * LEN($R$250)&gt;0),$R$262/$R$250*100,HLOOKUP(INDIRECT(ADDRESS(2,COLUMN())),OFFSET($AT$2,0,0,ROW()-1,40),ROW()-1,FALSE))</f>
        <v/>
      </c>
      <c r="S136" t="str">
        <f ca="1">IF(AND($B$294=1,LEN($S$262) * LEN($S$250)&gt;0),$S$262/$S$250*100,HLOOKUP(INDIRECT(ADDRESS(2,COLUMN())),OFFSET($AT$2,0,0,ROW()-1,40),ROW()-1,FALSE))</f>
        <v/>
      </c>
      <c r="T136" t="str">
        <f ca="1">IF(AND($B$294=1,LEN($T$262) * LEN($T$250)&gt;0),$T$262/$T$250*100,HLOOKUP(INDIRECT(ADDRESS(2,COLUMN())),OFFSET($AT$2,0,0,ROW()-1,40),ROW()-1,FALSE))</f>
        <v/>
      </c>
      <c r="U136" t="str">
        <f ca="1">IF(AND($B$294=1,LEN($U$262) * LEN($U$250)&gt;0),$U$262/$U$250*100,HLOOKUP(INDIRECT(ADDRESS(2,COLUMN())),OFFSET($AT$2,0,0,ROW()-1,40),ROW()-1,FALSE))</f>
        <v/>
      </c>
      <c r="V136" t="str">
        <f ca="1">IF(AND($B$294=1,LEN($V$262) * LEN($V$250)&gt;0),$V$262/$V$250*100,HLOOKUP(INDIRECT(ADDRESS(2,COLUMN())),OFFSET($AT$2,0,0,ROW()-1,40),ROW()-1,FALSE))</f>
        <v/>
      </c>
      <c r="W136" t="str">
        <f ca="1">IF(AND($B$294=1,LEN($W$262) * LEN($W$250)&gt;0),$W$262/$W$250*100,HLOOKUP(INDIRECT(ADDRESS(2,COLUMN())),OFFSET($AT$2,0,0,ROW()-1,40),ROW()-1,FALSE))</f>
        <v/>
      </c>
      <c r="X136" t="str">
        <f ca="1">IF(AND($B$294=1,LEN($X$262) * LEN($X$250)&gt;0),$X$262/$X$250*100,HLOOKUP(INDIRECT(ADDRESS(2,COLUMN())),OFFSET($AT$2,0,0,ROW()-1,40),ROW()-1,FALSE))</f>
        <v/>
      </c>
      <c r="Y136" t="str">
        <f ca="1">IF(AND($B$294=1,LEN($Y$262) * LEN($Y$250)&gt;0),$Y$262/$Y$250*100,HLOOKUP(INDIRECT(ADDRESS(2,COLUMN())),OFFSET($AT$2,0,0,ROW()-1,40),ROW()-1,FALSE))</f>
        <v/>
      </c>
      <c r="Z136" t="str">
        <f ca="1">IF(AND($B$294=1,LEN($Z$262) * LEN($Z$250)&gt;0),$Z$262/$Z$250*100,HLOOKUP(INDIRECT(ADDRESS(2,COLUMN())),OFFSET($AT$2,0,0,ROW()-1,40),ROW()-1,FALSE))</f>
        <v/>
      </c>
      <c r="AA136" t="str">
        <f ca="1">IF(AND($B$294=1,LEN($AA$262) * LEN($AA$250)&gt;0),$AA$262/$AA$250*100,HLOOKUP(INDIRECT(ADDRESS(2,COLUMN())),OFFSET($AT$2,0,0,ROW()-1,40),ROW()-1,FALSE))</f>
        <v/>
      </c>
      <c r="AB136" t="str">
        <f ca="1">IF(AND($B$294=1,LEN($AB$262) * LEN($AB$250)&gt;0),$AB$262/$AB$250*100,HLOOKUP(INDIRECT(ADDRESS(2,COLUMN())),OFFSET($AT$2,0,0,ROW()-1,40),ROW()-1,FALSE))</f>
        <v/>
      </c>
      <c r="AC136" t="str">
        <f ca="1">IF(AND($B$294=1,LEN($AC$262) * LEN($AC$250)&gt;0),$AC$262/$AC$250*100,HLOOKUP(INDIRECT(ADDRESS(2,COLUMN())),OFFSET($AT$2,0,0,ROW()-1,40),ROW()-1,FALSE))</f>
        <v/>
      </c>
      <c r="AD136" t="str">
        <f ca="1">IF(AND($B$294=1,LEN($AD$262) * LEN($AD$250)&gt;0),$AD$262/$AD$250*100,HLOOKUP(INDIRECT(ADDRESS(2,COLUMN())),OFFSET($AT$2,0,0,ROW()-1,40),ROW()-1,FALSE))</f>
        <v/>
      </c>
      <c r="AE136" t="str">
        <f ca="1">IF(AND($B$294=1,LEN($AE$262) * LEN($AE$250)&gt;0),$AE$262/$AE$250*100,HLOOKUP(INDIRECT(ADDRESS(2,COLUMN())),OFFSET($AT$2,0,0,ROW()-1,40),ROW()-1,FALSE))</f>
        <v/>
      </c>
      <c r="AF136" t="str">
        <f ca="1">IF(AND($B$294=1,LEN($AF$262) * LEN($AF$250)&gt;0),$AF$262/$AF$250*100,HLOOKUP(INDIRECT(ADDRESS(2,COLUMN())),OFFSET($AT$2,0,0,ROW()-1,40),ROW()-1,FALSE))</f>
        <v/>
      </c>
      <c r="AG136" t="str">
        <f ca="1">IF(AND($B$294=1,LEN($AG$262) * LEN($AG$250)&gt;0),$AG$262/$AG$250*100,HLOOKUP(INDIRECT(ADDRESS(2,COLUMN())),OFFSET($AT$2,0,0,ROW()-1,40),ROW()-1,FALSE))</f>
        <v/>
      </c>
      <c r="AH136" t="str">
        <f ca="1">IF(AND($B$294=1,LEN($AH$262) * LEN($AH$250)&gt;0),$AH$262/$AH$250*100,HLOOKUP(INDIRECT(ADDRESS(2,COLUMN())),OFFSET($AT$2,0,0,ROW()-1,40),ROW()-1,FALSE))</f>
        <v/>
      </c>
      <c r="AI136" t="str">
        <f ca="1">IF(AND($B$294=1,LEN($AI$262) * LEN($AI$250)&gt;0),$AI$262/$AI$250*100,HLOOKUP(INDIRECT(ADDRESS(2,COLUMN())),OFFSET($AT$2,0,0,ROW()-1,40),ROW()-1,FALSE))</f>
        <v/>
      </c>
      <c r="AJ136" t="str">
        <f ca="1">IF(AND($B$294=1,LEN($AJ$262) * LEN($AJ$250)&gt;0),$AJ$262/$AJ$250*100,HLOOKUP(INDIRECT(ADDRESS(2,COLUMN())),OFFSET($AT$2,0,0,ROW()-1,40),ROW()-1,FALSE))</f>
        <v/>
      </c>
      <c r="AK136" t="str">
        <f ca="1">IF(AND($B$294=1,LEN($AK$262) * LEN($AK$250)&gt;0),$AK$262/$AK$250*100,HLOOKUP(INDIRECT(ADDRESS(2,COLUMN())),OFFSET($AT$2,0,0,ROW()-1,40),ROW()-1,FALSE))</f>
        <v/>
      </c>
      <c r="AL136" t="str">
        <f ca="1">IF(AND($B$294=1,LEN($AL$262) * LEN($AL$250)&gt;0),$AL$262/$AL$250*100,HLOOKUP(INDIRECT(ADDRESS(2,COLUMN())),OFFSET($AT$2,0,0,ROW()-1,40),ROW()-1,FALSE))</f>
        <v/>
      </c>
      <c r="AM136" t="str">
        <f ca="1">IF(AND($B$294=1,LEN($AM$262) * LEN($AM$250)&gt;0),$AM$262/$AM$250*100,HLOOKUP(INDIRECT(ADDRESS(2,COLUMN())),OFFSET($AT$2,0,0,ROW()-1,40),ROW()-1,FALSE))</f>
        <v/>
      </c>
      <c r="AN136" t="str">
        <f ca="1">IF(AND($B$294=1,LEN($AN$262) * LEN($AN$250)&gt;0),$AN$262/$AN$250*100,HLOOKUP(INDIRECT(ADDRESS(2,COLUMN())),OFFSET($AT$2,0,0,ROW()-1,40),ROW()-1,FALSE))</f>
        <v/>
      </c>
      <c r="AO136" t="str">
        <f ca="1">IF(AND($B$294=1,LEN($AO$262) * LEN($AO$250)&gt;0),$AO$262/$AO$250*100,HLOOKUP(INDIRECT(ADDRESS(2,COLUMN())),OFFSET($AT$2,0,0,ROW()-1,40),ROW()-1,FALSE))</f>
        <v/>
      </c>
      <c r="AP136" t="str">
        <f ca="1">IF(AND($B$294=1,LEN($AP$262) * LEN($AP$250)&gt;0),$AP$262/$AP$250*100,HLOOKUP(INDIRECT(ADDRESS(2,COLUMN())),OFFSET($AT$2,0,0,ROW()-1,40),ROW()-1,FALSE))</f>
        <v/>
      </c>
      <c r="AQ136" t="str">
        <f ca="1">IF(AND($B$294=1,LEN($AQ$262) * LEN($AQ$250)&gt;0),$AQ$262/$AQ$250*100,HLOOKUP(INDIRECT(ADDRESS(2,COLUMN())),OFFSET($AT$2,0,0,ROW()-1,40),ROW()-1,FALSE))</f>
        <v/>
      </c>
      <c r="AR136" t="str">
        <f ca="1">IF(AND($B$294=1,LEN($AR$262) * LEN($AR$250)&gt;0),$AR$262/$AR$250*100,HLOOKUP(INDIRECT(ADDRESS(2,COLUMN())),OFFSET($AT$2,0,0,ROW()-1,40),ROW()-1,FALSE))</f>
        <v/>
      </c>
      <c r="AS136" t="str">
        <f ca="1">IF(AND($B$294=1,LEN($AS$262) * LEN($AS$250)&gt;0),$AS$262/$AS$250*100,HLOOKUP(INDIRECT(ADDRESS(2,COLUMN())),OFFSET($AT$2,0,0,ROW()-1,40),ROW()-1,FALSE))</f>
        <v/>
      </c>
      <c r="AT136" t="str">
        <f>""</f>
        <v/>
      </c>
      <c r="AU136" t="str">
        <f>""</f>
        <v/>
      </c>
      <c r="AV136" t="str">
        <f>""</f>
        <v/>
      </c>
      <c r="AW136" t="str">
        <f>""</f>
        <v/>
      </c>
      <c r="AX136" t="str">
        <f>""</f>
        <v/>
      </c>
      <c r="AY136" t="str">
        <f>""</f>
        <v/>
      </c>
      <c r="AZ136" t="str">
        <f>""</f>
        <v/>
      </c>
      <c r="BA136" t="str">
        <f>""</f>
        <v/>
      </c>
      <c r="BB136" t="str">
        <f>""</f>
        <v/>
      </c>
      <c r="BC136" t="str">
        <f>""</f>
        <v/>
      </c>
      <c r="BD136" t="str">
        <f>""</f>
        <v/>
      </c>
      <c r="BE136" t="str">
        <f>""</f>
        <v/>
      </c>
      <c r="BF136" t="str">
        <f>""</f>
        <v/>
      </c>
      <c r="BG136" t="str">
        <f>""</f>
        <v/>
      </c>
      <c r="BH136" t="str">
        <f>""</f>
        <v/>
      </c>
      <c r="BI136" t="str">
        <f>""</f>
        <v/>
      </c>
      <c r="BJ136" t="str">
        <f>""</f>
        <v/>
      </c>
      <c r="BK136" t="str">
        <f>""</f>
        <v/>
      </c>
      <c r="BL136" t="str">
        <f>""</f>
        <v/>
      </c>
      <c r="BM136" t="str">
        <f>""</f>
        <v/>
      </c>
      <c r="BN136" t="str">
        <f>""</f>
        <v/>
      </c>
      <c r="BO136" t="str">
        <f>""</f>
        <v/>
      </c>
      <c r="BP136" t="str">
        <f>""</f>
        <v/>
      </c>
      <c r="BQ136" t="str">
        <f>""</f>
        <v/>
      </c>
      <c r="BR136" t="str">
        <f>""</f>
        <v/>
      </c>
      <c r="BS136" t="str">
        <f>""</f>
        <v/>
      </c>
      <c r="BT136" t="str">
        <f>""</f>
        <v/>
      </c>
      <c r="BU136" t="str">
        <f>""</f>
        <v/>
      </c>
      <c r="BV136" t="str">
        <f>""</f>
        <v/>
      </c>
      <c r="BW136" t="str">
        <f>""</f>
        <v/>
      </c>
      <c r="BX136" t="str">
        <f>""</f>
        <v/>
      </c>
      <c r="BY136" t="str">
        <f>""</f>
        <v/>
      </c>
      <c r="BZ136" t="str">
        <f>""</f>
        <v/>
      </c>
      <c r="CA136" t="str">
        <f>""</f>
        <v/>
      </c>
      <c r="CB136" t="str">
        <f>""</f>
        <v/>
      </c>
      <c r="CC136" t="str">
        <f>""</f>
        <v/>
      </c>
      <c r="CD136" t="str">
        <f>""</f>
        <v/>
      </c>
      <c r="CE136" t="str">
        <f>""</f>
        <v/>
      </c>
      <c r="CF136" t="str">
        <f>""</f>
        <v/>
      </c>
      <c r="CG136" t="str">
        <f>""</f>
        <v/>
      </c>
    </row>
    <row r="137" spans="1:85" x14ac:dyDescent="0.25">
      <c r="A137" t="str">
        <f>"    Volvo"</f>
        <v xml:space="preserve">    Volvo</v>
      </c>
      <c r="B137" t="str">
        <f>"VOLVB SS Equity"</f>
        <v>VOLVB SS Equity</v>
      </c>
      <c r="E137" t="str">
        <f>"Sum"</f>
        <v>Sum</v>
      </c>
      <c r="F137" t="str">
        <f ca="1">IF(ISERROR(IF(SUM($F$138:$F$138) = 0, "", SUM($F$138:$F$138))), "", (IF(SUM($F$138:$F$138) = 0, "", SUM($F$138:$F$138))))</f>
        <v/>
      </c>
      <c r="G137" t="str">
        <f ca="1">IF(ISERROR(IF(SUM($G$138:$G$138) = 0, "", SUM($G$138:$G$138))), "", (IF(SUM($G$138:$G$138) = 0, "", SUM($G$138:$G$138))))</f>
        <v/>
      </c>
      <c r="H137" t="str">
        <f ca="1">IF(ISERROR(IF(SUM($H$138:$H$138) = 0, "", SUM($H$138:$H$138))), "", (IF(SUM($H$138:$H$138) = 0, "", SUM($H$138:$H$138))))</f>
        <v/>
      </c>
      <c r="I137" t="str">
        <f ca="1">IF(ISERROR(IF(SUM($I$138:$I$138) = 0, "", SUM($I$138:$I$138))), "", (IF(SUM($I$138:$I$138) = 0, "", SUM($I$138:$I$138))))</f>
        <v/>
      </c>
      <c r="J137" t="str">
        <f ca="1">IF(ISERROR(IF(SUM($J$138:$J$138) = 0, "", SUM($J$138:$J$138))), "", (IF(SUM($J$138:$J$138) = 0, "", SUM($J$138:$J$138))))</f>
        <v/>
      </c>
      <c r="K137" t="str">
        <f ca="1">IF(ISERROR(IF(SUM($K$138:$K$138) = 0, "", SUM($K$138:$K$138))), "", (IF(SUM($K$138:$K$138) = 0, "", SUM($K$138:$K$138))))</f>
        <v/>
      </c>
      <c r="L137" t="str">
        <f ca="1">IF(ISERROR(IF(SUM($L$138:$L$138) = 0, "", SUM($L$138:$L$138))), "", (IF(SUM($L$138:$L$138) = 0, "", SUM($L$138:$L$138))))</f>
        <v/>
      </c>
      <c r="M137" t="str">
        <f ca="1">IF(ISERROR(IF(SUM($M$138:$M$138) = 0, "", SUM($M$138:$M$138))), "", (IF(SUM($M$138:$M$138) = 0, "", SUM($M$138:$M$138))))</f>
        <v/>
      </c>
      <c r="N137" t="str">
        <f ca="1">IF(ISERROR(IF(SUM($N$138:$N$138) = 0, "", SUM($N$138:$N$138))), "", (IF(SUM($N$138:$N$138) = 0, "", SUM($N$138:$N$138))))</f>
        <v/>
      </c>
      <c r="O137" t="str">
        <f ca="1">IF(ISERROR(IF(SUM($O$138:$O$138) = 0, "", SUM($O$138:$O$138))), "", (IF(SUM($O$138:$O$138) = 0, "", SUM($O$138:$O$138))))</f>
        <v/>
      </c>
      <c r="P137" t="str">
        <f ca="1">IF(ISERROR(IF(SUM($P$138:$P$138) = 0, "", SUM($P$138:$P$138))), "", (IF(SUM($P$138:$P$138) = 0, "", SUM($P$138:$P$138))))</f>
        <v/>
      </c>
      <c r="Q137" t="str">
        <f ca="1">IF(ISERROR(IF(SUM($Q$138:$Q$138) = 0, "", SUM($Q$138:$Q$138))), "", (IF(SUM($Q$138:$Q$138) = 0, "", SUM($Q$138:$Q$138))))</f>
        <v/>
      </c>
      <c r="R137" t="str">
        <f ca="1">IF(ISERROR(IF(SUM($R$138:$R$138) = 0, "", SUM($R$138:$R$138))), "", (IF(SUM($R$138:$R$138) = 0, "", SUM($R$138:$R$138))))</f>
        <v/>
      </c>
      <c r="S137" t="str">
        <f ca="1">IF(ISERROR(IF(SUM($S$138:$S$138) = 0, "", SUM($S$138:$S$138))), "", (IF(SUM($S$138:$S$138) = 0, "", SUM($S$138:$S$138))))</f>
        <v/>
      </c>
      <c r="T137" t="str">
        <f ca="1">IF(ISERROR(IF(SUM($T$138:$T$138) = 0, "", SUM($T$138:$T$138))), "", (IF(SUM($T$138:$T$138) = 0, "", SUM($T$138:$T$138))))</f>
        <v/>
      </c>
      <c r="U137" t="str">
        <f ca="1">IF(ISERROR(IF(SUM($U$138:$U$138) = 0, "", SUM($U$138:$U$138))), "", (IF(SUM($U$138:$U$138) = 0, "", SUM($U$138:$U$138))))</f>
        <v/>
      </c>
      <c r="V137" t="str">
        <f ca="1">IF(ISERROR(IF(SUM($V$138:$V$138) = 0, "", SUM($V$138:$V$138))), "", (IF(SUM($V$138:$V$138) = 0, "", SUM($V$138:$V$138))))</f>
        <v/>
      </c>
      <c r="W137" t="str">
        <f ca="1">IF(ISERROR(IF(SUM($W$138:$W$138) = 0, "", SUM($W$138:$W$138))), "", (IF(SUM($W$138:$W$138) = 0, "", SUM($W$138:$W$138))))</f>
        <v/>
      </c>
      <c r="X137" t="str">
        <f ca="1">IF(ISERROR(IF(SUM($X$138:$X$138) = 0, "", SUM($X$138:$X$138))), "", (IF(SUM($X$138:$X$138) = 0, "", SUM($X$138:$X$138))))</f>
        <v/>
      </c>
      <c r="Y137" t="str">
        <f ca="1">IF(ISERROR(IF(SUM($Y$138:$Y$138) = 0, "", SUM($Y$138:$Y$138))), "", (IF(SUM($Y$138:$Y$138) = 0, "", SUM($Y$138:$Y$138))))</f>
        <v/>
      </c>
      <c r="Z137" t="str">
        <f ca="1">IF(ISERROR(IF(SUM($Z$138:$Z$138) = 0, "", SUM($Z$138:$Z$138))), "", (IF(SUM($Z$138:$Z$138) = 0, "", SUM($Z$138:$Z$138))))</f>
        <v/>
      </c>
      <c r="AA137" t="str">
        <f ca="1">IF(ISERROR(IF(SUM($AA$138:$AA$138) = 0, "", SUM($AA$138:$AA$138))), "", (IF(SUM($AA$138:$AA$138) = 0, "", SUM($AA$138:$AA$138))))</f>
        <v/>
      </c>
      <c r="AB137" t="str">
        <f ca="1">IF(ISERROR(IF(SUM($AB$138:$AB$138) = 0, "", SUM($AB$138:$AB$138))), "", (IF(SUM($AB$138:$AB$138) = 0, "", SUM($AB$138:$AB$138))))</f>
        <v/>
      </c>
      <c r="AC137" t="str">
        <f ca="1">IF(ISERROR(IF(SUM($AC$138:$AC$138) = 0, "", SUM($AC$138:$AC$138))), "", (IF(SUM($AC$138:$AC$138) = 0, "", SUM($AC$138:$AC$138))))</f>
        <v/>
      </c>
      <c r="AD137" t="str">
        <f ca="1">IF(ISERROR(IF(SUM($AD$138:$AD$138) = 0, "", SUM($AD$138:$AD$138))), "", (IF(SUM($AD$138:$AD$138) = 0, "", SUM($AD$138:$AD$138))))</f>
        <v/>
      </c>
      <c r="AE137" t="str">
        <f ca="1">IF(ISERROR(IF(SUM($AE$138:$AE$138) = 0, "", SUM($AE$138:$AE$138))), "", (IF(SUM($AE$138:$AE$138) = 0, "", SUM($AE$138:$AE$138))))</f>
        <v/>
      </c>
      <c r="AF137" t="str">
        <f ca="1">IF(ISERROR(IF(SUM($AF$138:$AF$138) = 0, "", SUM($AF$138:$AF$138))), "", (IF(SUM($AF$138:$AF$138) = 0, "", SUM($AF$138:$AF$138))))</f>
        <v/>
      </c>
      <c r="AG137" t="str">
        <f ca="1">IF(ISERROR(IF(SUM($AG$138:$AG$138) = 0, "", SUM($AG$138:$AG$138))), "", (IF(SUM($AG$138:$AG$138) = 0, "", SUM($AG$138:$AG$138))))</f>
        <v/>
      </c>
      <c r="AH137" t="str">
        <f ca="1">IF(ISERROR(IF(SUM($AH$138:$AH$138) = 0, "", SUM($AH$138:$AH$138))), "", (IF(SUM($AH$138:$AH$138) = 0, "", SUM($AH$138:$AH$138))))</f>
        <v/>
      </c>
      <c r="AI137" t="str">
        <f ca="1">IF(ISERROR(IF(SUM($AI$138:$AI$138) = 0, "", SUM($AI$138:$AI$138))), "", (IF(SUM($AI$138:$AI$138) = 0, "", SUM($AI$138:$AI$138))))</f>
        <v/>
      </c>
      <c r="AJ137" t="str">
        <f ca="1">IF(ISERROR(IF(SUM($AJ$138:$AJ$138) = 0, "", SUM($AJ$138:$AJ$138))), "", (IF(SUM($AJ$138:$AJ$138) = 0, "", SUM($AJ$138:$AJ$138))))</f>
        <v/>
      </c>
      <c r="AK137" t="str">
        <f ca="1">IF(ISERROR(IF(SUM($AK$138:$AK$138) = 0, "", SUM($AK$138:$AK$138))), "", (IF(SUM($AK$138:$AK$138) = 0, "", SUM($AK$138:$AK$138))))</f>
        <v/>
      </c>
      <c r="AL137" t="str">
        <f ca="1">IF(ISERROR(IF(SUM($AL$138:$AL$138) = 0, "", SUM($AL$138:$AL$138))), "", (IF(SUM($AL$138:$AL$138) = 0, "", SUM($AL$138:$AL$138))))</f>
        <v/>
      </c>
      <c r="AM137" t="str">
        <f ca="1">IF(ISERROR(IF(SUM($AM$138:$AM$138) = 0, "", SUM($AM$138:$AM$138))), "", (IF(SUM($AM$138:$AM$138) = 0, "", SUM($AM$138:$AM$138))))</f>
        <v/>
      </c>
      <c r="AN137" t="str">
        <f ca="1">IF(ISERROR(IF(SUM($AN$138:$AN$138) = 0, "", SUM($AN$138:$AN$138))), "", (IF(SUM($AN$138:$AN$138) = 0, "", SUM($AN$138:$AN$138))))</f>
        <v/>
      </c>
      <c r="AO137" t="str">
        <f ca="1">IF(ISERROR(IF(SUM($AO$138:$AO$138) = 0, "", SUM($AO$138:$AO$138))), "", (IF(SUM($AO$138:$AO$138) = 0, "", SUM($AO$138:$AO$138))))</f>
        <v/>
      </c>
      <c r="AP137" t="str">
        <f ca="1">IF(ISERROR(IF(SUM($AP$138:$AP$138) = 0, "", SUM($AP$138:$AP$138))), "", (IF(SUM($AP$138:$AP$138) = 0, "", SUM($AP$138:$AP$138))))</f>
        <v/>
      </c>
      <c r="AQ137" t="str">
        <f ca="1">IF(ISERROR(IF(SUM($AQ$138:$AQ$138) = 0, "", SUM($AQ$138:$AQ$138))), "", (IF(SUM($AQ$138:$AQ$138) = 0, "", SUM($AQ$138:$AQ$138))))</f>
        <v/>
      </c>
      <c r="AR137" t="str">
        <f ca="1">IF(ISERROR(IF(SUM($AR$138:$AR$138) = 0, "", SUM($AR$138:$AR$138))), "", (IF(SUM($AR$138:$AR$138) = 0, "", SUM($AR$138:$AR$138))))</f>
        <v/>
      </c>
      <c r="AS137" t="str">
        <f ca="1">IF(ISERROR(IF(SUM($AS$138:$AS$138) = 0, "", SUM($AS$138:$AS$138))), "", (IF(SUM($AS$138:$AS$138) = 0, "", SUM($AS$138:$AS$138))))</f>
        <v/>
      </c>
      <c r="AT137" t="str">
        <f>""</f>
        <v/>
      </c>
      <c r="AU137" t="str">
        <f>""</f>
        <v/>
      </c>
      <c r="AV137" t="str">
        <f>""</f>
        <v/>
      </c>
      <c r="AW137" t="str">
        <f>""</f>
        <v/>
      </c>
      <c r="AX137" t="str">
        <f>""</f>
        <v/>
      </c>
      <c r="AY137" t="str">
        <f>""</f>
        <v/>
      </c>
      <c r="AZ137" t="str">
        <f>""</f>
        <v/>
      </c>
      <c r="BA137" t="str">
        <f>""</f>
        <v/>
      </c>
      <c r="BB137" t="str">
        <f>""</f>
        <v/>
      </c>
      <c r="BC137" t="str">
        <f>""</f>
        <v/>
      </c>
      <c r="BD137" t="str">
        <f>""</f>
        <v/>
      </c>
      <c r="BE137" t="str">
        <f>""</f>
        <v/>
      </c>
      <c r="BF137" t="str">
        <f>""</f>
        <v/>
      </c>
      <c r="BG137" t="str">
        <f>""</f>
        <v/>
      </c>
      <c r="BH137" t="str">
        <f>""</f>
        <v/>
      </c>
      <c r="BI137" t="str">
        <f>""</f>
        <v/>
      </c>
      <c r="BJ137" t="str">
        <f>""</f>
        <v/>
      </c>
      <c r="BK137" t="str">
        <f>""</f>
        <v/>
      </c>
      <c r="BL137" t="str">
        <f>""</f>
        <v/>
      </c>
      <c r="BM137" t="str">
        <f>""</f>
        <v/>
      </c>
      <c r="BN137" t="str">
        <f>""</f>
        <v/>
      </c>
      <c r="BO137" t="str">
        <f>""</f>
        <v/>
      </c>
      <c r="BP137" t="str">
        <f>""</f>
        <v/>
      </c>
      <c r="BQ137" t="str">
        <f>""</f>
        <v/>
      </c>
      <c r="BR137" t="str">
        <f>""</f>
        <v/>
      </c>
      <c r="BS137" t="str">
        <f>""</f>
        <v/>
      </c>
      <c r="BT137" t="str">
        <f>""</f>
        <v/>
      </c>
      <c r="BU137" t="str">
        <f>""</f>
        <v/>
      </c>
      <c r="BV137" t="str">
        <f>""</f>
        <v/>
      </c>
      <c r="BW137" t="str">
        <f>""</f>
        <v/>
      </c>
      <c r="BX137" t="str">
        <f>""</f>
        <v/>
      </c>
      <c r="BY137" t="str">
        <f>""</f>
        <v/>
      </c>
      <c r="BZ137" t="str">
        <f>""</f>
        <v/>
      </c>
      <c r="CA137" t="str">
        <f>""</f>
        <v/>
      </c>
      <c r="CB137" t="str">
        <f>""</f>
        <v/>
      </c>
      <c r="CC137" t="str">
        <f>""</f>
        <v/>
      </c>
      <c r="CD137" t="str">
        <f>""</f>
        <v/>
      </c>
      <c r="CE137" t="str">
        <f>""</f>
        <v/>
      </c>
      <c r="CF137" t="str">
        <f>""</f>
        <v/>
      </c>
      <c r="CG137" t="str">
        <f>""</f>
        <v/>
      </c>
    </row>
    <row r="138" spans="1:85" x14ac:dyDescent="0.25">
      <c r="A138" t="str">
        <f>"        Mack"</f>
        <v xml:space="preserve">        Mack</v>
      </c>
      <c r="B138" t="str">
        <f>"VOLVB SS Equity"</f>
        <v>VOLVB SS Equity</v>
      </c>
      <c r="E138" t="str">
        <f>"Expression"</f>
        <v>Expression</v>
      </c>
      <c r="F138" t="str">
        <f ca="1">IF(AND($B$294=1,LEN($F$263) * LEN($F$250)&gt;0),$F$263/$F$250*100,HLOOKUP(INDIRECT(ADDRESS(2,COLUMN())),OFFSET($AT$2,0,0,ROW()-1,40),ROW()-1,FALSE))</f>
        <v/>
      </c>
      <c r="G138" t="str">
        <f ca="1">IF(AND($B$294=1,LEN($G$263) * LEN($G$250)&gt;0),$G$263/$G$250*100,HLOOKUP(INDIRECT(ADDRESS(2,COLUMN())),OFFSET($AT$2,0,0,ROW()-1,40),ROW()-1,FALSE))</f>
        <v/>
      </c>
      <c r="H138" t="str">
        <f ca="1">IF(AND($B$294=1,LEN($H$263) * LEN($H$250)&gt;0),$H$263/$H$250*100,HLOOKUP(INDIRECT(ADDRESS(2,COLUMN())),OFFSET($AT$2,0,0,ROW()-1,40),ROW()-1,FALSE))</f>
        <v/>
      </c>
      <c r="I138" t="str">
        <f ca="1">IF(AND($B$294=1,LEN($I$263) * LEN($I$250)&gt;0),$I$263/$I$250*100,HLOOKUP(INDIRECT(ADDRESS(2,COLUMN())),OFFSET($AT$2,0,0,ROW()-1,40),ROW()-1,FALSE))</f>
        <v/>
      </c>
      <c r="J138" t="str">
        <f ca="1">IF(AND($B$294=1,LEN($J$263) * LEN($J$250)&gt;0),$J$263/$J$250*100,HLOOKUP(INDIRECT(ADDRESS(2,COLUMN())),OFFSET($AT$2,0,0,ROW()-1,40),ROW()-1,FALSE))</f>
        <v/>
      </c>
      <c r="K138" t="str">
        <f ca="1">IF(AND($B$294=1,LEN($K$263) * LEN($K$250)&gt;0),$K$263/$K$250*100,HLOOKUP(INDIRECT(ADDRESS(2,COLUMN())),OFFSET($AT$2,0,0,ROW()-1,40),ROW()-1,FALSE))</f>
        <v/>
      </c>
      <c r="L138" t="str">
        <f ca="1">IF(AND($B$294=1,LEN($L$263) * LEN($L$250)&gt;0),$L$263/$L$250*100,HLOOKUP(INDIRECT(ADDRESS(2,COLUMN())),OFFSET($AT$2,0,0,ROW()-1,40),ROW()-1,FALSE))</f>
        <v/>
      </c>
      <c r="M138" t="str">
        <f ca="1">IF(AND($B$294=1,LEN($M$263) * LEN($M$250)&gt;0),$M$263/$M$250*100,HLOOKUP(INDIRECT(ADDRESS(2,COLUMN())),OFFSET($AT$2,0,0,ROW()-1,40),ROW()-1,FALSE))</f>
        <v/>
      </c>
      <c r="N138" t="str">
        <f ca="1">IF(AND($B$294=1,LEN($N$263) * LEN($N$250)&gt;0),$N$263/$N$250*100,HLOOKUP(INDIRECT(ADDRESS(2,COLUMN())),OFFSET($AT$2,0,0,ROW()-1,40),ROW()-1,FALSE))</f>
        <v/>
      </c>
      <c r="O138" t="str">
        <f ca="1">IF(AND($B$294=1,LEN($O$263) * LEN($O$250)&gt;0),$O$263/$O$250*100,HLOOKUP(INDIRECT(ADDRESS(2,COLUMN())),OFFSET($AT$2,0,0,ROW()-1,40),ROW()-1,FALSE))</f>
        <v/>
      </c>
      <c r="P138" t="str">
        <f ca="1">IF(AND($B$294=1,LEN($P$263) * LEN($P$250)&gt;0),$P$263/$P$250*100,HLOOKUP(INDIRECT(ADDRESS(2,COLUMN())),OFFSET($AT$2,0,0,ROW()-1,40),ROW()-1,FALSE))</f>
        <v/>
      </c>
      <c r="Q138" t="str">
        <f ca="1">IF(AND($B$294=1,LEN($Q$263) * LEN($Q$250)&gt;0),$Q$263/$Q$250*100,HLOOKUP(INDIRECT(ADDRESS(2,COLUMN())),OFFSET($AT$2,0,0,ROW()-1,40),ROW()-1,FALSE))</f>
        <v/>
      </c>
      <c r="R138" t="str">
        <f ca="1">IF(AND($B$294=1,LEN($R$263) * LEN($R$250)&gt;0),$R$263/$R$250*100,HLOOKUP(INDIRECT(ADDRESS(2,COLUMN())),OFFSET($AT$2,0,0,ROW()-1,40),ROW()-1,FALSE))</f>
        <v/>
      </c>
      <c r="S138" t="str">
        <f ca="1">IF(AND($B$294=1,LEN($S$263) * LEN($S$250)&gt;0),$S$263/$S$250*100,HLOOKUP(INDIRECT(ADDRESS(2,COLUMN())),OFFSET($AT$2,0,0,ROW()-1,40),ROW()-1,FALSE))</f>
        <v/>
      </c>
      <c r="T138" t="str">
        <f ca="1">IF(AND($B$294=1,LEN($T$263) * LEN($T$250)&gt;0),$T$263/$T$250*100,HLOOKUP(INDIRECT(ADDRESS(2,COLUMN())),OFFSET($AT$2,0,0,ROW()-1,40),ROW()-1,FALSE))</f>
        <v/>
      </c>
      <c r="U138" t="str">
        <f ca="1">IF(AND($B$294=1,LEN($U$263) * LEN($U$250)&gt;0),$U$263/$U$250*100,HLOOKUP(INDIRECT(ADDRESS(2,COLUMN())),OFFSET($AT$2,0,0,ROW()-1,40),ROW()-1,FALSE))</f>
        <v/>
      </c>
      <c r="V138" t="str">
        <f ca="1">IF(AND($B$294=1,LEN($V$263) * LEN($V$250)&gt;0),$V$263/$V$250*100,HLOOKUP(INDIRECT(ADDRESS(2,COLUMN())),OFFSET($AT$2,0,0,ROW()-1,40),ROW()-1,FALSE))</f>
        <v/>
      </c>
      <c r="W138" t="str">
        <f ca="1">IF(AND($B$294=1,LEN($W$263) * LEN($W$250)&gt;0),$W$263/$W$250*100,HLOOKUP(INDIRECT(ADDRESS(2,COLUMN())),OFFSET($AT$2,0,0,ROW()-1,40),ROW()-1,FALSE))</f>
        <v/>
      </c>
      <c r="X138" t="str">
        <f ca="1">IF(AND($B$294=1,LEN($X$263) * LEN($X$250)&gt;0),$X$263/$X$250*100,HLOOKUP(INDIRECT(ADDRESS(2,COLUMN())),OFFSET($AT$2,0,0,ROW()-1,40),ROW()-1,FALSE))</f>
        <v/>
      </c>
      <c r="Y138" t="str">
        <f ca="1">IF(AND($B$294=1,LEN($Y$263) * LEN($Y$250)&gt;0),$Y$263/$Y$250*100,HLOOKUP(INDIRECT(ADDRESS(2,COLUMN())),OFFSET($AT$2,0,0,ROW()-1,40),ROW()-1,FALSE))</f>
        <v/>
      </c>
      <c r="Z138" t="str">
        <f ca="1">IF(AND($B$294=1,LEN($Z$263) * LEN($Z$250)&gt;0),$Z$263/$Z$250*100,HLOOKUP(INDIRECT(ADDRESS(2,COLUMN())),OFFSET($AT$2,0,0,ROW()-1,40),ROW()-1,FALSE))</f>
        <v/>
      </c>
      <c r="AA138" t="str">
        <f ca="1">IF(AND($B$294=1,LEN($AA$263) * LEN($AA$250)&gt;0),$AA$263/$AA$250*100,HLOOKUP(INDIRECT(ADDRESS(2,COLUMN())),OFFSET($AT$2,0,0,ROW()-1,40),ROW()-1,FALSE))</f>
        <v/>
      </c>
      <c r="AB138" t="str">
        <f ca="1">IF(AND($B$294=1,LEN($AB$263) * LEN($AB$250)&gt;0),$AB$263/$AB$250*100,HLOOKUP(INDIRECT(ADDRESS(2,COLUMN())),OFFSET($AT$2,0,0,ROW()-1,40),ROW()-1,FALSE))</f>
        <v/>
      </c>
      <c r="AC138" t="str">
        <f ca="1">IF(AND($B$294=1,LEN($AC$263) * LEN($AC$250)&gt;0),$AC$263/$AC$250*100,HLOOKUP(INDIRECT(ADDRESS(2,COLUMN())),OFFSET($AT$2,0,0,ROW()-1,40),ROW()-1,FALSE))</f>
        <v/>
      </c>
      <c r="AD138" t="str">
        <f ca="1">IF(AND($B$294=1,LEN($AD$263) * LEN($AD$250)&gt;0),$AD$263/$AD$250*100,HLOOKUP(INDIRECT(ADDRESS(2,COLUMN())),OFFSET($AT$2,0,0,ROW()-1,40),ROW()-1,FALSE))</f>
        <v/>
      </c>
      <c r="AE138" t="str">
        <f ca="1">IF(AND($B$294=1,LEN($AE$263) * LEN($AE$250)&gt;0),$AE$263/$AE$250*100,HLOOKUP(INDIRECT(ADDRESS(2,COLUMN())),OFFSET($AT$2,0,0,ROW()-1,40),ROW()-1,FALSE))</f>
        <v/>
      </c>
      <c r="AF138" t="str">
        <f ca="1">IF(AND($B$294=1,LEN($AF$263) * LEN($AF$250)&gt;0),$AF$263/$AF$250*100,HLOOKUP(INDIRECT(ADDRESS(2,COLUMN())),OFFSET($AT$2,0,0,ROW()-1,40),ROW()-1,FALSE))</f>
        <v/>
      </c>
      <c r="AG138" t="str">
        <f ca="1">IF(AND($B$294=1,LEN($AG$263) * LEN($AG$250)&gt;0),$AG$263/$AG$250*100,HLOOKUP(INDIRECT(ADDRESS(2,COLUMN())),OFFSET($AT$2,0,0,ROW()-1,40),ROW()-1,FALSE))</f>
        <v/>
      </c>
      <c r="AH138" t="str">
        <f ca="1">IF(AND($B$294=1,LEN($AH$263) * LEN($AH$250)&gt;0),$AH$263/$AH$250*100,HLOOKUP(INDIRECT(ADDRESS(2,COLUMN())),OFFSET($AT$2,0,0,ROW()-1,40),ROW()-1,FALSE))</f>
        <v/>
      </c>
      <c r="AI138" t="str">
        <f ca="1">IF(AND($B$294=1,LEN($AI$263) * LEN($AI$250)&gt;0),$AI$263/$AI$250*100,HLOOKUP(INDIRECT(ADDRESS(2,COLUMN())),OFFSET($AT$2,0,0,ROW()-1,40),ROW()-1,FALSE))</f>
        <v/>
      </c>
      <c r="AJ138" t="str">
        <f ca="1">IF(AND($B$294=1,LEN($AJ$263) * LEN($AJ$250)&gt;0),$AJ$263/$AJ$250*100,HLOOKUP(INDIRECT(ADDRESS(2,COLUMN())),OFFSET($AT$2,0,0,ROW()-1,40),ROW()-1,FALSE))</f>
        <v/>
      </c>
      <c r="AK138" t="str">
        <f ca="1">IF(AND($B$294=1,LEN($AK$263) * LEN($AK$250)&gt;0),$AK$263/$AK$250*100,HLOOKUP(INDIRECT(ADDRESS(2,COLUMN())),OFFSET($AT$2,0,0,ROW()-1,40),ROW()-1,FALSE))</f>
        <v/>
      </c>
      <c r="AL138" t="str">
        <f ca="1">IF(AND($B$294=1,LEN($AL$263) * LEN($AL$250)&gt;0),$AL$263/$AL$250*100,HLOOKUP(INDIRECT(ADDRESS(2,COLUMN())),OFFSET($AT$2,0,0,ROW()-1,40),ROW()-1,FALSE))</f>
        <v/>
      </c>
      <c r="AM138" t="str">
        <f ca="1">IF(AND($B$294=1,LEN($AM$263) * LEN($AM$250)&gt;0),$AM$263/$AM$250*100,HLOOKUP(INDIRECT(ADDRESS(2,COLUMN())),OFFSET($AT$2,0,0,ROW()-1,40),ROW()-1,FALSE))</f>
        <v/>
      </c>
      <c r="AN138" t="str">
        <f ca="1">IF(AND($B$294=1,LEN($AN$263) * LEN($AN$250)&gt;0),$AN$263/$AN$250*100,HLOOKUP(INDIRECT(ADDRESS(2,COLUMN())),OFFSET($AT$2,0,0,ROW()-1,40),ROW()-1,FALSE))</f>
        <v/>
      </c>
      <c r="AO138" t="str">
        <f ca="1">IF(AND($B$294=1,LEN($AO$263) * LEN($AO$250)&gt;0),$AO$263/$AO$250*100,HLOOKUP(INDIRECT(ADDRESS(2,COLUMN())),OFFSET($AT$2,0,0,ROW()-1,40),ROW()-1,FALSE))</f>
        <v/>
      </c>
      <c r="AP138" t="str">
        <f ca="1">IF(AND($B$294=1,LEN($AP$263) * LEN($AP$250)&gt;0),$AP$263/$AP$250*100,HLOOKUP(INDIRECT(ADDRESS(2,COLUMN())),OFFSET($AT$2,0,0,ROW()-1,40),ROW()-1,FALSE))</f>
        <v/>
      </c>
      <c r="AQ138" t="str">
        <f ca="1">IF(AND($B$294=1,LEN($AQ$263) * LEN($AQ$250)&gt;0),$AQ$263/$AQ$250*100,HLOOKUP(INDIRECT(ADDRESS(2,COLUMN())),OFFSET($AT$2,0,0,ROW()-1,40),ROW()-1,FALSE))</f>
        <v/>
      </c>
      <c r="AR138" t="str">
        <f ca="1">IF(AND($B$294=1,LEN($AR$263) * LEN($AR$250)&gt;0),$AR$263/$AR$250*100,HLOOKUP(INDIRECT(ADDRESS(2,COLUMN())),OFFSET($AT$2,0,0,ROW()-1,40),ROW()-1,FALSE))</f>
        <v/>
      </c>
      <c r="AS138" t="str">
        <f ca="1">IF(AND($B$294=1,LEN($AS$263) * LEN($AS$250)&gt;0),$AS$263/$AS$250*100,HLOOKUP(INDIRECT(ADDRESS(2,COLUMN())),OFFSET($AT$2,0,0,ROW()-1,40),ROW()-1,FALSE))</f>
        <v/>
      </c>
      <c r="AT138" t="str">
        <f>""</f>
        <v/>
      </c>
      <c r="AU138" t="str">
        <f>""</f>
        <v/>
      </c>
      <c r="AV138" t="str">
        <f>""</f>
        <v/>
      </c>
      <c r="AW138" t="str">
        <f>""</f>
        <v/>
      </c>
      <c r="AX138" t="str">
        <f>""</f>
        <v/>
      </c>
      <c r="AY138" t="str">
        <f>""</f>
        <v/>
      </c>
      <c r="AZ138" t="str">
        <f>""</f>
        <v/>
      </c>
      <c r="BA138" t="str">
        <f>""</f>
        <v/>
      </c>
      <c r="BB138" t="str">
        <f>""</f>
        <v/>
      </c>
      <c r="BC138" t="str">
        <f>""</f>
        <v/>
      </c>
      <c r="BD138" t="str">
        <f>""</f>
        <v/>
      </c>
      <c r="BE138" t="str">
        <f>""</f>
        <v/>
      </c>
      <c r="BF138" t="str">
        <f>""</f>
        <v/>
      </c>
      <c r="BG138" t="str">
        <f>""</f>
        <v/>
      </c>
      <c r="BH138" t="str">
        <f>""</f>
        <v/>
      </c>
      <c r="BI138" t="str">
        <f>""</f>
        <v/>
      </c>
      <c r="BJ138" t="str">
        <f>""</f>
        <v/>
      </c>
      <c r="BK138" t="str">
        <f>""</f>
        <v/>
      </c>
      <c r="BL138" t="str">
        <f>""</f>
        <v/>
      </c>
      <c r="BM138" t="str">
        <f>""</f>
        <v/>
      </c>
      <c r="BN138" t="str">
        <f>""</f>
        <v/>
      </c>
      <c r="BO138" t="str">
        <f>""</f>
        <v/>
      </c>
      <c r="BP138" t="str">
        <f>""</f>
        <v/>
      </c>
      <c r="BQ138" t="str">
        <f>""</f>
        <v/>
      </c>
      <c r="BR138" t="str">
        <f>""</f>
        <v/>
      </c>
      <c r="BS138" t="str">
        <f>""</f>
        <v/>
      </c>
      <c r="BT138" t="str">
        <f>""</f>
        <v/>
      </c>
      <c r="BU138" t="str">
        <f>""</f>
        <v/>
      </c>
      <c r="BV138" t="str">
        <f>""</f>
        <v/>
      </c>
      <c r="BW138" t="str">
        <f>""</f>
        <v/>
      </c>
      <c r="BX138" t="str">
        <f>""</f>
        <v/>
      </c>
      <c r="BY138" t="str">
        <f>""</f>
        <v/>
      </c>
      <c r="BZ138" t="str">
        <f>""</f>
        <v/>
      </c>
      <c r="CA138" t="str">
        <f>""</f>
        <v/>
      </c>
      <c r="CB138" t="str">
        <f>""</f>
        <v/>
      </c>
      <c r="CC138" t="str">
        <f>""</f>
        <v/>
      </c>
      <c r="CD138" t="str">
        <f>""</f>
        <v/>
      </c>
      <c r="CE138" t="str">
        <f>""</f>
        <v/>
      </c>
      <c r="CF138" t="str">
        <f>""</f>
        <v/>
      </c>
      <c r="CG138" t="str">
        <f>""</f>
        <v/>
      </c>
    </row>
    <row r="139" spans="1:85" x14ac:dyDescent="0.25">
      <c r="A139" t="str">
        <f>"Mexico (Class 6-7)"</f>
        <v>Mexico (Class 6-7)</v>
      </c>
      <c r="B139" t="str">
        <f>"TRCKMX6S Index"</f>
        <v>TRCKMX6S Index</v>
      </c>
      <c r="E139" t="str">
        <f>"Sum"</f>
        <v>Sum</v>
      </c>
      <c r="F139">
        <f ca="1">IF(ISERROR(IF(SUM($F$140,$F$144,$F$146,$F$147,$F$148,$F$149,$F$151,$F$153,$F$155,$F$156,$F$159,$F$160) = 0, "", SUM($F$140,$F$144,$F$146,$F$147,$F$148,$F$149,$F$151,$F$153,$F$155,$F$156,$F$159,$F$160))), "", (IF(SUM($F$140,$F$144,$F$146,$F$147,$F$148,$F$149,$F$151,$F$153,$F$155,$F$156,$F$159,$F$160) = 0, "", SUM($F$140,$F$144,$F$146,$F$147,$F$148,$F$149,$F$151,$F$153,$F$155,$F$156,$F$159,$F$160))))</f>
        <v>100</v>
      </c>
      <c r="G139">
        <f ca="1">IF(ISERROR(IF(SUM($G$140,$G$144,$G$146,$G$147,$G$148,$G$149,$G$151,$G$153,$G$155,$G$156,$G$159,$G$160) = 0, "", SUM($G$140,$G$144,$G$146,$G$147,$G$148,$G$149,$G$151,$G$153,$G$155,$G$156,$G$159,$G$160))), "", (IF(SUM($G$140,$G$144,$G$146,$G$147,$G$148,$G$149,$G$151,$G$153,$G$155,$G$156,$G$159,$G$160) = 0, "", SUM($G$140,$G$144,$G$146,$G$147,$G$148,$G$149,$G$151,$G$153,$G$155,$G$156,$G$159,$G$160))))</f>
        <v>99.999999997999993</v>
      </c>
      <c r="H139">
        <f ca="1">IF(ISERROR(IF(SUM($H$140,$H$144,$H$146,$H$147,$H$148,$H$149,$H$151,$H$153,$H$155,$H$156,$H$159,$H$160) = 0, "", SUM($H$140,$H$144,$H$146,$H$147,$H$148,$H$149,$H$151,$H$153,$H$155,$H$156,$H$159,$H$160))), "", (IF(SUM($H$140,$H$144,$H$146,$H$147,$H$148,$H$149,$H$151,$H$153,$H$155,$H$156,$H$159,$H$160) = 0, "", SUM($H$140,$H$144,$H$146,$H$147,$H$148,$H$149,$H$151,$H$153,$H$155,$H$156,$H$159,$H$160))))</f>
        <v>99.999999991999999</v>
      </c>
      <c r="I139">
        <f ca="1">IF(ISERROR(IF(SUM($I$140,$I$144,$I$146,$I$147,$I$148,$I$149,$I$151,$I$153,$I$155,$I$156,$I$159,$I$160) = 0, "", SUM($I$140,$I$144,$I$146,$I$147,$I$148,$I$149,$I$151,$I$153,$I$155,$I$156,$I$159,$I$160))), "", (IF(SUM($I$140,$I$144,$I$146,$I$147,$I$148,$I$149,$I$151,$I$153,$I$155,$I$156,$I$159,$I$160) = 0, "", SUM($I$140,$I$144,$I$146,$I$147,$I$148,$I$149,$I$151,$I$153,$I$155,$I$156,$I$159,$I$160))))</f>
        <v>100</v>
      </c>
      <c r="J139">
        <f ca="1">IF(ISERROR(IF(SUM($J$140,$J$144,$J$146,$J$147,$J$148,$J$149,$J$151,$J$153,$J$155,$J$156,$J$159,$J$160) = 0, "", SUM($J$140,$J$144,$J$146,$J$147,$J$148,$J$149,$J$151,$J$153,$J$155,$J$156,$J$159,$J$160))), "", (IF(SUM($J$140,$J$144,$J$146,$J$147,$J$148,$J$149,$J$151,$J$153,$J$155,$J$156,$J$159,$J$160) = 0, "", SUM($J$140,$J$144,$J$146,$J$147,$J$148,$J$149,$J$151,$J$153,$J$155,$J$156,$J$159,$J$160))))</f>
        <v>100.000000003</v>
      </c>
      <c r="K139">
        <f ca="1">IF(ISERROR(IF(SUM($K$140,$K$144,$K$146,$K$147,$K$148,$K$149,$K$151,$K$153,$K$155,$K$156,$K$159,$K$160) = 0, "", SUM($K$140,$K$144,$K$146,$K$147,$K$148,$K$149,$K$151,$K$153,$K$155,$K$156,$K$159,$K$160))), "", (IF(SUM($K$140,$K$144,$K$146,$K$147,$K$148,$K$149,$K$151,$K$153,$K$155,$K$156,$K$159,$K$160) = 0, "", SUM($K$140,$K$144,$K$146,$K$147,$K$148,$K$149,$K$151,$K$153,$K$155,$K$156,$K$159,$K$160))))</f>
        <v>100.000000011</v>
      </c>
      <c r="L139">
        <f ca="1">IF(ISERROR(IF(SUM($L$140,$L$144,$L$146,$L$147,$L$148,$L$149,$L$151,$L$153,$L$155,$L$156,$L$159,$L$160) = 0, "", SUM($L$140,$L$144,$L$146,$L$147,$L$148,$L$149,$L$151,$L$153,$L$155,$L$156,$L$159,$L$160))), "", (IF(SUM($L$140,$L$144,$L$146,$L$147,$L$148,$L$149,$L$151,$L$153,$L$155,$L$156,$L$159,$L$160) = 0, "", SUM($L$140,$L$144,$L$146,$L$147,$L$148,$L$149,$L$151,$L$153,$L$155,$L$156,$L$159,$L$160))))</f>
        <v>99.999999989000003</v>
      </c>
      <c r="M139">
        <f ca="1">IF(ISERROR(IF(SUM($M$140,$M$144,$M$146,$M$147,$M$148,$M$149,$M$151,$M$153,$M$155,$M$156,$M$159,$M$160) = 0, "", SUM($M$140,$M$144,$M$146,$M$147,$M$148,$M$149,$M$151,$M$153,$M$155,$M$156,$M$159,$M$160))), "", (IF(SUM($M$140,$M$144,$M$146,$M$147,$M$148,$M$149,$M$151,$M$153,$M$155,$M$156,$M$159,$M$160) = 0, "", SUM($M$140,$M$144,$M$146,$M$147,$M$148,$M$149,$M$151,$M$153,$M$155,$M$156,$M$159,$M$160))))</f>
        <v>100.00000000400001</v>
      </c>
      <c r="N139">
        <f ca="1">IF(ISERROR(IF(SUM($N$140,$N$144,$N$146,$N$147,$N$148,$N$149,$N$151,$N$153,$N$155,$N$156,$N$159,$N$160) = 0, "", SUM($N$140,$N$144,$N$146,$N$147,$N$148,$N$149,$N$151,$N$153,$N$155,$N$156,$N$159,$N$160))), "", (IF(SUM($N$140,$N$144,$N$146,$N$147,$N$148,$N$149,$N$151,$N$153,$N$155,$N$156,$N$159,$N$160) = 0, "", SUM($N$140,$N$144,$N$146,$N$147,$N$148,$N$149,$N$151,$N$153,$N$155,$N$156,$N$159,$N$160))))</f>
        <v>99.999999994000007</v>
      </c>
      <c r="O139">
        <f ca="1">IF(ISERROR(IF(SUM($O$140,$O$144,$O$146,$O$147,$O$148,$O$149,$O$151,$O$153,$O$155,$O$156,$O$159,$O$160) = 0, "", SUM($O$140,$O$144,$O$146,$O$147,$O$148,$O$149,$O$151,$O$153,$O$155,$O$156,$O$159,$O$160))), "", (IF(SUM($O$140,$O$144,$O$146,$O$147,$O$148,$O$149,$O$151,$O$153,$O$155,$O$156,$O$159,$O$160) = 0, "", SUM($O$140,$O$144,$O$146,$O$147,$O$148,$O$149,$O$151,$O$153,$O$155,$O$156,$O$159,$O$160))))</f>
        <v>100</v>
      </c>
      <c r="P139">
        <f ca="1">IF(ISERROR(IF(SUM($P$140,$P$144,$P$146,$P$147,$P$148,$P$149,$P$151,$P$153,$P$155,$P$156,$P$159,$P$160) = 0, "", SUM($P$140,$P$144,$P$146,$P$147,$P$148,$P$149,$P$151,$P$153,$P$155,$P$156,$P$159,$P$160))), "", (IF(SUM($P$140,$P$144,$P$146,$P$147,$P$148,$P$149,$P$151,$P$153,$P$155,$P$156,$P$159,$P$160) = 0, "", SUM($P$140,$P$144,$P$146,$P$147,$P$148,$P$149,$P$151,$P$153,$P$155,$P$156,$P$159,$P$160))))</f>
        <v>99.999999998000007</v>
      </c>
      <c r="Q139">
        <f ca="1">IF(ISERROR(IF(SUM($Q$140,$Q$144,$Q$146,$Q$147,$Q$148,$Q$149,$Q$151,$Q$153,$Q$155,$Q$156,$Q$159,$Q$160) = 0, "", SUM($Q$140,$Q$144,$Q$146,$Q$147,$Q$148,$Q$149,$Q$151,$Q$153,$Q$155,$Q$156,$Q$159,$Q$160))), "", (IF(SUM($Q$140,$Q$144,$Q$146,$Q$147,$Q$148,$Q$149,$Q$151,$Q$153,$Q$155,$Q$156,$Q$159,$Q$160) = 0, "", SUM($Q$140,$Q$144,$Q$146,$Q$147,$Q$148,$Q$149,$Q$151,$Q$153,$Q$155,$Q$156,$Q$159,$Q$160))))</f>
        <v>99.999999993000003</v>
      </c>
      <c r="R139">
        <f ca="1">IF(ISERROR(IF(SUM($R$140,$R$144,$R$146,$R$147,$R$148,$R$149,$R$151,$R$153,$R$155,$R$156,$R$159,$R$160) = 0, "", SUM($R$140,$R$144,$R$146,$R$147,$R$148,$R$149,$R$151,$R$153,$R$155,$R$156,$R$159,$R$160))), "", (IF(SUM($R$140,$R$144,$R$146,$R$147,$R$148,$R$149,$R$151,$R$153,$R$155,$R$156,$R$159,$R$160) = 0, "", SUM($R$140,$R$144,$R$146,$R$147,$R$148,$R$149,$R$151,$R$153,$R$155,$R$156,$R$159,$R$160))))</f>
        <v>99.999999990000006</v>
      </c>
      <c r="S139">
        <f ca="1">IF(ISERROR(IF(SUM($S$140,$S$144,$S$146,$S$147,$S$148,$S$149,$S$151,$S$153,$S$155,$S$156,$S$159,$S$160) = 0, "", SUM($S$140,$S$144,$S$146,$S$147,$S$148,$S$149,$S$151,$S$153,$S$155,$S$156,$S$159,$S$160))), "", (IF(SUM($S$140,$S$144,$S$146,$S$147,$S$148,$S$149,$S$151,$S$153,$S$155,$S$156,$S$159,$S$160) = 0, "", SUM($S$140,$S$144,$S$146,$S$147,$S$148,$S$149,$S$151,$S$153,$S$155,$S$156,$S$159,$S$160))))</f>
        <v>100.00000000700001</v>
      </c>
      <c r="T139">
        <f ca="1">IF(ISERROR(IF(SUM($T$140,$T$144,$T$146,$T$147,$T$148,$T$149,$T$151,$T$153,$T$155,$T$156,$T$159,$T$160) = 0, "", SUM($T$140,$T$144,$T$146,$T$147,$T$148,$T$149,$T$151,$T$153,$T$155,$T$156,$T$159,$T$160))), "", (IF(SUM($T$140,$T$144,$T$146,$T$147,$T$148,$T$149,$T$151,$T$153,$T$155,$T$156,$T$159,$T$160) = 0, "", SUM($T$140,$T$144,$T$146,$T$147,$T$148,$T$149,$T$151,$T$153,$T$155,$T$156,$T$159,$T$160))))</f>
        <v>100.00000000599999</v>
      </c>
      <c r="U139">
        <f ca="1">IF(ISERROR(IF(SUM($U$140,$U$144,$U$146,$U$147,$U$148,$U$149,$U$151,$U$153,$U$155,$U$156,$U$159,$U$160) = 0, "", SUM($U$140,$U$144,$U$146,$U$147,$U$148,$U$149,$U$151,$U$153,$U$155,$U$156,$U$159,$U$160))), "", (IF(SUM($U$140,$U$144,$U$146,$U$147,$U$148,$U$149,$U$151,$U$153,$U$155,$U$156,$U$159,$U$160) = 0, "", SUM($U$140,$U$144,$U$146,$U$147,$U$148,$U$149,$U$151,$U$153,$U$155,$U$156,$U$159,$U$160))))</f>
        <v>100.00000000899999</v>
      </c>
      <c r="V139">
        <f ca="1">IF(ISERROR(IF(SUM($V$140,$V$144,$V$146,$V$147,$V$148,$V$149,$V$151,$V$153,$V$155,$V$156,$V$159,$V$160) = 0, "", SUM($V$140,$V$144,$V$146,$V$147,$V$148,$V$149,$V$151,$V$153,$V$155,$V$156,$V$159,$V$160))), "", (IF(SUM($V$140,$V$144,$V$146,$V$147,$V$148,$V$149,$V$151,$V$153,$V$155,$V$156,$V$159,$V$160) = 0, "", SUM($V$140,$V$144,$V$146,$V$147,$V$148,$V$149,$V$151,$V$153,$V$155,$V$156,$V$159,$V$160))))</f>
        <v>99.999999992999989</v>
      </c>
      <c r="W139">
        <f ca="1">IF(ISERROR(IF(SUM($W$140,$W$144,$W$146,$W$147,$W$148,$W$149,$W$151,$W$153,$W$155,$W$156,$W$159,$W$160) = 0, "", SUM($W$140,$W$144,$W$146,$W$147,$W$148,$W$149,$W$151,$W$153,$W$155,$W$156,$W$159,$W$160))), "", (IF(SUM($W$140,$W$144,$W$146,$W$147,$W$148,$W$149,$W$151,$W$153,$W$155,$W$156,$W$159,$W$160) = 0, "", SUM($W$140,$W$144,$W$146,$W$147,$W$148,$W$149,$W$151,$W$153,$W$155,$W$156,$W$159,$W$160))))</f>
        <v>100.000000005</v>
      </c>
      <c r="X139">
        <f ca="1">IF(ISERROR(IF(SUM($X$140,$X$144,$X$146,$X$147,$X$148,$X$149,$X$151,$X$153,$X$155,$X$156,$X$159,$X$160) = 0, "", SUM($X$140,$X$144,$X$146,$X$147,$X$148,$X$149,$X$151,$X$153,$X$155,$X$156,$X$159,$X$160))), "", (IF(SUM($X$140,$X$144,$X$146,$X$147,$X$148,$X$149,$X$151,$X$153,$X$155,$X$156,$X$159,$X$160) = 0, "", SUM($X$140,$X$144,$X$146,$X$147,$X$148,$X$149,$X$151,$X$153,$X$155,$X$156,$X$159,$X$160))))</f>
        <v>99.999999999999986</v>
      </c>
      <c r="Y139">
        <f ca="1">IF(ISERROR(IF(SUM($Y$140,$Y$144,$Y$146,$Y$147,$Y$148,$Y$149,$Y$151,$Y$153,$Y$155,$Y$156,$Y$159,$Y$160) = 0, "", SUM($Y$140,$Y$144,$Y$146,$Y$147,$Y$148,$Y$149,$Y$151,$Y$153,$Y$155,$Y$156,$Y$159,$Y$160))), "", (IF(SUM($Y$140,$Y$144,$Y$146,$Y$147,$Y$148,$Y$149,$Y$151,$Y$153,$Y$155,$Y$156,$Y$159,$Y$160) = 0, "", SUM($Y$140,$Y$144,$Y$146,$Y$147,$Y$148,$Y$149,$Y$151,$Y$153,$Y$155,$Y$156,$Y$159,$Y$160))))</f>
        <v>99.999999998000007</v>
      </c>
      <c r="Z139">
        <f ca="1">IF(ISERROR(IF(SUM($Z$140,$Z$144,$Z$146,$Z$147,$Z$148,$Z$149,$Z$151,$Z$153,$Z$155,$Z$156,$Z$159,$Z$160) = 0, "", SUM($Z$140,$Z$144,$Z$146,$Z$147,$Z$148,$Z$149,$Z$151,$Z$153,$Z$155,$Z$156,$Z$159,$Z$160))), "", (IF(SUM($Z$140,$Z$144,$Z$146,$Z$147,$Z$148,$Z$149,$Z$151,$Z$153,$Z$155,$Z$156,$Z$159,$Z$160) = 0, "", SUM($Z$140,$Z$144,$Z$146,$Z$147,$Z$148,$Z$149,$Z$151,$Z$153,$Z$155,$Z$156,$Z$159,$Z$160))))</f>
        <v>99.999999998000021</v>
      </c>
      <c r="AA139">
        <f ca="1">IF(ISERROR(IF(SUM($AA$140,$AA$144,$AA$146,$AA$147,$AA$148,$AA$149,$AA$151,$AA$153,$AA$155,$AA$156,$AA$159,$AA$160) = 0, "", SUM($AA$140,$AA$144,$AA$146,$AA$147,$AA$148,$AA$149,$AA$151,$AA$153,$AA$155,$AA$156,$AA$159,$AA$160))), "", (IF(SUM($AA$140,$AA$144,$AA$146,$AA$147,$AA$148,$AA$149,$AA$151,$AA$153,$AA$155,$AA$156,$AA$159,$AA$160) = 0, "", SUM($AA$140,$AA$144,$AA$146,$AA$147,$AA$148,$AA$149,$AA$151,$AA$153,$AA$155,$AA$156,$AA$159,$AA$160))))</f>
        <v>99.999999991999985</v>
      </c>
      <c r="AB139">
        <f ca="1">IF(ISERROR(IF(SUM($AB$140,$AB$144,$AB$146,$AB$147,$AB$148,$AB$149,$AB$151,$AB$153,$AB$155,$AB$156,$AB$159,$AB$160) = 0, "", SUM($AB$140,$AB$144,$AB$146,$AB$147,$AB$148,$AB$149,$AB$151,$AB$153,$AB$155,$AB$156,$AB$159,$AB$160))), "", (IF(SUM($AB$140,$AB$144,$AB$146,$AB$147,$AB$148,$AB$149,$AB$151,$AB$153,$AB$155,$AB$156,$AB$159,$AB$160) = 0, "", SUM($AB$140,$AB$144,$AB$146,$AB$147,$AB$148,$AB$149,$AB$151,$AB$153,$AB$155,$AB$156,$AB$159,$AB$160))))</f>
        <v>100</v>
      </c>
      <c r="AC139">
        <f ca="1">IF(ISERROR(IF(SUM($AC$140,$AC$144,$AC$146,$AC$147,$AC$148,$AC$149,$AC$151,$AC$153,$AC$155,$AC$156,$AC$159,$AC$160) = 0, "", SUM($AC$140,$AC$144,$AC$146,$AC$147,$AC$148,$AC$149,$AC$151,$AC$153,$AC$155,$AC$156,$AC$159,$AC$160))), "", (IF(SUM($AC$140,$AC$144,$AC$146,$AC$147,$AC$148,$AC$149,$AC$151,$AC$153,$AC$155,$AC$156,$AC$159,$AC$160) = 0, "", SUM($AC$140,$AC$144,$AC$146,$AC$147,$AC$148,$AC$149,$AC$151,$AC$153,$AC$155,$AC$156,$AC$159,$AC$160))))</f>
        <v>100.00000000800001</v>
      </c>
      <c r="AD139">
        <f ca="1">IF(ISERROR(IF(SUM($AD$140,$AD$144,$AD$146,$AD$147,$AD$148,$AD$149,$AD$151,$AD$153,$AD$155,$AD$156,$AD$159,$AD$160) = 0, "", SUM($AD$140,$AD$144,$AD$146,$AD$147,$AD$148,$AD$149,$AD$151,$AD$153,$AD$155,$AD$156,$AD$159,$AD$160))), "", (IF(SUM($AD$140,$AD$144,$AD$146,$AD$147,$AD$148,$AD$149,$AD$151,$AD$153,$AD$155,$AD$156,$AD$159,$AD$160) = 0, "", SUM($AD$140,$AD$144,$AD$146,$AD$147,$AD$148,$AD$149,$AD$151,$AD$153,$AD$155,$AD$156,$AD$159,$AD$160))))</f>
        <v>99.999999998999996</v>
      </c>
      <c r="AE139">
        <f ca="1">IF(ISERROR(IF(SUM($AE$140,$AE$144,$AE$146,$AE$147,$AE$148,$AE$149,$AE$151,$AE$153,$AE$155,$AE$156,$AE$159,$AE$160) = 0, "", SUM($AE$140,$AE$144,$AE$146,$AE$147,$AE$148,$AE$149,$AE$151,$AE$153,$AE$155,$AE$156,$AE$159,$AE$160))), "", (IF(SUM($AE$140,$AE$144,$AE$146,$AE$147,$AE$148,$AE$149,$AE$151,$AE$153,$AE$155,$AE$156,$AE$159,$AE$160) = 0, "", SUM($AE$140,$AE$144,$AE$146,$AE$147,$AE$148,$AE$149,$AE$151,$AE$153,$AE$155,$AE$156,$AE$159,$AE$160))))</f>
        <v>100.00000001100001</v>
      </c>
      <c r="AF139">
        <f ca="1">IF(ISERROR(IF(SUM($AF$140,$AF$144,$AF$146,$AF$147,$AF$148,$AF$149,$AF$151,$AF$153,$AF$155,$AF$156,$AF$159,$AF$160) = 0, "", SUM($AF$140,$AF$144,$AF$146,$AF$147,$AF$148,$AF$149,$AF$151,$AF$153,$AF$155,$AF$156,$AF$159,$AF$160))), "", (IF(SUM($AF$140,$AF$144,$AF$146,$AF$147,$AF$148,$AF$149,$AF$151,$AF$153,$AF$155,$AF$156,$AF$159,$AF$160) = 0, "", SUM($AF$140,$AF$144,$AF$146,$AF$147,$AF$148,$AF$149,$AF$151,$AF$153,$AF$155,$AF$156,$AF$159,$AF$160))))</f>
        <v>100.000000001</v>
      </c>
      <c r="AG139">
        <f ca="1">IF(ISERROR(IF(SUM($AG$140,$AG$144,$AG$146,$AG$147,$AG$148,$AG$149,$AG$151,$AG$153,$AG$155,$AG$156,$AG$159,$AG$160) = 0, "", SUM($AG$140,$AG$144,$AG$146,$AG$147,$AG$148,$AG$149,$AG$151,$AG$153,$AG$155,$AG$156,$AG$159,$AG$160))), "", (IF(SUM($AG$140,$AG$144,$AG$146,$AG$147,$AG$148,$AG$149,$AG$151,$AG$153,$AG$155,$AG$156,$AG$159,$AG$160) = 0, "", SUM($AG$140,$AG$144,$AG$146,$AG$147,$AG$148,$AG$149,$AG$151,$AG$153,$AG$155,$AG$156,$AG$159,$AG$160))))</f>
        <v>100.00000000099999</v>
      </c>
      <c r="AH139">
        <f ca="1">IF(ISERROR(IF(SUM($AH$140,$AH$144,$AH$146,$AH$147,$AH$148,$AH$149,$AH$151,$AH$153,$AH$155,$AH$156,$AH$159,$AH$160) = 0, "", SUM($AH$140,$AH$144,$AH$146,$AH$147,$AH$148,$AH$149,$AH$151,$AH$153,$AH$155,$AH$156,$AH$159,$AH$160))), "", (IF(SUM($AH$140,$AH$144,$AH$146,$AH$147,$AH$148,$AH$149,$AH$151,$AH$153,$AH$155,$AH$156,$AH$159,$AH$160) = 0, "", SUM($AH$140,$AH$144,$AH$146,$AH$147,$AH$148,$AH$149,$AH$151,$AH$153,$AH$155,$AH$156,$AH$159,$AH$160))))</f>
        <v>100.000000007</v>
      </c>
      <c r="AI139">
        <f ca="1">IF(ISERROR(IF(SUM($AI$140,$AI$144,$AI$146,$AI$147,$AI$148,$AI$149,$AI$151,$AI$153,$AI$155,$AI$156,$AI$159,$AI$160) = 0, "", SUM($AI$140,$AI$144,$AI$146,$AI$147,$AI$148,$AI$149,$AI$151,$AI$153,$AI$155,$AI$156,$AI$159,$AI$160))), "", (IF(SUM($AI$140,$AI$144,$AI$146,$AI$147,$AI$148,$AI$149,$AI$151,$AI$153,$AI$155,$AI$156,$AI$159,$AI$160) = 0, "", SUM($AI$140,$AI$144,$AI$146,$AI$147,$AI$148,$AI$149,$AI$151,$AI$153,$AI$155,$AI$156,$AI$159,$AI$160))))</f>
        <v>100.00000000299998</v>
      </c>
      <c r="AJ139">
        <f ca="1">IF(ISERROR(IF(SUM($AJ$140,$AJ$144,$AJ$146,$AJ$147,$AJ$148,$AJ$149,$AJ$151,$AJ$153,$AJ$155,$AJ$156,$AJ$159,$AJ$160) = 0, "", SUM($AJ$140,$AJ$144,$AJ$146,$AJ$147,$AJ$148,$AJ$149,$AJ$151,$AJ$153,$AJ$155,$AJ$156,$AJ$159,$AJ$160))), "", (IF(SUM($AJ$140,$AJ$144,$AJ$146,$AJ$147,$AJ$148,$AJ$149,$AJ$151,$AJ$153,$AJ$155,$AJ$156,$AJ$159,$AJ$160) = 0, "", SUM($AJ$140,$AJ$144,$AJ$146,$AJ$147,$AJ$148,$AJ$149,$AJ$151,$AJ$153,$AJ$155,$AJ$156,$AJ$159,$AJ$160))))</f>
        <v>99.999999993000003</v>
      </c>
      <c r="AK139">
        <f ca="1">IF(ISERROR(IF(SUM($AK$140,$AK$144,$AK$146,$AK$147,$AK$148,$AK$149,$AK$151,$AK$153,$AK$155,$AK$156,$AK$159,$AK$160) = 0, "", SUM($AK$140,$AK$144,$AK$146,$AK$147,$AK$148,$AK$149,$AK$151,$AK$153,$AK$155,$AK$156,$AK$159,$AK$160))), "", (IF(SUM($AK$140,$AK$144,$AK$146,$AK$147,$AK$148,$AK$149,$AK$151,$AK$153,$AK$155,$AK$156,$AK$159,$AK$160) = 0, "", SUM($AK$140,$AK$144,$AK$146,$AK$147,$AK$148,$AK$149,$AK$151,$AK$153,$AK$155,$AK$156,$AK$159,$AK$160))))</f>
        <v>100.00000000399999</v>
      </c>
      <c r="AL139">
        <f ca="1">IF(ISERROR(IF(SUM($AL$140,$AL$144,$AL$146,$AL$147,$AL$148,$AL$149,$AL$151,$AL$153,$AL$155,$AL$156,$AL$159,$AL$160) = 0, "", SUM($AL$140,$AL$144,$AL$146,$AL$147,$AL$148,$AL$149,$AL$151,$AL$153,$AL$155,$AL$156,$AL$159,$AL$160))), "", (IF(SUM($AL$140,$AL$144,$AL$146,$AL$147,$AL$148,$AL$149,$AL$151,$AL$153,$AL$155,$AL$156,$AL$159,$AL$160) = 0, "", SUM($AL$140,$AL$144,$AL$146,$AL$147,$AL$148,$AL$149,$AL$151,$AL$153,$AL$155,$AL$156,$AL$159,$AL$160))))</f>
        <v>99.999999996</v>
      </c>
      <c r="AM139">
        <f ca="1">IF(ISERROR(IF(SUM($AM$140,$AM$144,$AM$146,$AM$147,$AM$148,$AM$149,$AM$151,$AM$153,$AM$155,$AM$156,$AM$159,$AM$160) = 0, "", SUM($AM$140,$AM$144,$AM$146,$AM$147,$AM$148,$AM$149,$AM$151,$AM$153,$AM$155,$AM$156,$AM$159,$AM$160))), "", (IF(SUM($AM$140,$AM$144,$AM$146,$AM$147,$AM$148,$AM$149,$AM$151,$AM$153,$AM$155,$AM$156,$AM$159,$AM$160) = 0, "", SUM($AM$140,$AM$144,$AM$146,$AM$147,$AM$148,$AM$149,$AM$151,$AM$153,$AM$155,$AM$156,$AM$159,$AM$160))))</f>
        <v>100.00000000000001</v>
      </c>
      <c r="AN139">
        <f ca="1">IF(ISERROR(IF(SUM($AN$140,$AN$144,$AN$146,$AN$147,$AN$148,$AN$149,$AN$151,$AN$153,$AN$155,$AN$156,$AN$159,$AN$160) = 0, "", SUM($AN$140,$AN$144,$AN$146,$AN$147,$AN$148,$AN$149,$AN$151,$AN$153,$AN$155,$AN$156,$AN$159,$AN$160))), "", (IF(SUM($AN$140,$AN$144,$AN$146,$AN$147,$AN$148,$AN$149,$AN$151,$AN$153,$AN$155,$AN$156,$AN$159,$AN$160) = 0, "", SUM($AN$140,$AN$144,$AN$146,$AN$147,$AN$148,$AN$149,$AN$151,$AN$153,$AN$155,$AN$156,$AN$159,$AN$160))))</f>
        <v>99.999999998999996</v>
      </c>
      <c r="AO139">
        <f ca="1">IF(ISERROR(IF(SUM($AO$140,$AO$144,$AO$146,$AO$147,$AO$148,$AO$149,$AO$151,$AO$153,$AO$155,$AO$156,$AO$159,$AO$160) = 0, "", SUM($AO$140,$AO$144,$AO$146,$AO$147,$AO$148,$AO$149,$AO$151,$AO$153,$AO$155,$AO$156,$AO$159,$AO$160))), "", (IF(SUM($AO$140,$AO$144,$AO$146,$AO$147,$AO$148,$AO$149,$AO$151,$AO$153,$AO$155,$AO$156,$AO$159,$AO$160) = 0, "", SUM($AO$140,$AO$144,$AO$146,$AO$147,$AO$148,$AO$149,$AO$151,$AO$153,$AO$155,$AO$156,$AO$159,$AO$160))))</f>
        <v>99.999999989000003</v>
      </c>
      <c r="AP139">
        <f ca="1">IF(ISERROR(IF(SUM($AP$140,$AP$144,$AP$146,$AP$147,$AP$148,$AP$149,$AP$151,$AP$153,$AP$155,$AP$156,$AP$159,$AP$160) = 0, "", SUM($AP$140,$AP$144,$AP$146,$AP$147,$AP$148,$AP$149,$AP$151,$AP$153,$AP$155,$AP$156,$AP$159,$AP$160))), "", (IF(SUM($AP$140,$AP$144,$AP$146,$AP$147,$AP$148,$AP$149,$AP$151,$AP$153,$AP$155,$AP$156,$AP$159,$AP$160) = 0, "", SUM($AP$140,$AP$144,$AP$146,$AP$147,$AP$148,$AP$149,$AP$151,$AP$153,$AP$155,$AP$156,$AP$159,$AP$160))))</f>
        <v>99.99999999100001</v>
      </c>
      <c r="AQ139">
        <f ca="1">IF(ISERROR(IF(SUM($AQ$140,$AQ$144,$AQ$146,$AQ$147,$AQ$148,$AQ$149,$AQ$151,$AQ$153,$AQ$155,$AQ$156,$AQ$159,$AQ$160) = 0, "", SUM($AQ$140,$AQ$144,$AQ$146,$AQ$147,$AQ$148,$AQ$149,$AQ$151,$AQ$153,$AQ$155,$AQ$156,$AQ$159,$AQ$160))), "", (IF(SUM($AQ$140,$AQ$144,$AQ$146,$AQ$147,$AQ$148,$AQ$149,$AQ$151,$AQ$153,$AQ$155,$AQ$156,$AQ$159,$AQ$160) = 0, "", SUM($AQ$140,$AQ$144,$AQ$146,$AQ$147,$AQ$148,$AQ$149,$AQ$151,$AQ$153,$AQ$155,$AQ$156,$AQ$159,$AQ$160))))</f>
        <v>100.00000000800001</v>
      </c>
      <c r="AR139">
        <f ca="1">IF(ISERROR(IF(SUM($AR$140,$AR$144,$AR$146,$AR$147,$AR$148,$AR$149,$AR$151,$AR$153,$AR$155,$AR$156,$AR$159,$AR$160) = 0, "", SUM($AR$140,$AR$144,$AR$146,$AR$147,$AR$148,$AR$149,$AR$151,$AR$153,$AR$155,$AR$156,$AR$159,$AR$160))), "", (IF(SUM($AR$140,$AR$144,$AR$146,$AR$147,$AR$148,$AR$149,$AR$151,$AR$153,$AR$155,$AR$156,$AR$159,$AR$160) = 0, "", SUM($AR$140,$AR$144,$AR$146,$AR$147,$AR$148,$AR$149,$AR$151,$AR$153,$AR$155,$AR$156,$AR$159,$AR$160))))</f>
        <v>99.999999997000003</v>
      </c>
      <c r="AS139">
        <f ca="1">IF(ISERROR(IF(SUM($AS$140,$AS$144,$AS$146,$AS$147,$AS$148,$AS$149,$AS$151,$AS$153,$AS$155,$AS$156,$AS$159,$AS$160) = 0, "", SUM($AS$140,$AS$144,$AS$146,$AS$147,$AS$148,$AS$149,$AS$151,$AS$153,$AS$155,$AS$156,$AS$159,$AS$160))), "", (IF(SUM($AS$140,$AS$144,$AS$146,$AS$147,$AS$148,$AS$149,$AS$151,$AS$153,$AS$155,$AS$156,$AS$159,$AS$160) = 0, "", SUM($AS$140,$AS$144,$AS$146,$AS$147,$AS$148,$AS$149,$AS$151,$AS$153,$AS$155,$AS$156,$AS$159,$AS$160))))</f>
        <v>100.00000000000001</v>
      </c>
      <c r="AT139">
        <f>100</f>
        <v>100</v>
      </c>
      <c r="AU139">
        <f>100</f>
        <v>100</v>
      </c>
      <c r="AV139">
        <f>100</f>
        <v>100</v>
      </c>
      <c r="AW139">
        <f>100</f>
        <v>100</v>
      </c>
      <c r="AX139">
        <f>100</f>
        <v>100</v>
      </c>
      <c r="AY139">
        <f>100</f>
        <v>100</v>
      </c>
      <c r="AZ139">
        <f>100</f>
        <v>100</v>
      </c>
      <c r="BA139">
        <f>100</f>
        <v>100</v>
      </c>
      <c r="BB139">
        <f>100</f>
        <v>100</v>
      </c>
      <c r="BC139">
        <f>100</f>
        <v>100</v>
      </c>
      <c r="BD139">
        <f>100</f>
        <v>100</v>
      </c>
      <c r="BE139">
        <f>100</f>
        <v>100</v>
      </c>
      <c r="BF139">
        <f>100</f>
        <v>100</v>
      </c>
      <c r="BG139">
        <f>100</f>
        <v>100</v>
      </c>
      <c r="BH139">
        <f>100</f>
        <v>100</v>
      </c>
      <c r="BI139">
        <f>100</f>
        <v>100</v>
      </c>
      <c r="BJ139">
        <f>100</f>
        <v>100</v>
      </c>
      <c r="BK139">
        <f>100</f>
        <v>100</v>
      </c>
      <c r="BL139">
        <f>100</f>
        <v>100</v>
      </c>
      <c r="BM139">
        <f>100</f>
        <v>100</v>
      </c>
      <c r="BN139">
        <f>100</f>
        <v>100</v>
      </c>
      <c r="BO139">
        <f>100</f>
        <v>100</v>
      </c>
      <c r="BP139">
        <f>100</f>
        <v>100</v>
      </c>
      <c r="BQ139">
        <f>100</f>
        <v>100</v>
      </c>
      <c r="BR139">
        <f>100</f>
        <v>100</v>
      </c>
      <c r="BS139">
        <f>100</f>
        <v>100</v>
      </c>
      <c r="BT139">
        <f>100</f>
        <v>100</v>
      </c>
      <c r="BU139">
        <f>100</f>
        <v>100</v>
      </c>
      <c r="BV139">
        <f>100</f>
        <v>100</v>
      </c>
      <c r="BW139">
        <f>100</f>
        <v>100</v>
      </c>
      <c r="BX139">
        <f>100</f>
        <v>100</v>
      </c>
      <c r="BY139">
        <f>100</f>
        <v>100</v>
      </c>
      <c r="BZ139">
        <f>100</f>
        <v>100</v>
      </c>
      <c r="CA139">
        <f>100</f>
        <v>100</v>
      </c>
      <c r="CB139">
        <f>100</f>
        <v>100</v>
      </c>
      <c r="CC139">
        <f>100</f>
        <v>100</v>
      </c>
      <c r="CD139">
        <f>100</f>
        <v>100</v>
      </c>
      <c r="CE139">
        <f>100</f>
        <v>100</v>
      </c>
      <c r="CF139">
        <f>100</f>
        <v>100</v>
      </c>
      <c r="CG139">
        <f>100</f>
        <v>100</v>
      </c>
    </row>
    <row r="140" spans="1:85" x14ac:dyDescent="0.25">
      <c r="A140" t="str">
        <f>"    Daimler"</f>
        <v xml:space="preserve">    Daimler</v>
      </c>
      <c r="B140" t="str">
        <f>"DAI GR Equity"</f>
        <v>DAI GR Equity</v>
      </c>
      <c r="E140" t="str">
        <f>"Sum"</f>
        <v>Sum</v>
      </c>
      <c r="F140">
        <f ca="1">IF(ISERROR(IF(SUM($F$141:$F$143) = 0, "", SUM($F$141:$F$143))), "", (IF(SUM($F$141:$F$143) = 0, "", SUM($F$141:$F$143))))</f>
        <v>13.20754717</v>
      </c>
      <c r="G140">
        <f ca="1">IF(ISERROR(IF(SUM($G$141:$G$143) = 0, "", SUM($G$141:$G$143))), "", (IF(SUM($G$141:$G$143) = 0, "", SUM($G$141:$G$143))))</f>
        <v>12.813370470000001</v>
      </c>
      <c r="H140">
        <f ca="1">IF(ISERROR(IF(SUM($H$141:$H$143) = 0, "", SUM($H$141:$H$143))), "", (IF(SUM($H$141:$H$143) = 0, "", SUM($H$141:$H$143))))</f>
        <v>12.204234120000001</v>
      </c>
      <c r="I140">
        <f ca="1">IF(ISERROR(IF(SUM($I$141:$I$143) = 0, "", SUM($I$141:$I$143))), "", (IF(SUM($I$141:$I$143) = 0, "", SUM($I$141:$I$143))))</f>
        <v>14.24418605</v>
      </c>
      <c r="J140">
        <f ca="1">IF(ISERROR(IF(SUM($J$141:$J$143) = 0, "", SUM($J$141:$J$143))), "", (IF(SUM($J$141:$J$143) = 0, "", SUM($J$141:$J$143))))</f>
        <v>13.691275170000001</v>
      </c>
      <c r="K140">
        <f ca="1">IF(ISERROR(IF(SUM($K$141:$K$143) = 0, "", SUM($K$141:$K$143))), "", (IF(SUM($K$141:$K$143) = 0, "", SUM($K$141:$K$143))))</f>
        <v>15.170278639999999</v>
      </c>
      <c r="L140">
        <f ca="1">IF(ISERROR(IF(SUM($L$141:$L$143) = 0, "", SUM($L$141:$L$143))), "", (IF(SUM($L$141:$L$143) = 0, "", SUM($L$141:$L$143))))</f>
        <v>14.263565890000001</v>
      </c>
      <c r="M140">
        <f ca="1">IF(ISERROR(IF(SUM($M$141:$M$143) = 0, "", SUM($M$141:$M$143))), "", (IF(SUM($M$141:$M$143) = 0, "", SUM($M$141:$M$143))))</f>
        <v>14.5183175</v>
      </c>
      <c r="N140">
        <f ca="1">IF(ISERROR(IF(SUM($N$141:$N$143) = 0, "", SUM($N$141:$N$143))), "", (IF(SUM($N$141:$N$143) = 0, "", SUM($N$141:$N$143))))</f>
        <v>13.372093019999999</v>
      </c>
      <c r="O140">
        <f ca="1">IF(ISERROR(IF(SUM($O$141:$O$143) = 0, "", SUM($O$141:$O$143))), "", (IF(SUM($O$141:$O$143) = 0, "", SUM($O$141:$O$143))))</f>
        <v>13.592233009999999</v>
      </c>
      <c r="P140">
        <f ca="1">IF(ISERROR(IF(SUM($P$141:$P$143) = 0, "", SUM($P$141:$P$143))), "", (IF(SUM($P$141:$P$143) = 0, "", SUM($P$141:$P$143))))</f>
        <v>59.255429159999998</v>
      </c>
      <c r="Q140">
        <f ca="1">IF(ISERROR(IF(SUM($Q$141:$Q$143) = 0, "", SUM($Q$141:$Q$143))), "", (IF(SUM($Q$141:$Q$143) = 0, "", SUM($Q$141:$Q$143))))</f>
        <v>62.369791660000004</v>
      </c>
      <c r="R140">
        <f ca="1">IF(ISERROR(IF(SUM($R$141:$R$143) = 0, "", SUM($R$141:$R$143))), "", (IF(SUM($R$141:$R$143) = 0, "", SUM($R$141:$R$143))))</f>
        <v>54.36046511</v>
      </c>
      <c r="S140">
        <f ca="1">IF(ISERROR(IF(SUM($S$141:$S$143) = 0, "", SUM($S$141:$S$143))), "", (IF(SUM($S$141:$S$143) = 0, "", SUM($S$141:$S$143))))</f>
        <v>52.68414482</v>
      </c>
      <c r="T140">
        <f ca="1">IF(ISERROR(IF(SUM($T$141:$T$143) = 0, "", SUM($T$141:$T$143))), "", (IF(SUM($T$141:$T$143) = 0, "", SUM($T$141:$T$143))))</f>
        <v>62.386363639999999</v>
      </c>
      <c r="U140">
        <f ca="1">IF(ISERROR(IF(SUM($U$141:$U$143) = 0, "", SUM($U$141:$U$143))), "", (IF(SUM($U$141:$U$143) = 0, "", SUM($U$141:$U$143))))</f>
        <v>58.722358729999996</v>
      </c>
      <c r="V140">
        <f ca="1">IF(ISERROR(IF(SUM($V$141:$V$143) = 0, "", SUM($V$141:$V$143))), "", (IF(SUM($V$141:$V$143) = 0, "", SUM($V$141:$V$143))))</f>
        <v>64.971751409999996</v>
      </c>
      <c r="W140">
        <f ca="1">IF(ISERROR(IF(SUM($W$141:$W$143) = 0, "", SUM($W$141:$W$143))), "", (IF(SUM($W$141:$W$143) = 0, "", SUM($W$141:$W$143))))</f>
        <v>58.796992490000001</v>
      </c>
      <c r="X140">
        <f ca="1">IF(ISERROR(IF(SUM($X$141:$X$143) = 0, "", SUM($X$141:$X$143))), "", (IF(SUM($X$141:$X$143) = 0, "", SUM($X$141:$X$143))))</f>
        <v>56.25</v>
      </c>
      <c r="Y140">
        <f ca="1">IF(ISERROR(IF(SUM($Y$141:$Y$143) = 0, "", SUM($Y$141:$Y$143))), "", (IF(SUM($Y$141:$Y$143) = 0, "", SUM($Y$141:$Y$143))))</f>
        <v>61.315789469999999</v>
      </c>
      <c r="Z140">
        <f ca="1">IF(ISERROR(IF(SUM($Z$141:$Z$143) = 0, "", SUM($Z$141:$Z$143))), "", (IF(SUM($Z$141:$Z$143) = 0, "", SUM($Z$141:$Z$143))))</f>
        <v>57.807308970000001</v>
      </c>
      <c r="AA140">
        <f ca="1">IF(ISERROR(IF(SUM($AA$141:$AA$143) = 0, "", SUM($AA$141:$AA$143))), "", (IF(SUM($AA$141:$AA$143) = 0, "", SUM($AA$141:$AA$143))))</f>
        <v>53.556485349999996</v>
      </c>
      <c r="AB140">
        <f ca="1">IF(ISERROR(IF(SUM($AB$141:$AB$143) = 0, "", SUM($AB$141:$AB$143))), "", (IF(SUM($AB$141:$AB$143) = 0, "", SUM($AB$141:$AB$143))))</f>
        <v>51.475409839999998</v>
      </c>
      <c r="AC140">
        <f ca="1">IF(ISERROR(IF(SUM($AC$141:$AC$143) = 0, "", SUM($AC$141:$AC$143))), "", (IF(SUM($AC$141:$AC$143) = 0, "", SUM($AC$141:$AC$143))))</f>
        <v>51.856946359999995</v>
      </c>
      <c r="AD140">
        <f ca="1">IF(ISERROR(IF(SUM($AD$141:$AD$143) = 0, "", SUM($AD$141:$AD$143))), "", (IF(SUM($AD$141:$AD$143) = 0, "", SUM($AD$141:$AD$143))))</f>
        <v>50.718390810000002</v>
      </c>
      <c r="AE140">
        <f ca="1">IF(ISERROR(IF(SUM($AE$141:$AE$143) = 0, "", SUM($AE$141:$AE$143))), "", (IF(SUM($AE$141:$AE$143) = 0, "", SUM($AE$141:$AE$143))))</f>
        <v>50.229007639999999</v>
      </c>
      <c r="AF140">
        <f ca="1">IF(ISERROR(IF(SUM($AF$141:$AF$143) = 0, "", SUM($AF$141:$AF$143))), "", (IF(SUM($AF$141:$AF$143) = 0, "", SUM($AF$141:$AF$143))))</f>
        <v>51.007751940000006</v>
      </c>
      <c r="AG140">
        <f ca="1">IF(ISERROR(IF(SUM($AG$141:$AG$143) = 0, "", SUM($AG$141:$AG$143))), "", (IF(SUM($AG$141:$AG$143) = 0, "", SUM($AG$141:$AG$143))))</f>
        <v>54.876273650000002</v>
      </c>
      <c r="AH140">
        <f ca="1">IF(ISERROR(IF(SUM($AH$141:$AH$143) = 0, "", SUM($AH$141:$AH$143))), "", (IF(SUM($AH$141:$AH$143) = 0, "", SUM($AH$141:$AH$143))))</f>
        <v>55.364806869999995</v>
      </c>
      <c r="AI140">
        <f ca="1">IF(ISERROR(IF(SUM($AI$141:$AI$143) = 0, "", SUM($AI$141:$AI$143))), "", (IF(SUM($AI$141:$AI$143) = 0, "", SUM($AI$141:$AI$143))))</f>
        <v>44.347826080000004</v>
      </c>
      <c r="AJ140">
        <f ca="1">IF(ISERROR(IF(SUM($AJ$141:$AJ$143) = 0, "", SUM($AJ$141:$AJ$143))), "", (IF(SUM($AJ$141:$AJ$143) = 0, "", SUM($AJ$141:$AJ$143))))</f>
        <v>60.668380460000002</v>
      </c>
      <c r="AK140">
        <f ca="1">IF(ISERROR(IF(SUM($AK$141:$AK$143) = 0, "", SUM($AK$141:$AK$143))), "", (IF(SUM($AK$141:$AK$143) = 0, "", SUM($AK$141:$AK$143))))</f>
        <v>48.116438359999997</v>
      </c>
      <c r="AL140">
        <f ca="1">IF(ISERROR(IF(SUM($AL$141:$AL$143) = 0, "", SUM($AL$141:$AL$143))), "", (IF(SUM($AL$141:$AL$143) = 0, "", SUM($AL$141:$AL$143))))</f>
        <v>44.554455439999998</v>
      </c>
      <c r="AM140">
        <f ca="1">IF(ISERROR(IF(SUM($AM$141:$AM$143) = 0, "", SUM($AM$141:$AM$143))), "", (IF(SUM($AM$141:$AM$143) = 0, "", SUM($AM$141:$AM$143))))</f>
        <v>49.586776860000001</v>
      </c>
      <c r="AN140">
        <f ca="1">IF(ISERROR(IF(SUM($AN$141:$AN$143) = 0, "", SUM($AN$141:$AN$143))), "", (IF(SUM($AN$141:$AN$143) = 0, "", SUM($AN$141:$AN$143))))</f>
        <v>42.893401009999998</v>
      </c>
      <c r="AO140">
        <f ca="1">IF(ISERROR(IF(SUM($AO$141:$AO$143) = 0, "", SUM($AO$141:$AO$143))), "", (IF(SUM($AO$141:$AO$143) = 0, "", SUM($AO$141:$AO$143))))</f>
        <v>42.837465559999998</v>
      </c>
      <c r="AP140">
        <f ca="1">IF(ISERROR(IF(SUM($AP$141:$AP$143) = 0, "", SUM($AP$141:$AP$143))), "", (IF(SUM($AP$141:$AP$143) = 0, "", SUM($AP$141:$AP$143))))</f>
        <v>42.564802180000001</v>
      </c>
      <c r="AQ140">
        <f ca="1">IF(ISERROR(IF(SUM($AQ$141:$AQ$143) = 0, "", SUM($AQ$141:$AQ$143))), "", (IF(SUM($AQ$141:$AQ$143) = 0, "", SUM($AQ$141:$AQ$143))))</f>
        <v>46.632124360000006</v>
      </c>
      <c r="AR140">
        <f ca="1">IF(ISERROR(IF(SUM($AR$141:$AR$143) = 0, "", SUM($AR$141:$AR$143))), "", (IF(SUM($AR$141:$AR$143) = 0, "", SUM($AR$141:$AR$143))))</f>
        <v>64.04494382</v>
      </c>
      <c r="AS140">
        <f ca="1">IF(ISERROR(IF(SUM($AS$141:$AS$143) = 0, "", SUM($AS$141:$AS$143))), "", (IF(SUM($AS$141:$AS$143) = 0, "", SUM($AS$141:$AS$143))))</f>
        <v>66.143106459999998</v>
      </c>
      <c r="AT140">
        <f>13.20754717</f>
        <v>13.20754717</v>
      </c>
      <c r="AU140">
        <f>12.81337047</f>
        <v>12.813370470000001</v>
      </c>
      <c r="AV140">
        <f>12.20423412</f>
        <v>12.204234120000001</v>
      </c>
      <c r="AW140">
        <f>14.24418605</f>
        <v>14.24418605</v>
      </c>
      <c r="AX140">
        <f>13.69127517</f>
        <v>13.691275170000001</v>
      </c>
      <c r="AY140">
        <f>15.17027864</f>
        <v>15.170278639999999</v>
      </c>
      <c r="AZ140">
        <f>14.26356589</f>
        <v>14.263565890000001</v>
      </c>
      <c r="BA140">
        <f>14.5183175</f>
        <v>14.5183175</v>
      </c>
      <c r="BB140">
        <f>13.37209302</f>
        <v>13.372093019999999</v>
      </c>
      <c r="BC140">
        <f>13.59223301</f>
        <v>13.592233009999999</v>
      </c>
      <c r="BD140">
        <f>59.25542916</f>
        <v>59.255429159999998</v>
      </c>
      <c r="BE140">
        <f>62.36979167</f>
        <v>62.369791669999998</v>
      </c>
      <c r="BF140">
        <f>54.36046512</f>
        <v>54.360465120000001</v>
      </c>
      <c r="BG140">
        <f>52.68414482</f>
        <v>52.68414482</v>
      </c>
      <c r="BH140">
        <f>62.38636364</f>
        <v>62.386363639999999</v>
      </c>
      <c r="BI140">
        <f>58.72235872</f>
        <v>58.722358720000003</v>
      </c>
      <c r="BJ140">
        <f>64.97175141</f>
        <v>64.971751409999996</v>
      </c>
      <c r="BK140">
        <f>58.79699248</f>
        <v>58.79699248</v>
      </c>
      <c r="BL140">
        <f>56.25</f>
        <v>56.25</v>
      </c>
      <c r="BM140">
        <f>61.31578947</f>
        <v>61.315789469999999</v>
      </c>
      <c r="BN140">
        <f>57.80730897</f>
        <v>57.807308970000001</v>
      </c>
      <c r="BO140">
        <f>53.55648536</f>
        <v>53.556485360000003</v>
      </c>
      <c r="BP140">
        <f>51.47540984</f>
        <v>51.475409839999998</v>
      </c>
      <c r="BQ140">
        <f>51.85694635</f>
        <v>51.856946350000001</v>
      </c>
      <c r="BR140">
        <f>50.7183908</f>
        <v>50.718390800000002</v>
      </c>
      <c r="BS140">
        <f>50.22900763</f>
        <v>50.229007629999998</v>
      </c>
      <c r="BT140">
        <f>51.00775194</f>
        <v>51.007751939999999</v>
      </c>
      <c r="BU140">
        <f>54.87627365</f>
        <v>54.876273650000002</v>
      </c>
      <c r="BV140">
        <f>55.36480687</f>
        <v>55.364806870000002</v>
      </c>
      <c r="BW140">
        <f>44.34782609</f>
        <v>44.347826089999998</v>
      </c>
      <c r="BX140">
        <f>60.66838046</f>
        <v>60.668380460000002</v>
      </c>
      <c r="BY140">
        <f>48.11643836</f>
        <v>48.116438359999997</v>
      </c>
      <c r="BZ140">
        <f>44.55445545</f>
        <v>44.554455449999999</v>
      </c>
      <c r="CA140">
        <f>49.58677686</f>
        <v>49.586776860000001</v>
      </c>
      <c r="CB140">
        <f>42.89340102</f>
        <v>42.893401019999999</v>
      </c>
      <c r="CC140">
        <f>42.83746556</f>
        <v>42.837465559999998</v>
      </c>
      <c r="CD140">
        <f>42.56480218</f>
        <v>42.564802180000001</v>
      </c>
      <c r="CE140">
        <f>46.63212435</f>
        <v>46.632124349999998</v>
      </c>
      <c r="CF140">
        <f>64.04494382</f>
        <v>64.04494382</v>
      </c>
      <c r="CG140">
        <f>66.14310646</f>
        <v>66.143106459999998</v>
      </c>
    </row>
    <row r="141" spans="1:85" x14ac:dyDescent="0.25">
      <c r="A141" t="str">
        <f>"        Freightliner"</f>
        <v xml:space="preserve">        Freightliner</v>
      </c>
      <c r="B141" t="str">
        <f>"DAI GR Equity"</f>
        <v>DAI GR Equity</v>
      </c>
      <c r="E141" t="str">
        <f>"Expression"</f>
        <v>Expression</v>
      </c>
      <c r="F141">
        <f ca="1">IF(AND($B$294=1,LEN($F$265) * LEN($F$264)&gt;0),$F$265/$F$264*100,HLOOKUP(INDIRECT(ADDRESS(2,COLUMN())),OFFSET($AT$2,0,0,ROW()-1,40),ROW()-1,FALSE))</f>
        <v>13.20754717</v>
      </c>
      <c r="G141">
        <f ca="1">IF(AND($B$294=1,LEN($G$265) * LEN($G$264)&gt;0),$G$265/$G$264*100,HLOOKUP(INDIRECT(ADDRESS(2,COLUMN())),OFFSET($AT$2,0,0,ROW()-1,40),ROW()-1,FALSE))</f>
        <v>12.813370470000001</v>
      </c>
      <c r="H141">
        <f ca="1">IF(AND($B$294=1,LEN($H$265) * LEN($H$264)&gt;0),$H$265/$H$264*100,HLOOKUP(INDIRECT(ADDRESS(2,COLUMN())),OFFSET($AT$2,0,0,ROW()-1,40),ROW()-1,FALSE))</f>
        <v>12.204234120000001</v>
      </c>
      <c r="I141">
        <f ca="1">IF(AND($B$294=1,LEN($I$265) * LEN($I$264)&gt;0),$I$265/$I$264*100,HLOOKUP(INDIRECT(ADDRESS(2,COLUMN())),OFFSET($AT$2,0,0,ROW()-1,40),ROW()-1,FALSE))</f>
        <v>14.24418605</v>
      </c>
      <c r="J141">
        <f ca="1">IF(AND($B$294=1,LEN($J$265) * LEN($J$264)&gt;0),$J$265/$J$264*100,HLOOKUP(INDIRECT(ADDRESS(2,COLUMN())),OFFSET($AT$2,0,0,ROW()-1,40),ROW()-1,FALSE))</f>
        <v>13.691275170000001</v>
      </c>
      <c r="K141">
        <f ca="1">IF(AND($B$294=1,LEN($K$265) * LEN($K$264)&gt;0),$K$265/$K$264*100,HLOOKUP(INDIRECT(ADDRESS(2,COLUMN())),OFFSET($AT$2,0,0,ROW()-1,40),ROW()-1,FALSE))</f>
        <v>15.170278639999999</v>
      </c>
      <c r="L141">
        <f ca="1">IF(AND($B$294=1,LEN($L$265) * LEN($L$264)&gt;0),$L$265/$L$264*100,HLOOKUP(INDIRECT(ADDRESS(2,COLUMN())),OFFSET($AT$2,0,0,ROW()-1,40),ROW()-1,FALSE))</f>
        <v>14.263565890000001</v>
      </c>
      <c r="M141">
        <f ca="1">IF(AND($B$294=1,LEN($M$265) * LEN($M$264)&gt;0),$M$265/$M$264*100,HLOOKUP(INDIRECT(ADDRESS(2,COLUMN())),OFFSET($AT$2,0,0,ROW()-1,40),ROW()-1,FALSE))</f>
        <v>14.5183175</v>
      </c>
      <c r="N141">
        <f ca="1">IF(AND($B$294=1,LEN($N$265) * LEN($N$264)&gt;0),$N$265/$N$264*100,HLOOKUP(INDIRECT(ADDRESS(2,COLUMN())),OFFSET($AT$2,0,0,ROW()-1,40),ROW()-1,FALSE))</f>
        <v>13.372093019999999</v>
      </c>
      <c r="O141">
        <f ca="1">IF(AND($B$294=1,LEN($O$265) * LEN($O$264)&gt;0),$O$265/$O$264*100,HLOOKUP(INDIRECT(ADDRESS(2,COLUMN())),OFFSET($AT$2,0,0,ROW()-1,40),ROW()-1,FALSE))</f>
        <v>13.592233009999999</v>
      </c>
      <c r="P141">
        <f ca="1">IF(AND($B$294=1,LEN($P$265) * LEN($P$264)&gt;0),$P$265/$P$264*100,HLOOKUP(INDIRECT(ADDRESS(2,COLUMN())),OFFSET($AT$2,0,0,ROW()-1,40),ROW()-1,FALSE))</f>
        <v>14.47776629</v>
      </c>
      <c r="Q141">
        <f ca="1">IF(AND($B$294=1,LEN($Q$265) * LEN($Q$264)&gt;0),$Q$265/$Q$264*100,HLOOKUP(INDIRECT(ADDRESS(2,COLUMN())),OFFSET($AT$2,0,0,ROW()-1,40),ROW()-1,FALSE))</f>
        <v>15.36458333</v>
      </c>
      <c r="R141">
        <f ca="1">IF(AND($B$294=1,LEN($R$265) * LEN($R$264)&gt;0),$R$265/$R$264*100,HLOOKUP(INDIRECT(ADDRESS(2,COLUMN())),OFFSET($AT$2,0,0,ROW()-1,40),ROW()-1,FALSE))</f>
        <v>11.77325581</v>
      </c>
      <c r="S141">
        <f ca="1">IF(AND($B$294=1,LEN($S$265) * LEN($S$264)&gt;0),$S$265/$S$264*100,HLOOKUP(INDIRECT(ADDRESS(2,COLUMN())),OFFSET($AT$2,0,0,ROW()-1,40),ROW()-1,FALSE))</f>
        <v>12.983770290000001</v>
      </c>
      <c r="T141">
        <f ca="1">IF(AND($B$294=1,LEN($T$265) * LEN($T$264)&gt;0),$T$265/$T$264*100,HLOOKUP(INDIRECT(ADDRESS(2,COLUMN())),OFFSET($AT$2,0,0,ROW()-1,40),ROW()-1,FALSE))</f>
        <v>14.886363640000001</v>
      </c>
      <c r="U141">
        <f ca="1">IF(AND($B$294=1,LEN($U$265) * LEN($U$264)&gt;0),$U$265/$U$264*100,HLOOKUP(INDIRECT(ADDRESS(2,COLUMN())),OFFSET($AT$2,0,0,ROW()-1,40),ROW()-1,FALSE))</f>
        <v>13.636363640000001</v>
      </c>
      <c r="V141">
        <f ca="1">IF(AND($B$294=1,LEN($V$265) * LEN($V$264)&gt;0),$V$265/$V$264*100,HLOOKUP(INDIRECT(ADDRESS(2,COLUMN())),OFFSET($AT$2,0,0,ROW()-1,40),ROW()-1,FALSE))</f>
        <v>13.67231638</v>
      </c>
      <c r="W141">
        <f ca="1">IF(AND($B$294=1,LEN($W$265) * LEN($W$264)&gt;0),$W$265/$W$264*100,HLOOKUP(INDIRECT(ADDRESS(2,COLUMN())),OFFSET($AT$2,0,0,ROW()-1,40),ROW()-1,FALSE))</f>
        <v>14.73684211</v>
      </c>
      <c r="X141">
        <f ca="1">IF(AND($B$294=1,LEN($X$265) * LEN($X$264)&gt;0),$X$265/$X$264*100,HLOOKUP(INDIRECT(ADDRESS(2,COLUMN())),OFFSET($AT$2,0,0,ROW()-1,40),ROW()-1,FALSE))</f>
        <v>14.786585369999999</v>
      </c>
      <c r="Y141">
        <f ca="1">IF(AND($B$294=1,LEN($Y$265) * LEN($Y$264)&gt;0),$Y$265/$Y$264*100,HLOOKUP(INDIRECT(ADDRESS(2,COLUMN())),OFFSET($AT$2,0,0,ROW()-1,40),ROW()-1,FALSE))</f>
        <v>12.89473684</v>
      </c>
      <c r="Z141">
        <f ca="1">IF(AND($B$294=1,LEN($Z$265) * LEN($Z$264)&gt;0),$Z$265/$Z$264*100,HLOOKUP(INDIRECT(ADDRESS(2,COLUMN())),OFFSET($AT$2,0,0,ROW()-1,40),ROW()-1,FALSE))</f>
        <v>14.6179402</v>
      </c>
      <c r="AA141">
        <f ca="1">IF(AND($B$294=1,LEN($AA$265) * LEN($AA$264)&gt;0),$AA$265/$AA$264*100,HLOOKUP(INDIRECT(ADDRESS(2,COLUMN())),OFFSET($AT$2,0,0,ROW()-1,40),ROW()-1,FALSE))</f>
        <v>14.22594142</v>
      </c>
      <c r="AB141">
        <f ca="1">IF(AND($B$294=1,LEN($AB$265) * LEN($AB$264)&gt;0),$AB$265/$AB$264*100,HLOOKUP(INDIRECT(ADDRESS(2,COLUMN())),OFFSET($AT$2,0,0,ROW()-1,40),ROW()-1,FALSE))</f>
        <v>14.098360660000001</v>
      </c>
      <c r="AC141">
        <f ca="1">IF(AND($B$294=1,LEN($AC$265) * LEN($AC$264)&gt;0),$AC$265/$AC$264*100,HLOOKUP(INDIRECT(ADDRESS(2,COLUMN())),OFFSET($AT$2,0,0,ROW()-1,40),ROW()-1,FALSE))</f>
        <v>14.16781293</v>
      </c>
      <c r="AD141">
        <f ca="1">IF(AND($B$294=1,LEN($AD$265) * LEN($AD$264)&gt;0),$AD$265/$AD$264*100,HLOOKUP(INDIRECT(ADDRESS(2,COLUMN())),OFFSET($AT$2,0,0,ROW()-1,40),ROW()-1,FALSE))</f>
        <v>13.79310345</v>
      </c>
      <c r="AE141">
        <f ca="1">IF(AND($B$294=1,LEN($AE$265) * LEN($AE$264)&gt;0),$AE$265/$AE$264*100,HLOOKUP(INDIRECT(ADDRESS(2,COLUMN())),OFFSET($AT$2,0,0,ROW()-1,40),ROW()-1,FALSE))</f>
        <v>13.74045802</v>
      </c>
      <c r="AF141">
        <f ca="1">IF(AND($B$294=1,LEN($AF$265) * LEN($AF$264)&gt;0),$AF$265/$AF$264*100,HLOOKUP(INDIRECT(ADDRESS(2,COLUMN())),OFFSET($AT$2,0,0,ROW()-1,40),ROW()-1,FALSE))</f>
        <v>13.953488370000001</v>
      </c>
      <c r="AG141">
        <f ca="1">IF(AND($B$294=1,LEN($AG$265) * LEN($AG$264)&gt;0),$AG$265/$AG$264*100,HLOOKUP(INDIRECT(ADDRESS(2,COLUMN())),OFFSET($AT$2,0,0,ROW()-1,40),ROW()-1,FALSE))</f>
        <v>13.10043668</v>
      </c>
      <c r="AH141">
        <f ca="1">IF(AND($B$294=1,LEN($AH$265) * LEN($AH$264)&gt;0),$AH$265/$AH$264*100,HLOOKUP(INDIRECT(ADDRESS(2,COLUMN())),OFFSET($AT$2,0,0,ROW()-1,40),ROW()-1,FALSE))</f>
        <v>15.02145923</v>
      </c>
      <c r="AI141">
        <f ca="1">IF(AND($B$294=1,LEN($AI$265) * LEN($AI$264)&gt;0),$AI$265/$AI$264*100,HLOOKUP(INDIRECT(ADDRESS(2,COLUMN())),OFFSET($AT$2,0,0,ROW()-1,40),ROW()-1,FALSE))</f>
        <v>10.60869565</v>
      </c>
      <c r="AJ141">
        <f ca="1">IF(AND($B$294=1,LEN($AJ$265) * LEN($AJ$264)&gt;0),$AJ$265/$AJ$264*100,HLOOKUP(INDIRECT(ADDRESS(2,COLUMN())),OFFSET($AT$2,0,0,ROW()-1,40),ROW()-1,FALSE))</f>
        <v>30.077120820000001</v>
      </c>
      <c r="AK141">
        <f ca="1">IF(AND($B$294=1,LEN($AK$265) * LEN($AK$264)&gt;0),$AK$265/$AK$264*100,HLOOKUP(INDIRECT(ADDRESS(2,COLUMN())),OFFSET($AT$2,0,0,ROW()-1,40),ROW()-1,FALSE))</f>
        <v>14.7260274</v>
      </c>
      <c r="AL141">
        <f ca="1">IF(AND($B$294=1,LEN($AL$265) * LEN($AL$264)&gt;0),$AL$265/$AL$264*100,HLOOKUP(INDIRECT(ADDRESS(2,COLUMN())),OFFSET($AT$2,0,0,ROW()-1,40),ROW()-1,FALSE))</f>
        <v>19.471947190000002</v>
      </c>
      <c r="AM141">
        <f ca="1">IF(AND($B$294=1,LEN($AM$265) * LEN($AM$264)&gt;0),$AM$265/$AM$264*100,HLOOKUP(INDIRECT(ADDRESS(2,COLUMN())),OFFSET($AT$2,0,0,ROW()-1,40),ROW()-1,FALSE))</f>
        <v>18.677685950000001</v>
      </c>
      <c r="AN141">
        <f ca="1">IF(AND($B$294=1,LEN($AN$265) * LEN($AN$264)&gt;0),$AN$265/$AN$264*100,HLOOKUP(INDIRECT(ADDRESS(2,COLUMN())),OFFSET($AT$2,0,0,ROW()-1,40),ROW()-1,FALSE))</f>
        <v>14.720812179999999</v>
      </c>
      <c r="AO141">
        <f ca="1">IF(AND($B$294=1,LEN($AO$265) * LEN($AO$264)&gt;0),$AO$265/$AO$264*100,HLOOKUP(INDIRECT(ADDRESS(2,COLUMN())),OFFSET($AT$2,0,0,ROW()-1,40),ROW()-1,FALSE))</f>
        <v>14.73829201</v>
      </c>
      <c r="AP141">
        <f ca="1">IF(AND($B$294=1,LEN($AP$265) * LEN($AP$264)&gt;0),$AP$265/$AP$264*100,HLOOKUP(INDIRECT(ADDRESS(2,COLUMN())),OFFSET($AT$2,0,0,ROW()-1,40),ROW()-1,FALSE))</f>
        <v>14.597544340000001</v>
      </c>
      <c r="AQ141">
        <f ca="1">IF(AND($B$294=1,LEN($AQ$265) * LEN($AQ$264)&gt;0),$AQ$265/$AQ$264*100,HLOOKUP(INDIRECT(ADDRESS(2,COLUMN())),OFFSET($AT$2,0,0,ROW()-1,40),ROW()-1,FALSE))</f>
        <v>11.053540590000001</v>
      </c>
      <c r="AR141">
        <f ca="1">IF(AND($B$294=1,LEN($AR$265) * LEN($AR$264)&gt;0),$AR$265/$AR$264*100,HLOOKUP(INDIRECT(ADDRESS(2,COLUMN())),OFFSET($AT$2,0,0,ROW()-1,40),ROW()-1,FALSE))</f>
        <v>19.101123600000001</v>
      </c>
      <c r="AS141">
        <f ca="1">IF(AND($B$294=1,LEN($AS$265) * LEN($AS$264)&gt;0),$AS$265/$AS$264*100,HLOOKUP(INDIRECT(ADDRESS(2,COLUMN())),OFFSET($AT$2,0,0,ROW()-1,40),ROW()-1,FALSE))</f>
        <v>22.513089010000002</v>
      </c>
      <c r="AT141">
        <f>13.20754717</f>
        <v>13.20754717</v>
      </c>
      <c r="AU141">
        <f>12.81337047</f>
        <v>12.813370470000001</v>
      </c>
      <c r="AV141">
        <f>12.20423412</f>
        <v>12.204234120000001</v>
      </c>
      <c r="AW141">
        <f>14.24418605</f>
        <v>14.24418605</v>
      </c>
      <c r="AX141">
        <f>13.69127517</f>
        <v>13.691275170000001</v>
      </c>
      <c r="AY141">
        <f>15.17027864</f>
        <v>15.170278639999999</v>
      </c>
      <c r="AZ141">
        <f>14.26356589</f>
        <v>14.263565890000001</v>
      </c>
      <c r="BA141">
        <f>14.5183175</f>
        <v>14.5183175</v>
      </c>
      <c r="BB141">
        <f>13.37209302</f>
        <v>13.372093019999999</v>
      </c>
      <c r="BC141">
        <f>13.59223301</f>
        <v>13.592233009999999</v>
      </c>
      <c r="BD141">
        <f>14.47776629</f>
        <v>14.47776629</v>
      </c>
      <c r="BE141">
        <f>15.36458333</f>
        <v>15.36458333</v>
      </c>
      <c r="BF141">
        <f>11.77325581</f>
        <v>11.77325581</v>
      </c>
      <c r="BG141">
        <f>12.98377029</f>
        <v>12.983770290000001</v>
      </c>
      <c r="BH141">
        <f>14.88636364</f>
        <v>14.886363640000001</v>
      </c>
      <c r="BI141">
        <f>13.63636364</f>
        <v>13.636363640000001</v>
      </c>
      <c r="BJ141">
        <f>13.67231638</f>
        <v>13.67231638</v>
      </c>
      <c r="BK141">
        <f>14.73684211</f>
        <v>14.73684211</v>
      </c>
      <c r="BL141">
        <f>14.78658537</f>
        <v>14.786585369999999</v>
      </c>
      <c r="BM141">
        <f>12.89473684</f>
        <v>12.89473684</v>
      </c>
      <c r="BN141">
        <f>14.6179402</f>
        <v>14.6179402</v>
      </c>
      <c r="BO141">
        <f>14.22594142</f>
        <v>14.22594142</v>
      </c>
      <c r="BP141">
        <f>14.09836066</f>
        <v>14.098360660000001</v>
      </c>
      <c r="BQ141">
        <f>14.16781293</f>
        <v>14.16781293</v>
      </c>
      <c r="BR141">
        <f>13.79310345</f>
        <v>13.79310345</v>
      </c>
      <c r="BS141">
        <f>13.74045802</f>
        <v>13.74045802</v>
      </c>
      <c r="BT141">
        <f>13.95348837</f>
        <v>13.953488370000001</v>
      </c>
      <c r="BU141">
        <f>13.10043668</f>
        <v>13.10043668</v>
      </c>
      <c r="BV141">
        <f>15.02145923</f>
        <v>15.02145923</v>
      </c>
      <c r="BW141">
        <f>10.60869565</f>
        <v>10.60869565</v>
      </c>
      <c r="BX141">
        <f>30.07712082</f>
        <v>30.077120820000001</v>
      </c>
      <c r="BY141">
        <f>14.7260274</f>
        <v>14.7260274</v>
      </c>
      <c r="BZ141">
        <f>19.47194719</f>
        <v>19.471947190000002</v>
      </c>
      <c r="CA141">
        <f>18.67768595</f>
        <v>18.677685950000001</v>
      </c>
      <c r="CB141">
        <f>14.72081218</f>
        <v>14.720812179999999</v>
      </c>
      <c r="CC141">
        <f>14.73829201</f>
        <v>14.73829201</v>
      </c>
      <c r="CD141">
        <f>14.59754434</f>
        <v>14.597544340000001</v>
      </c>
      <c r="CE141">
        <f>11.05354059</f>
        <v>11.053540590000001</v>
      </c>
      <c r="CF141">
        <f>19.1011236</f>
        <v>19.101123600000001</v>
      </c>
      <c r="CG141">
        <f>22.51308901</f>
        <v>22.513089010000002</v>
      </c>
    </row>
    <row r="142" spans="1:85" x14ac:dyDescent="0.25">
      <c r="A142" t="str">
        <f>"        Mercedes-Benz"</f>
        <v xml:space="preserve">        Mercedes-Benz</v>
      </c>
      <c r="B142" t="str">
        <f>"DAI GR Equity"</f>
        <v>DAI GR Equity</v>
      </c>
      <c r="E142" t="str">
        <f>"Expression"</f>
        <v>Expression</v>
      </c>
      <c r="F142" t="str">
        <f ca="1">IF(AND($B$294=1,LEN($F$266) * LEN($F$264)&gt;0),$F$266/$F$264*100,HLOOKUP(INDIRECT(ADDRESS(2,COLUMN())),OFFSET($AT$2,0,0,ROW()-1,40),ROW()-1,FALSE))</f>
        <v/>
      </c>
      <c r="G142" t="str">
        <f ca="1">IF(AND($B$294=1,LEN($G$266) * LEN($G$264)&gt;0),$G$266/$G$264*100,HLOOKUP(INDIRECT(ADDRESS(2,COLUMN())),OFFSET($AT$2,0,0,ROW()-1,40),ROW()-1,FALSE))</f>
        <v/>
      </c>
      <c r="H142" t="str">
        <f ca="1">IF(AND($B$294=1,LEN($H$266) * LEN($H$264)&gt;0),$H$266/$H$264*100,HLOOKUP(INDIRECT(ADDRESS(2,COLUMN())),OFFSET($AT$2,0,0,ROW()-1,40),ROW()-1,FALSE))</f>
        <v/>
      </c>
      <c r="I142" t="str">
        <f ca="1">IF(AND($B$294=1,LEN($I$266) * LEN($I$264)&gt;0),$I$266/$I$264*100,HLOOKUP(INDIRECT(ADDRESS(2,COLUMN())),OFFSET($AT$2,0,0,ROW()-1,40),ROW()-1,FALSE))</f>
        <v/>
      </c>
      <c r="J142" t="str">
        <f ca="1">IF(AND($B$294=1,LEN($J$266) * LEN($J$264)&gt;0),$J$266/$J$264*100,HLOOKUP(INDIRECT(ADDRESS(2,COLUMN())),OFFSET($AT$2,0,0,ROW()-1,40),ROW()-1,FALSE))</f>
        <v/>
      </c>
      <c r="K142" t="str">
        <f ca="1">IF(AND($B$294=1,LEN($K$266) * LEN($K$264)&gt;0),$K$266/$K$264*100,HLOOKUP(INDIRECT(ADDRESS(2,COLUMN())),OFFSET($AT$2,0,0,ROW()-1,40),ROW()-1,FALSE))</f>
        <v/>
      </c>
      <c r="L142" t="str">
        <f ca="1">IF(AND($B$294=1,LEN($L$266) * LEN($L$264)&gt;0),$L$266/$L$264*100,HLOOKUP(INDIRECT(ADDRESS(2,COLUMN())),OFFSET($AT$2,0,0,ROW()-1,40),ROW()-1,FALSE))</f>
        <v/>
      </c>
      <c r="M142" t="str">
        <f ca="1">IF(AND($B$294=1,LEN($M$266) * LEN($M$264)&gt;0),$M$266/$M$264*100,HLOOKUP(INDIRECT(ADDRESS(2,COLUMN())),OFFSET($AT$2,0,0,ROW()-1,40),ROW()-1,FALSE))</f>
        <v/>
      </c>
      <c r="N142" t="str">
        <f ca="1">IF(AND($B$294=1,LEN($N$266) * LEN($N$264)&gt;0),$N$266/$N$264*100,HLOOKUP(INDIRECT(ADDRESS(2,COLUMN())),OFFSET($AT$2,0,0,ROW()-1,40),ROW()-1,FALSE))</f>
        <v/>
      </c>
      <c r="O142" t="str">
        <f ca="1">IF(AND($B$294=1,LEN($O$266) * LEN($O$264)&gt;0),$O$266/$O$264*100,HLOOKUP(INDIRECT(ADDRESS(2,COLUMN())),OFFSET($AT$2,0,0,ROW()-1,40),ROW()-1,FALSE))</f>
        <v/>
      </c>
      <c r="P142">
        <f ca="1">IF(AND($B$294=1,LEN($P$266) * LEN($P$264)&gt;0),$P$266/$P$264*100,HLOOKUP(INDIRECT(ADDRESS(2,COLUMN())),OFFSET($AT$2,0,0,ROW()-1,40),ROW()-1,FALSE))</f>
        <v>44.77766287</v>
      </c>
      <c r="Q142">
        <f ca="1">IF(AND($B$294=1,LEN($Q$266) * LEN($Q$264)&gt;0),$Q$266/$Q$264*100,HLOOKUP(INDIRECT(ADDRESS(2,COLUMN())),OFFSET($AT$2,0,0,ROW()-1,40),ROW()-1,FALSE))</f>
        <v>47.005208330000002</v>
      </c>
      <c r="R142">
        <f ca="1">IF(AND($B$294=1,LEN($R$266) * LEN($R$264)&gt;0),$R$266/$R$264*100,HLOOKUP(INDIRECT(ADDRESS(2,COLUMN())),OFFSET($AT$2,0,0,ROW()-1,40),ROW()-1,FALSE))</f>
        <v>42.587209299999998</v>
      </c>
      <c r="S142">
        <f ca="1">IF(AND($B$294=1,LEN($S$266) * LEN($S$264)&gt;0),$S$266/$S$264*100,HLOOKUP(INDIRECT(ADDRESS(2,COLUMN())),OFFSET($AT$2,0,0,ROW()-1,40),ROW()-1,FALSE))</f>
        <v>39.700374529999998</v>
      </c>
      <c r="T142">
        <f ca="1">IF(AND($B$294=1,LEN($T$266) * LEN($T$264)&gt;0),$T$266/$T$264*100,HLOOKUP(INDIRECT(ADDRESS(2,COLUMN())),OFFSET($AT$2,0,0,ROW()-1,40),ROW()-1,FALSE))</f>
        <v>47.5</v>
      </c>
      <c r="U142">
        <f ca="1">IF(AND($B$294=1,LEN($U$266) * LEN($U$264)&gt;0),$U$266/$U$264*100,HLOOKUP(INDIRECT(ADDRESS(2,COLUMN())),OFFSET($AT$2,0,0,ROW()-1,40),ROW()-1,FALSE))</f>
        <v>45.085995089999997</v>
      </c>
      <c r="V142">
        <f ca="1">IF(AND($B$294=1,LEN($V$266) * LEN($V$264)&gt;0),$V$266/$V$264*100,HLOOKUP(INDIRECT(ADDRESS(2,COLUMN())),OFFSET($AT$2,0,0,ROW()-1,40),ROW()-1,FALSE))</f>
        <v>51.299435029999998</v>
      </c>
      <c r="W142">
        <f ca="1">IF(AND($B$294=1,LEN($W$266) * LEN($W$264)&gt;0),$W$266/$W$264*100,HLOOKUP(INDIRECT(ADDRESS(2,COLUMN())),OFFSET($AT$2,0,0,ROW()-1,40),ROW()-1,FALSE))</f>
        <v>44.060150380000003</v>
      </c>
      <c r="X142">
        <f ca="1">IF(AND($B$294=1,LEN($X$266) * LEN($X$264)&gt;0),$X$266/$X$264*100,HLOOKUP(INDIRECT(ADDRESS(2,COLUMN())),OFFSET($AT$2,0,0,ROW()-1,40),ROW()-1,FALSE))</f>
        <v>41.463414630000003</v>
      </c>
      <c r="Y142">
        <f ca="1">IF(AND($B$294=1,LEN($Y$266) * LEN($Y$264)&gt;0),$Y$266/$Y$264*100,HLOOKUP(INDIRECT(ADDRESS(2,COLUMN())),OFFSET($AT$2,0,0,ROW()-1,40),ROW()-1,FALSE))</f>
        <v>48.421052629999998</v>
      </c>
      <c r="Z142">
        <f ca="1">IF(AND($B$294=1,LEN($Z$266) * LEN($Z$264)&gt;0),$Z$266/$Z$264*100,HLOOKUP(INDIRECT(ADDRESS(2,COLUMN())),OFFSET($AT$2,0,0,ROW()-1,40),ROW()-1,FALSE))</f>
        <v>43.189368770000002</v>
      </c>
      <c r="AA142">
        <f ca="1">IF(AND($B$294=1,LEN($AA$266) * LEN($AA$264)&gt;0),$AA$266/$AA$264*100,HLOOKUP(INDIRECT(ADDRESS(2,COLUMN())),OFFSET($AT$2,0,0,ROW()-1,40),ROW()-1,FALSE))</f>
        <v>39.330543929999997</v>
      </c>
      <c r="AB142">
        <f ca="1">IF(AND($B$294=1,LEN($AB$266) * LEN($AB$264)&gt;0),$AB$266/$AB$264*100,HLOOKUP(INDIRECT(ADDRESS(2,COLUMN())),OFFSET($AT$2,0,0,ROW()-1,40),ROW()-1,FALSE))</f>
        <v>37.37704918</v>
      </c>
      <c r="AC142">
        <f ca="1">IF(AND($B$294=1,LEN($AC$266) * LEN($AC$264)&gt;0),$AC$266/$AC$264*100,HLOOKUP(INDIRECT(ADDRESS(2,COLUMN())),OFFSET($AT$2,0,0,ROW()-1,40),ROW()-1,FALSE))</f>
        <v>37.689133429999998</v>
      </c>
      <c r="AD142">
        <f ca="1">IF(AND($B$294=1,LEN($AD$266) * LEN($AD$264)&gt;0),$AD$266/$AD$264*100,HLOOKUP(INDIRECT(ADDRESS(2,COLUMN())),OFFSET($AT$2,0,0,ROW()-1,40),ROW()-1,FALSE))</f>
        <v>36.925287359999999</v>
      </c>
      <c r="AE142">
        <f ca="1">IF(AND($B$294=1,LEN($AE$266) * LEN($AE$264)&gt;0),$AE$266/$AE$264*100,HLOOKUP(INDIRECT(ADDRESS(2,COLUMN())),OFFSET($AT$2,0,0,ROW()-1,40),ROW()-1,FALSE))</f>
        <v>36.488549620000001</v>
      </c>
      <c r="AF142">
        <f ca="1">IF(AND($B$294=1,LEN($AF$266) * LEN($AF$264)&gt;0),$AF$266/$AF$264*100,HLOOKUP(INDIRECT(ADDRESS(2,COLUMN())),OFFSET($AT$2,0,0,ROW()-1,40),ROW()-1,FALSE))</f>
        <v>37.054263570000003</v>
      </c>
      <c r="AG142">
        <f ca="1">IF(AND($B$294=1,LEN($AG$266) * LEN($AG$264)&gt;0),$AG$266/$AG$264*100,HLOOKUP(INDIRECT(ADDRESS(2,COLUMN())),OFFSET($AT$2,0,0,ROW()-1,40),ROW()-1,FALSE))</f>
        <v>41.77583697</v>
      </c>
      <c r="AH142">
        <f ca="1">IF(AND($B$294=1,LEN($AH$266) * LEN($AH$264)&gt;0),$AH$266/$AH$264*100,HLOOKUP(INDIRECT(ADDRESS(2,COLUMN())),OFFSET($AT$2,0,0,ROW()-1,40),ROW()-1,FALSE))</f>
        <v>40.343347639999998</v>
      </c>
      <c r="AI142">
        <f ca="1">IF(AND($B$294=1,LEN($AI$266) * LEN($AI$264)&gt;0),$AI$266/$AI$264*100,HLOOKUP(INDIRECT(ADDRESS(2,COLUMN())),OFFSET($AT$2,0,0,ROW()-1,40),ROW()-1,FALSE))</f>
        <v>33.739130430000003</v>
      </c>
      <c r="AJ142">
        <f ca="1">IF(AND($B$294=1,LEN($AJ$266) * LEN($AJ$264)&gt;0),$AJ$266/$AJ$264*100,HLOOKUP(INDIRECT(ADDRESS(2,COLUMN())),OFFSET($AT$2,0,0,ROW()-1,40),ROW()-1,FALSE))</f>
        <v>30.591259640000001</v>
      </c>
      <c r="AK142">
        <f ca="1">IF(AND($B$294=1,LEN($AK$266) * LEN($AK$264)&gt;0),$AK$266/$AK$264*100,HLOOKUP(INDIRECT(ADDRESS(2,COLUMN())),OFFSET($AT$2,0,0,ROW()-1,40),ROW()-1,FALSE))</f>
        <v>33.390410959999997</v>
      </c>
      <c r="AL142">
        <f ca="1">IF(AND($B$294=1,LEN($AL$266) * LEN($AL$264)&gt;0),$AL$266/$AL$264*100,HLOOKUP(INDIRECT(ADDRESS(2,COLUMN())),OFFSET($AT$2,0,0,ROW()-1,40),ROW()-1,FALSE))</f>
        <v>25.08250825</v>
      </c>
      <c r="AM142">
        <f ca="1">IF(AND($B$294=1,LEN($AM$266) * LEN($AM$264)&gt;0),$AM$266/$AM$264*100,HLOOKUP(INDIRECT(ADDRESS(2,COLUMN())),OFFSET($AT$2,0,0,ROW()-1,40),ROW()-1,FALSE))</f>
        <v>30.90909091</v>
      </c>
      <c r="AN142">
        <f ca="1">IF(AND($B$294=1,LEN($AN$266) * LEN($AN$264)&gt;0),$AN$266/$AN$264*100,HLOOKUP(INDIRECT(ADDRESS(2,COLUMN())),OFFSET($AT$2,0,0,ROW()-1,40),ROW()-1,FALSE))</f>
        <v>28.172588829999999</v>
      </c>
      <c r="AO142">
        <f ca="1">IF(AND($B$294=1,LEN($AO$266) * LEN($AO$264)&gt;0),$AO$266/$AO$264*100,HLOOKUP(INDIRECT(ADDRESS(2,COLUMN())),OFFSET($AT$2,0,0,ROW()-1,40),ROW()-1,FALSE))</f>
        <v>28.09917355</v>
      </c>
      <c r="AP142">
        <f ca="1">IF(AND($B$294=1,LEN($AP$266) * LEN($AP$264)&gt;0),$AP$266/$AP$264*100,HLOOKUP(INDIRECT(ADDRESS(2,COLUMN())),OFFSET($AT$2,0,0,ROW()-1,40),ROW()-1,FALSE))</f>
        <v>27.967257839999998</v>
      </c>
      <c r="AQ142">
        <f ca="1">IF(AND($B$294=1,LEN($AQ$266) * LEN($AQ$264)&gt;0),$AQ$266/$AQ$264*100,HLOOKUP(INDIRECT(ADDRESS(2,COLUMN())),OFFSET($AT$2,0,0,ROW()-1,40),ROW()-1,FALSE))</f>
        <v>35.578583770000002</v>
      </c>
      <c r="AR142">
        <f ca="1">IF(AND($B$294=1,LEN($AR$266) * LEN($AR$264)&gt;0),$AR$266/$AR$264*100,HLOOKUP(INDIRECT(ADDRESS(2,COLUMN())),OFFSET($AT$2,0,0,ROW()-1,40),ROW()-1,FALSE))</f>
        <v>44.943820219999999</v>
      </c>
      <c r="AS142">
        <f ca="1">IF(AND($B$294=1,LEN($AS$266) * LEN($AS$264)&gt;0),$AS$266/$AS$264*100,HLOOKUP(INDIRECT(ADDRESS(2,COLUMN())),OFFSET($AT$2,0,0,ROW()-1,40),ROW()-1,FALSE))</f>
        <v>43.630017449999997</v>
      </c>
      <c r="AT142" t="str">
        <f>""</f>
        <v/>
      </c>
      <c r="AU142" t="str">
        <f>""</f>
        <v/>
      </c>
      <c r="AV142" t="str">
        <f>""</f>
        <v/>
      </c>
      <c r="AW142" t="str">
        <f>""</f>
        <v/>
      </c>
      <c r="AX142" t="str">
        <f>""</f>
        <v/>
      </c>
      <c r="AY142" t="str">
        <f>""</f>
        <v/>
      </c>
      <c r="AZ142" t="str">
        <f>""</f>
        <v/>
      </c>
      <c r="BA142" t="str">
        <f>""</f>
        <v/>
      </c>
      <c r="BB142" t="str">
        <f>""</f>
        <v/>
      </c>
      <c r="BC142" t="str">
        <f>""</f>
        <v/>
      </c>
      <c r="BD142">
        <f>44.77766287</f>
        <v>44.77766287</v>
      </c>
      <c r="BE142">
        <f>47.00520833</f>
        <v>47.005208330000002</v>
      </c>
      <c r="BF142">
        <f>42.5872093</f>
        <v>42.587209299999998</v>
      </c>
      <c r="BG142">
        <f>39.70037453</f>
        <v>39.700374529999998</v>
      </c>
      <c r="BH142">
        <f>47.5</f>
        <v>47.5</v>
      </c>
      <c r="BI142">
        <f>45.08599509</f>
        <v>45.085995089999997</v>
      </c>
      <c r="BJ142">
        <f>51.29943503</f>
        <v>51.299435029999998</v>
      </c>
      <c r="BK142">
        <f>44.06015038</f>
        <v>44.060150380000003</v>
      </c>
      <c r="BL142">
        <f>41.46341463</f>
        <v>41.463414630000003</v>
      </c>
      <c r="BM142">
        <f>48.42105263</f>
        <v>48.421052629999998</v>
      </c>
      <c r="BN142">
        <f>43.18936877</f>
        <v>43.189368770000002</v>
      </c>
      <c r="BO142">
        <f>39.33054393</f>
        <v>39.330543929999997</v>
      </c>
      <c r="BP142">
        <f>37.37704918</f>
        <v>37.37704918</v>
      </c>
      <c r="BQ142">
        <f>37.68913343</f>
        <v>37.689133429999998</v>
      </c>
      <c r="BR142">
        <f>36.92528736</f>
        <v>36.925287359999999</v>
      </c>
      <c r="BS142">
        <f>36.48854962</f>
        <v>36.488549620000001</v>
      </c>
      <c r="BT142">
        <f>37.05426357</f>
        <v>37.054263570000003</v>
      </c>
      <c r="BU142">
        <f>41.77583697</f>
        <v>41.77583697</v>
      </c>
      <c r="BV142">
        <f>40.34334764</f>
        <v>40.343347639999998</v>
      </c>
      <c r="BW142">
        <f>33.73913043</f>
        <v>33.739130430000003</v>
      </c>
      <c r="BX142">
        <f>30.59125964</f>
        <v>30.591259640000001</v>
      </c>
      <c r="BY142">
        <f>33.39041096</f>
        <v>33.390410959999997</v>
      </c>
      <c r="BZ142">
        <f>25.08250825</f>
        <v>25.08250825</v>
      </c>
      <c r="CA142">
        <f>30.90909091</f>
        <v>30.90909091</v>
      </c>
      <c r="CB142">
        <f>28.17258883</f>
        <v>28.172588829999999</v>
      </c>
      <c r="CC142">
        <f>28.09917355</f>
        <v>28.09917355</v>
      </c>
      <c r="CD142">
        <f>27.96725784</f>
        <v>27.967257839999998</v>
      </c>
      <c r="CE142">
        <f>35.57858377</f>
        <v>35.578583770000002</v>
      </c>
      <c r="CF142">
        <f>44.94382022</f>
        <v>44.943820219999999</v>
      </c>
      <c r="CG142">
        <f>43.63001745</f>
        <v>43.630017449999997</v>
      </c>
    </row>
    <row r="143" spans="1:85" x14ac:dyDescent="0.25">
      <c r="A143" t="str">
        <f>"        Sterling"</f>
        <v xml:space="preserve">        Sterling</v>
      </c>
      <c r="B143" t="str">
        <f>"DAI GR Equity"</f>
        <v>DAI GR Equity</v>
      </c>
      <c r="E143" t="str">
        <f>"Expression"</f>
        <v>Expression</v>
      </c>
      <c r="F143" t="str">
        <f ca="1">IF(AND($B$294=1,LEN($F$267) * LEN($F$264)&gt;0),$F$267/$F$264*100,HLOOKUP(INDIRECT(ADDRESS(2,COLUMN())),OFFSET($AT$2,0,0,ROW()-1,40),ROW()-1,FALSE))</f>
        <v/>
      </c>
      <c r="G143" t="str">
        <f ca="1">IF(AND($B$294=1,LEN($G$267) * LEN($G$264)&gt;0),$G$267/$G$264*100,HLOOKUP(INDIRECT(ADDRESS(2,COLUMN())),OFFSET($AT$2,0,0,ROW()-1,40),ROW()-1,FALSE))</f>
        <v/>
      </c>
      <c r="H143" t="str">
        <f ca="1">IF(AND($B$294=1,LEN($H$267) * LEN($H$264)&gt;0),$H$267/$H$264*100,HLOOKUP(INDIRECT(ADDRESS(2,COLUMN())),OFFSET($AT$2,0,0,ROW()-1,40),ROW()-1,FALSE))</f>
        <v/>
      </c>
      <c r="I143" t="str">
        <f ca="1">IF(AND($B$294=1,LEN($I$267) * LEN($I$264)&gt;0),$I$267/$I$264*100,HLOOKUP(INDIRECT(ADDRESS(2,COLUMN())),OFFSET($AT$2,0,0,ROW()-1,40),ROW()-1,FALSE))</f>
        <v/>
      </c>
      <c r="J143" t="str">
        <f ca="1">IF(AND($B$294=1,LEN($J$267) * LEN($J$264)&gt;0),$J$267/$J$264*100,HLOOKUP(INDIRECT(ADDRESS(2,COLUMN())),OFFSET($AT$2,0,0,ROW()-1,40),ROW()-1,FALSE))</f>
        <v/>
      </c>
      <c r="K143" t="str">
        <f ca="1">IF(AND($B$294=1,LEN($K$267) * LEN($K$264)&gt;0),$K$267/$K$264*100,HLOOKUP(INDIRECT(ADDRESS(2,COLUMN())),OFFSET($AT$2,0,0,ROW()-1,40),ROW()-1,FALSE))</f>
        <v/>
      </c>
      <c r="L143" t="str">
        <f ca="1">IF(AND($B$294=1,LEN($L$267) * LEN($L$264)&gt;0),$L$267/$L$264*100,HLOOKUP(INDIRECT(ADDRESS(2,COLUMN())),OFFSET($AT$2,0,0,ROW()-1,40),ROW()-1,FALSE))</f>
        <v/>
      </c>
      <c r="M143" t="str">
        <f ca="1">IF(AND($B$294=1,LEN($M$267) * LEN($M$264)&gt;0),$M$267/$M$264*100,HLOOKUP(INDIRECT(ADDRESS(2,COLUMN())),OFFSET($AT$2,0,0,ROW()-1,40),ROW()-1,FALSE))</f>
        <v/>
      </c>
      <c r="N143" t="str">
        <f ca="1">IF(AND($B$294=1,LEN($N$267) * LEN($N$264)&gt;0),$N$267/$N$264*100,HLOOKUP(INDIRECT(ADDRESS(2,COLUMN())),OFFSET($AT$2,0,0,ROW()-1,40),ROW()-1,FALSE))</f>
        <v/>
      </c>
      <c r="O143" t="str">
        <f ca="1">IF(AND($B$294=1,LEN($O$267) * LEN($O$264)&gt;0),$O$267/$O$264*100,HLOOKUP(INDIRECT(ADDRESS(2,COLUMN())),OFFSET($AT$2,0,0,ROW()-1,40),ROW()-1,FALSE))</f>
        <v/>
      </c>
      <c r="P143" t="str">
        <f ca="1">IF(AND($B$294=1,LEN($P$267) * LEN($P$264)&gt;0),$P$267/$P$264*100,HLOOKUP(INDIRECT(ADDRESS(2,COLUMN())),OFFSET($AT$2,0,0,ROW()-1,40),ROW()-1,FALSE))</f>
        <v/>
      </c>
      <c r="Q143" t="str">
        <f ca="1">IF(AND($B$294=1,LEN($Q$267) * LEN($Q$264)&gt;0),$Q$267/$Q$264*100,HLOOKUP(INDIRECT(ADDRESS(2,COLUMN())),OFFSET($AT$2,0,0,ROW()-1,40),ROW()-1,FALSE))</f>
        <v/>
      </c>
      <c r="R143" t="str">
        <f ca="1">IF(AND($B$294=1,LEN($R$267) * LEN($R$264)&gt;0),$R$267/$R$264*100,HLOOKUP(INDIRECT(ADDRESS(2,COLUMN())),OFFSET($AT$2,0,0,ROW()-1,40),ROW()-1,FALSE))</f>
        <v/>
      </c>
      <c r="S143" t="str">
        <f ca="1">IF(AND($B$294=1,LEN($S$267) * LEN($S$264)&gt;0),$S$267/$S$264*100,HLOOKUP(INDIRECT(ADDRESS(2,COLUMN())),OFFSET($AT$2,0,0,ROW()-1,40),ROW()-1,FALSE))</f>
        <v/>
      </c>
      <c r="T143" t="str">
        <f ca="1">IF(AND($B$294=1,LEN($T$267) * LEN($T$264)&gt;0),$T$267/$T$264*100,HLOOKUP(INDIRECT(ADDRESS(2,COLUMN())),OFFSET($AT$2,0,0,ROW()-1,40),ROW()-1,FALSE))</f>
        <v/>
      </c>
      <c r="U143" t="str">
        <f ca="1">IF(AND($B$294=1,LEN($U$267) * LEN($U$264)&gt;0),$U$267/$U$264*100,HLOOKUP(INDIRECT(ADDRESS(2,COLUMN())),OFFSET($AT$2,0,0,ROW()-1,40),ROW()-1,FALSE))</f>
        <v/>
      </c>
      <c r="V143" t="str">
        <f ca="1">IF(AND($B$294=1,LEN($V$267) * LEN($V$264)&gt;0),$V$267/$V$264*100,HLOOKUP(INDIRECT(ADDRESS(2,COLUMN())),OFFSET($AT$2,0,0,ROW()-1,40),ROW()-1,FALSE))</f>
        <v/>
      </c>
      <c r="W143" t="str">
        <f ca="1">IF(AND($B$294=1,LEN($W$267) * LEN($W$264)&gt;0),$W$267/$W$264*100,HLOOKUP(INDIRECT(ADDRESS(2,COLUMN())),OFFSET($AT$2,0,0,ROW()-1,40),ROW()-1,FALSE))</f>
        <v/>
      </c>
      <c r="X143" t="str">
        <f ca="1">IF(AND($B$294=1,LEN($X$267) * LEN($X$264)&gt;0),$X$267/$X$264*100,HLOOKUP(INDIRECT(ADDRESS(2,COLUMN())),OFFSET($AT$2,0,0,ROW()-1,40),ROW()-1,FALSE))</f>
        <v/>
      </c>
      <c r="Y143" t="str">
        <f ca="1">IF(AND($B$294=1,LEN($Y$267) * LEN($Y$264)&gt;0),$Y$267/$Y$264*100,HLOOKUP(INDIRECT(ADDRESS(2,COLUMN())),OFFSET($AT$2,0,0,ROW()-1,40),ROW()-1,FALSE))</f>
        <v/>
      </c>
      <c r="Z143" t="str">
        <f ca="1">IF(AND($B$294=1,LEN($Z$267) * LEN($Z$264)&gt;0),$Z$267/$Z$264*100,HLOOKUP(INDIRECT(ADDRESS(2,COLUMN())),OFFSET($AT$2,0,0,ROW()-1,40),ROW()-1,FALSE))</f>
        <v/>
      </c>
      <c r="AA143" t="str">
        <f ca="1">IF(AND($B$294=1,LEN($AA$267) * LEN($AA$264)&gt;0),$AA$267/$AA$264*100,HLOOKUP(INDIRECT(ADDRESS(2,COLUMN())),OFFSET($AT$2,0,0,ROW()-1,40),ROW()-1,FALSE))</f>
        <v/>
      </c>
      <c r="AB143" t="str">
        <f ca="1">IF(AND($B$294=1,LEN($AB$267) * LEN($AB$264)&gt;0),$AB$267/$AB$264*100,HLOOKUP(INDIRECT(ADDRESS(2,COLUMN())),OFFSET($AT$2,0,0,ROW()-1,40),ROW()-1,FALSE))</f>
        <v/>
      </c>
      <c r="AC143" t="str">
        <f ca="1">IF(AND($B$294=1,LEN($AC$267) * LEN($AC$264)&gt;0),$AC$267/$AC$264*100,HLOOKUP(INDIRECT(ADDRESS(2,COLUMN())),OFFSET($AT$2,0,0,ROW()-1,40),ROW()-1,FALSE))</f>
        <v/>
      </c>
      <c r="AD143" t="str">
        <f ca="1">IF(AND($B$294=1,LEN($AD$267) * LEN($AD$264)&gt;0),$AD$267/$AD$264*100,HLOOKUP(INDIRECT(ADDRESS(2,COLUMN())),OFFSET($AT$2,0,0,ROW()-1,40),ROW()-1,FALSE))</f>
        <v/>
      </c>
      <c r="AE143" t="str">
        <f ca="1">IF(AND($B$294=1,LEN($AE$267) * LEN($AE$264)&gt;0),$AE$267/$AE$264*100,HLOOKUP(INDIRECT(ADDRESS(2,COLUMN())),OFFSET($AT$2,0,0,ROW()-1,40),ROW()-1,FALSE))</f>
        <v/>
      </c>
      <c r="AF143" t="str">
        <f ca="1">IF(AND($B$294=1,LEN($AF$267) * LEN($AF$264)&gt;0),$AF$267/$AF$264*100,HLOOKUP(INDIRECT(ADDRESS(2,COLUMN())),OFFSET($AT$2,0,0,ROW()-1,40),ROW()-1,FALSE))</f>
        <v/>
      </c>
      <c r="AG143" t="str">
        <f ca="1">IF(AND($B$294=1,LEN($AG$267) * LEN($AG$264)&gt;0),$AG$267/$AG$264*100,HLOOKUP(INDIRECT(ADDRESS(2,COLUMN())),OFFSET($AT$2,0,0,ROW()-1,40),ROW()-1,FALSE))</f>
        <v/>
      </c>
      <c r="AH143" t="str">
        <f ca="1">IF(AND($B$294=1,LEN($AH$267) * LEN($AH$264)&gt;0),$AH$267/$AH$264*100,HLOOKUP(INDIRECT(ADDRESS(2,COLUMN())),OFFSET($AT$2,0,0,ROW()-1,40),ROW()-1,FALSE))</f>
        <v/>
      </c>
      <c r="AI143" t="str">
        <f ca="1">IF(AND($B$294=1,LEN($AI$267) * LEN($AI$264)&gt;0),$AI$267/$AI$264*100,HLOOKUP(INDIRECT(ADDRESS(2,COLUMN())),OFFSET($AT$2,0,0,ROW()-1,40),ROW()-1,FALSE))</f>
        <v/>
      </c>
      <c r="AJ143" t="str">
        <f ca="1">IF(AND($B$294=1,LEN($AJ$267) * LEN($AJ$264)&gt;0),$AJ$267/$AJ$264*100,HLOOKUP(INDIRECT(ADDRESS(2,COLUMN())),OFFSET($AT$2,0,0,ROW()-1,40),ROW()-1,FALSE))</f>
        <v/>
      </c>
      <c r="AK143" t="str">
        <f ca="1">IF(AND($B$294=1,LEN($AK$267) * LEN($AK$264)&gt;0),$AK$267/$AK$264*100,HLOOKUP(INDIRECT(ADDRESS(2,COLUMN())),OFFSET($AT$2,0,0,ROW()-1,40),ROW()-1,FALSE))</f>
        <v/>
      </c>
      <c r="AL143" t="str">
        <f ca="1">IF(AND($B$294=1,LEN($AL$267) * LEN($AL$264)&gt;0),$AL$267/$AL$264*100,HLOOKUP(INDIRECT(ADDRESS(2,COLUMN())),OFFSET($AT$2,0,0,ROW()-1,40),ROW()-1,FALSE))</f>
        <v/>
      </c>
      <c r="AM143" t="str">
        <f ca="1">IF(AND($B$294=1,LEN($AM$267) * LEN($AM$264)&gt;0),$AM$267/$AM$264*100,HLOOKUP(INDIRECT(ADDRESS(2,COLUMN())),OFFSET($AT$2,0,0,ROW()-1,40),ROW()-1,FALSE))</f>
        <v/>
      </c>
      <c r="AN143" t="str">
        <f ca="1">IF(AND($B$294=1,LEN($AN$267) * LEN($AN$264)&gt;0),$AN$267/$AN$264*100,HLOOKUP(INDIRECT(ADDRESS(2,COLUMN())),OFFSET($AT$2,0,0,ROW()-1,40),ROW()-1,FALSE))</f>
        <v/>
      </c>
      <c r="AO143" t="str">
        <f ca="1">IF(AND($B$294=1,LEN($AO$267) * LEN($AO$264)&gt;0),$AO$267/$AO$264*100,HLOOKUP(INDIRECT(ADDRESS(2,COLUMN())),OFFSET($AT$2,0,0,ROW()-1,40),ROW()-1,FALSE))</f>
        <v/>
      </c>
      <c r="AP143" t="str">
        <f ca="1">IF(AND($B$294=1,LEN($AP$267) * LEN($AP$264)&gt;0),$AP$267/$AP$264*100,HLOOKUP(INDIRECT(ADDRESS(2,COLUMN())),OFFSET($AT$2,0,0,ROW()-1,40),ROW()-1,FALSE))</f>
        <v/>
      </c>
      <c r="AQ143" t="str">
        <f ca="1">IF(AND($B$294=1,LEN($AQ$267) * LEN($AQ$264)&gt;0),$AQ$267/$AQ$264*100,HLOOKUP(INDIRECT(ADDRESS(2,COLUMN())),OFFSET($AT$2,0,0,ROW()-1,40),ROW()-1,FALSE))</f>
        <v/>
      </c>
      <c r="AR143" t="str">
        <f ca="1">IF(AND($B$294=1,LEN($AR$267) * LEN($AR$264)&gt;0),$AR$267/$AR$264*100,HLOOKUP(INDIRECT(ADDRESS(2,COLUMN())),OFFSET($AT$2,0,0,ROW()-1,40),ROW()-1,FALSE))</f>
        <v/>
      </c>
      <c r="AS143" t="str">
        <f ca="1">IF(AND($B$294=1,LEN($AS$267) * LEN($AS$264)&gt;0),$AS$267/$AS$264*100,HLOOKUP(INDIRECT(ADDRESS(2,COLUMN())),OFFSET($AT$2,0,0,ROW()-1,40),ROW()-1,FALSE))</f>
        <v/>
      </c>
      <c r="AT143" t="str">
        <f>""</f>
        <v/>
      </c>
      <c r="AU143" t="str">
        <f>""</f>
        <v/>
      </c>
      <c r="AV143" t="str">
        <f>""</f>
        <v/>
      </c>
      <c r="AW143" t="str">
        <f>""</f>
        <v/>
      </c>
      <c r="AX143" t="str">
        <f>""</f>
        <v/>
      </c>
      <c r="AY143" t="str">
        <f>""</f>
        <v/>
      </c>
      <c r="AZ143" t="str">
        <f>""</f>
        <v/>
      </c>
      <c r="BA143" t="str">
        <f>""</f>
        <v/>
      </c>
      <c r="BB143" t="str">
        <f>""</f>
        <v/>
      </c>
      <c r="BC143" t="str">
        <f>""</f>
        <v/>
      </c>
      <c r="BD143" t="str">
        <f>""</f>
        <v/>
      </c>
      <c r="BE143" t="str">
        <f>""</f>
        <v/>
      </c>
      <c r="BF143" t="str">
        <f>""</f>
        <v/>
      </c>
      <c r="BG143" t="str">
        <f>""</f>
        <v/>
      </c>
      <c r="BH143" t="str">
        <f>""</f>
        <v/>
      </c>
      <c r="BI143" t="str">
        <f>""</f>
        <v/>
      </c>
      <c r="BJ143" t="str">
        <f>""</f>
        <v/>
      </c>
      <c r="BK143" t="str">
        <f>""</f>
        <v/>
      </c>
      <c r="BL143" t="str">
        <f>""</f>
        <v/>
      </c>
      <c r="BM143" t="str">
        <f>""</f>
        <v/>
      </c>
      <c r="BN143" t="str">
        <f>""</f>
        <v/>
      </c>
      <c r="BO143" t="str">
        <f>""</f>
        <v/>
      </c>
      <c r="BP143" t="str">
        <f>""</f>
        <v/>
      </c>
      <c r="BQ143" t="str">
        <f>""</f>
        <v/>
      </c>
      <c r="BR143" t="str">
        <f>""</f>
        <v/>
      </c>
      <c r="BS143" t="str">
        <f>""</f>
        <v/>
      </c>
      <c r="BT143" t="str">
        <f>""</f>
        <v/>
      </c>
      <c r="BU143" t="str">
        <f>""</f>
        <v/>
      </c>
      <c r="BV143" t="str">
        <f>""</f>
        <v/>
      </c>
      <c r="BW143" t="str">
        <f>""</f>
        <v/>
      </c>
      <c r="BX143" t="str">
        <f>""</f>
        <v/>
      </c>
      <c r="BY143" t="str">
        <f>""</f>
        <v/>
      </c>
      <c r="BZ143" t="str">
        <f>""</f>
        <v/>
      </c>
      <c r="CA143" t="str">
        <f>""</f>
        <v/>
      </c>
      <c r="CB143" t="str">
        <f>""</f>
        <v/>
      </c>
      <c r="CC143" t="str">
        <f>""</f>
        <v/>
      </c>
      <c r="CD143" t="str">
        <f>""</f>
        <v/>
      </c>
      <c r="CE143" t="str">
        <f>""</f>
        <v/>
      </c>
      <c r="CF143" t="str">
        <f>""</f>
        <v/>
      </c>
      <c r="CG143" t="str">
        <f>""</f>
        <v/>
      </c>
    </row>
    <row r="144" spans="1:85" x14ac:dyDescent="0.25">
      <c r="A144" t="str">
        <f>"    Navistar"</f>
        <v xml:space="preserve">    Navistar</v>
      </c>
      <c r="B144" t="str">
        <f>""</f>
        <v/>
      </c>
      <c r="E144" t="str">
        <f>"Sum"</f>
        <v>Sum</v>
      </c>
      <c r="F144">
        <f ca="1">IF(ISERROR(IF(SUM($F$145:$F$145) = 0, "", SUM($F$145:$F$145))), "", (IF(SUM($F$145:$F$145) = 0, "", SUM($F$145:$F$145))))</f>
        <v>22.776280320000001</v>
      </c>
      <c r="G144">
        <f ca="1">IF(ISERROR(IF(SUM($G$145:$G$145) = 0, "", SUM($G$145:$G$145))), "", (IF(SUM($G$145:$G$145) = 0, "", SUM($G$145:$G$145))))</f>
        <v>16.71309192</v>
      </c>
      <c r="H144">
        <f ca="1">IF(ISERROR(IF(SUM($H$145:$H$145) = 0, "", SUM($H$145:$H$145))), "", (IF(SUM($H$145:$H$145) = 0, "", SUM($H$145:$H$145))))</f>
        <v>22.41594022</v>
      </c>
      <c r="I144">
        <f ca="1">IF(ISERROR(IF(SUM($I$145:$I$145) = 0, "", SUM($I$145:$I$145))), "", (IF(SUM($I$145:$I$145) = 0, "", SUM($I$145:$I$145))))</f>
        <v>16.71511628</v>
      </c>
      <c r="J144">
        <f ca="1">IF(ISERROR(IF(SUM($J$145:$J$145) = 0, "", SUM($J$145:$J$145))), "", (IF(SUM($J$145:$J$145) = 0, "", SUM($J$145:$J$145))))</f>
        <v>15.70469799</v>
      </c>
      <c r="K144">
        <f ca="1">IF(ISERROR(IF(SUM($K$145:$K$145) = 0, "", SUM($K$145:$K$145))), "", (IF(SUM($K$145:$K$145) = 0, "", SUM($K$145:$K$145))))</f>
        <v>16.873065019999999</v>
      </c>
      <c r="L144">
        <f ca="1">IF(ISERROR(IF(SUM($L$145:$L$145) = 0, "", SUM($L$145:$L$145))), "", (IF(SUM($L$145:$L$145) = 0, "", SUM($L$145:$L$145))))</f>
        <v>17.519379839999999</v>
      </c>
      <c r="M144">
        <f ca="1">IF(ISERROR(IF(SUM($M$145:$M$145) = 0, "", SUM($M$145:$M$145))), "", (IF(SUM($M$145:$M$145) = 0, "", SUM($M$145:$M$145))))</f>
        <v>16.010854819999999</v>
      </c>
      <c r="N144">
        <f ca="1">IF(ISERROR(IF(SUM($N$145:$N$145) = 0, "", SUM($N$145:$N$145))), "", (IF(SUM($N$145:$N$145) = 0, "", SUM($N$145:$N$145))))</f>
        <v>23.401162790000001</v>
      </c>
      <c r="O144">
        <f ca="1">IF(ISERROR(IF(SUM($O$145:$O$145) = 0, "", SUM($O$145:$O$145))), "", (IF(SUM($O$145:$O$145) = 0, "", SUM($O$145:$O$145))))</f>
        <v>23.994452150000001</v>
      </c>
      <c r="P144">
        <f ca="1">IF(ISERROR(IF(SUM($P$145:$P$145) = 0, "", SUM($P$145:$P$145))), "", (IF(SUM($P$145:$P$145) = 0, "", SUM($P$145:$P$145))))</f>
        <v>13.85729059</v>
      </c>
      <c r="Q144">
        <f ca="1">IF(ISERROR(IF(SUM($Q$145:$Q$145) = 0, "", SUM($Q$145:$Q$145))), "", (IF(SUM($Q$145:$Q$145) = 0, "", SUM($Q$145:$Q$145))))</f>
        <v>10.28645833</v>
      </c>
      <c r="R144">
        <f ca="1">IF(ISERROR(IF(SUM($R$145:$R$145) = 0, "", SUM($R$145:$R$145))), "", (IF(SUM($R$145:$R$145) = 0, "", SUM($R$145:$R$145))))</f>
        <v>21.802325580000002</v>
      </c>
      <c r="S144">
        <f ca="1">IF(ISERROR(IF(SUM($S$145:$S$145) = 0, "", SUM($S$145:$S$145))), "", (IF(SUM($S$145:$S$145) = 0, "", SUM($S$145:$S$145))))</f>
        <v>24.59425718</v>
      </c>
      <c r="T144">
        <f ca="1">IF(ISERROR(IF(SUM($T$145:$T$145) = 0, "", SUM($T$145:$T$145))), "", (IF(SUM($T$145:$T$145) = 0, "", SUM($T$145:$T$145))))</f>
        <v>17.386363639999999</v>
      </c>
      <c r="U144">
        <f ca="1">IF(ISERROR(IF(SUM($U$145:$U$145) = 0, "", SUM($U$145:$U$145))), "", (IF(SUM($U$145:$U$145) = 0, "", SUM($U$145:$U$145))))</f>
        <v>22.358722360000002</v>
      </c>
      <c r="V144">
        <f ca="1">IF(ISERROR(IF(SUM($V$145:$V$145) = 0, "", SUM($V$145:$V$145))), "", (IF(SUM($V$145:$V$145) = 0, "", SUM($V$145:$V$145))))</f>
        <v>17.74011299</v>
      </c>
      <c r="W144">
        <f ca="1">IF(ISERROR(IF(SUM($W$145:$W$145) = 0, "", SUM($W$145:$W$145))), "", (IF(SUM($W$145:$W$145) = 0, "", SUM($W$145:$W$145))))</f>
        <v>15.4887218</v>
      </c>
      <c r="X144">
        <f ca="1">IF(ISERROR(IF(SUM($X$145:$X$145) = 0, "", SUM($X$145:$X$145))), "", (IF(SUM($X$145:$X$145) = 0, "", SUM($X$145:$X$145))))</f>
        <v>18.445121950000001</v>
      </c>
      <c r="Y144">
        <f ca="1">IF(ISERROR(IF(SUM($Y$145:$Y$145) = 0, "", SUM($Y$145:$Y$145))), "", (IF(SUM($Y$145:$Y$145) = 0, "", SUM($Y$145:$Y$145))))</f>
        <v>19.078947370000002</v>
      </c>
      <c r="Z144">
        <f ca="1">IF(ISERROR(IF(SUM($Z$145:$Z$145) = 0, "", SUM($Z$145:$Z$145))), "", (IF(SUM($Z$145:$Z$145) = 0, "", SUM($Z$145:$Z$145))))</f>
        <v>20.764119600000001</v>
      </c>
      <c r="AA144">
        <f ca="1">IF(ISERROR(IF(SUM($AA$145:$AA$145) = 0, "", SUM($AA$145:$AA$145))), "", (IF(SUM($AA$145:$AA$145) = 0, "", SUM($AA$145:$AA$145))))</f>
        <v>15.89958159</v>
      </c>
      <c r="AB144">
        <f ca="1">IF(ISERROR(IF(SUM($AB$145:$AB$145) = 0, "", SUM($AB$145:$AB$145))), "", (IF(SUM($AB$145:$AB$145) = 0, "", SUM($AB$145:$AB$145))))</f>
        <v>15.6284153</v>
      </c>
      <c r="AC144">
        <f ca="1">IF(ISERROR(IF(SUM($AC$145:$AC$145) = 0, "", SUM($AC$145:$AC$145))), "", (IF(SUM($AC$145:$AC$145) = 0, "", SUM($AC$145:$AC$145))))</f>
        <v>15.543328750000001</v>
      </c>
      <c r="AD144">
        <f ca="1">IF(ISERROR(IF(SUM($AD$145:$AD$145) = 0, "", SUM($AD$145:$AD$145))), "", (IF(SUM($AD$145:$AD$145) = 0, "", SUM($AD$145:$AD$145))))</f>
        <v>16.091954019999999</v>
      </c>
      <c r="AE144">
        <f ca="1">IF(ISERROR(IF(SUM($AE$145:$AE$145) = 0, "", SUM($AE$145:$AE$145))), "", (IF(SUM($AE$145:$AE$145) = 0, "", SUM($AE$145:$AE$145))))</f>
        <v>18.625954199999999</v>
      </c>
      <c r="AF144">
        <f ca="1">IF(ISERROR(IF(SUM($AF$145:$AF$145) = 0, "", SUM($AF$145:$AF$145))), "", (IF(SUM($AF$145:$AF$145) = 0, "", SUM($AF$145:$AF$145))))</f>
        <v>13.953488370000001</v>
      </c>
      <c r="AG144">
        <f ca="1">IF(ISERROR(IF(SUM($AG$145:$AG$145) = 0, "", SUM($AG$145:$AG$145))), "", (IF(SUM($AG$145:$AG$145) = 0, "", SUM($AG$145:$AG$145))))</f>
        <v>13.391557499999999</v>
      </c>
      <c r="AH144">
        <f ca="1">IF(ISERROR(IF(SUM($AH$145:$AH$145) = 0, "", SUM($AH$145:$AH$145))), "", (IF(SUM($AH$145:$AH$145) = 0, "", SUM($AH$145:$AH$145))))</f>
        <v>15.45064378</v>
      </c>
      <c r="AI144">
        <f ca="1">IF(ISERROR(IF(SUM($AI$145:$AI$145) = 0, "", SUM($AI$145:$AI$145))), "", (IF(SUM($AI$145:$AI$145) = 0, "", SUM($AI$145:$AI$145))))</f>
        <v>22.260869570000001</v>
      </c>
      <c r="AJ144">
        <f ca="1">IF(ISERROR(IF(SUM($AJ$145:$AJ$145) = 0, "", SUM($AJ$145:$AJ$145))), "", (IF(SUM($AJ$145:$AJ$145) = 0, "", SUM($AJ$145:$AJ$145))))</f>
        <v>16.58097686</v>
      </c>
      <c r="AK144">
        <f ca="1">IF(ISERROR(IF(SUM($AK$145:$AK$145) = 0, "", SUM($AK$145:$AK$145))), "", (IF(SUM($AK$145:$AK$145) = 0, "", SUM($AK$145:$AK$145))))</f>
        <v>11.98630137</v>
      </c>
      <c r="AL144">
        <f ca="1">IF(ISERROR(IF(SUM($AL$145:$AL$145) = 0, "", SUM($AL$145:$AL$145))), "", (IF(SUM($AL$145:$AL$145) = 0, "", SUM($AL$145:$AL$145))))</f>
        <v>19.636963699999999</v>
      </c>
      <c r="AM144">
        <f ca="1">IF(ISERROR(IF(SUM($AM$145:$AM$145) = 0, "", SUM($AM$145:$AM$145))), "", (IF(SUM($AM$145:$AM$145) = 0, "", SUM($AM$145:$AM$145))))</f>
        <v>12.231404960000001</v>
      </c>
      <c r="AN144">
        <f ca="1">IF(ISERROR(IF(SUM($AN$145:$AN$145) = 0, "", SUM($AN$145:$AN$145))), "", (IF(SUM($AN$145:$AN$145) = 0, "", SUM($AN$145:$AN$145))))</f>
        <v>17.639593909999999</v>
      </c>
      <c r="AO144">
        <f ca="1">IF(ISERROR(IF(SUM($AO$145:$AO$145) = 0, "", SUM($AO$145:$AO$145))), "", (IF(SUM($AO$145:$AO$145) = 0, "", SUM($AO$145:$AO$145))))</f>
        <v>17.355371900000002</v>
      </c>
      <c r="AP144">
        <f ca="1">IF(ISERROR(IF(SUM($AP$145:$AP$145) = 0, "", SUM($AP$145:$AP$145))), "", (IF(SUM($AP$145:$AP$145) = 0, "", SUM($AP$145:$AP$145))))</f>
        <v>17.462482949999998</v>
      </c>
      <c r="AQ144">
        <f ca="1">IF(ISERROR(IF(SUM($AQ$145:$AQ$145) = 0, "", SUM($AQ$145:$AQ$145))), "", (IF(SUM($AQ$145:$AQ$145) = 0, "", SUM($AQ$145:$AQ$145))))</f>
        <v>12.95336788</v>
      </c>
      <c r="AR144">
        <f ca="1">IF(ISERROR(IF(SUM($AR$145:$AR$145) = 0, "", SUM($AR$145:$AR$145))), "", (IF(SUM($AR$145:$AR$145) = 0, "", SUM($AR$145:$AR$145))))</f>
        <v>15.89085072</v>
      </c>
      <c r="AS144">
        <f ca="1">IF(ISERROR(IF(SUM($AS$145:$AS$145) = 0, "", SUM($AS$145:$AS$145))), "", (IF(SUM($AS$145:$AS$145) = 0, "", SUM($AS$145:$AS$145))))</f>
        <v>17.102966840000001</v>
      </c>
      <c r="AT144">
        <f>22.77628032</f>
        <v>22.776280320000001</v>
      </c>
      <c r="AU144">
        <f>16.71309192</f>
        <v>16.71309192</v>
      </c>
      <c r="AV144">
        <f>22.41594022</f>
        <v>22.41594022</v>
      </c>
      <c r="AW144">
        <f>16.71511628</f>
        <v>16.71511628</v>
      </c>
      <c r="AX144">
        <f>15.70469799</f>
        <v>15.70469799</v>
      </c>
      <c r="AY144">
        <f>16.87306502</f>
        <v>16.873065019999999</v>
      </c>
      <c r="AZ144">
        <f>17.51937984</f>
        <v>17.519379839999999</v>
      </c>
      <c r="BA144">
        <f>16.01085482</f>
        <v>16.010854819999999</v>
      </c>
      <c r="BB144">
        <f>23.40116279</f>
        <v>23.401162790000001</v>
      </c>
      <c r="BC144">
        <f>23.99445215</f>
        <v>23.994452150000001</v>
      </c>
      <c r="BD144">
        <f>13.85729059</f>
        <v>13.85729059</v>
      </c>
      <c r="BE144">
        <f>10.28645833</f>
        <v>10.28645833</v>
      </c>
      <c r="BF144">
        <f>21.80232558</f>
        <v>21.802325580000002</v>
      </c>
      <c r="BG144">
        <f>24.59425718</f>
        <v>24.59425718</v>
      </c>
      <c r="BH144">
        <f>17.38636364</f>
        <v>17.386363639999999</v>
      </c>
      <c r="BI144">
        <f>22.35872236</f>
        <v>22.358722360000002</v>
      </c>
      <c r="BJ144">
        <f>17.74011299</f>
        <v>17.74011299</v>
      </c>
      <c r="BK144">
        <f>15.4887218</f>
        <v>15.4887218</v>
      </c>
      <c r="BL144">
        <f>18.44512195</f>
        <v>18.445121950000001</v>
      </c>
      <c r="BM144">
        <f>19.07894737</f>
        <v>19.078947370000002</v>
      </c>
      <c r="BN144">
        <f>20.7641196</f>
        <v>20.764119600000001</v>
      </c>
      <c r="BO144">
        <f>15.89958159</f>
        <v>15.89958159</v>
      </c>
      <c r="BP144">
        <f>15.6284153</f>
        <v>15.6284153</v>
      </c>
      <c r="BQ144">
        <f>15.54332875</f>
        <v>15.543328750000001</v>
      </c>
      <c r="BR144">
        <f>16.09195402</f>
        <v>16.091954019999999</v>
      </c>
      <c r="BS144">
        <f>18.6259542</f>
        <v>18.625954199999999</v>
      </c>
      <c r="BT144">
        <f>13.95348837</f>
        <v>13.953488370000001</v>
      </c>
      <c r="BU144">
        <f>13.3915575</f>
        <v>13.391557499999999</v>
      </c>
      <c r="BV144">
        <f>15.45064378</f>
        <v>15.45064378</v>
      </c>
      <c r="BW144">
        <f>22.26086957</f>
        <v>22.260869570000001</v>
      </c>
      <c r="BX144">
        <f>16.58097686</f>
        <v>16.58097686</v>
      </c>
      <c r="BY144">
        <f>11.98630137</f>
        <v>11.98630137</v>
      </c>
      <c r="BZ144">
        <f>19.6369637</f>
        <v>19.636963699999999</v>
      </c>
      <c r="CA144">
        <f>12.23140496</f>
        <v>12.231404960000001</v>
      </c>
      <c r="CB144">
        <f>17.63959391</f>
        <v>17.639593909999999</v>
      </c>
      <c r="CC144">
        <f>17.3553719</f>
        <v>17.355371900000002</v>
      </c>
      <c r="CD144">
        <f>17.46248295</f>
        <v>17.462482949999998</v>
      </c>
      <c r="CE144">
        <f>12.95336788</f>
        <v>12.95336788</v>
      </c>
      <c r="CF144">
        <f>15.89085072</f>
        <v>15.89085072</v>
      </c>
      <c r="CG144">
        <f>17.10296684</f>
        <v>17.102966840000001</v>
      </c>
    </row>
    <row r="145" spans="1:85" x14ac:dyDescent="0.25">
      <c r="A145" t="str">
        <f>"        International"</f>
        <v xml:space="preserve">        International</v>
      </c>
      <c r="B145" t="str">
        <f>"NAV US Equity"</f>
        <v>NAV US Equity</v>
      </c>
      <c r="E145" t="str">
        <f>"Expression"</f>
        <v>Expression</v>
      </c>
      <c r="F145">
        <f ca="1">IF(AND($B$294=1,LEN($F$268) * LEN($F$264)&gt;0),$F$268/$F$264*100,HLOOKUP(INDIRECT(ADDRESS(2,COLUMN())),OFFSET($AT$2,0,0,ROW()-1,40),ROW()-1,FALSE))</f>
        <v>22.776280320000001</v>
      </c>
      <c r="G145">
        <f ca="1">IF(AND($B$294=1,LEN($G$268) * LEN($G$264)&gt;0),$G$268/$G$264*100,HLOOKUP(INDIRECT(ADDRESS(2,COLUMN())),OFFSET($AT$2,0,0,ROW()-1,40),ROW()-1,FALSE))</f>
        <v>16.71309192</v>
      </c>
      <c r="H145">
        <f ca="1">IF(AND($B$294=1,LEN($H$268) * LEN($H$264)&gt;0),$H$268/$H$264*100,HLOOKUP(INDIRECT(ADDRESS(2,COLUMN())),OFFSET($AT$2,0,0,ROW()-1,40),ROW()-1,FALSE))</f>
        <v>22.41594022</v>
      </c>
      <c r="I145">
        <f ca="1">IF(AND($B$294=1,LEN($I$268) * LEN($I$264)&gt;0),$I$268/$I$264*100,HLOOKUP(INDIRECT(ADDRESS(2,COLUMN())),OFFSET($AT$2,0,0,ROW()-1,40),ROW()-1,FALSE))</f>
        <v>16.71511628</v>
      </c>
      <c r="J145">
        <f ca="1">IF(AND($B$294=1,LEN($J$268) * LEN($J$264)&gt;0),$J$268/$J$264*100,HLOOKUP(INDIRECT(ADDRESS(2,COLUMN())),OFFSET($AT$2,0,0,ROW()-1,40),ROW()-1,FALSE))</f>
        <v>15.70469799</v>
      </c>
      <c r="K145">
        <f ca="1">IF(AND($B$294=1,LEN($K$268) * LEN($K$264)&gt;0),$K$268/$K$264*100,HLOOKUP(INDIRECT(ADDRESS(2,COLUMN())),OFFSET($AT$2,0,0,ROW()-1,40),ROW()-1,FALSE))</f>
        <v>16.873065019999999</v>
      </c>
      <c r="L145">
        <f ca="1">IF(AND($B$294=1,LEN($L$268) * LEN($L$264)&gt;0),$L$268/$L$264*100,HLOOKUP(INDIRECT(ADDRESS(2,COLUMN())),OFFSET($AT$2,0,0,ROW()-1,40),ROW()-1,FALSE))</f>
        <v>17.519379839999999</v>
      </c>
      <c r="M145">
        <f ca="1">IF(AND($B$294=1,LEN($M$268) * LEN($M$264)&gt;0),$M$268/$M$264*100,HLOOKUP(INDIRECT(ADDRESS(2,COLUMN())),OFFSET($AT$2,0,0,ROW()-1,40),ROW()-1,FALSE))</f>
        <v>16.010854819999999</v>
      </c>
      <c r="N145">
        <f ca="1">IF(AND($B$294=1,LEN($N$268) * LEN($N$264)&gt;0),$N$268/$N$264*100,HLOOKUP(INDIRECT(ADDRESS(2,COLUMN())),OFFSET($AT$2,0,0,ROW()-1,40),ROW()-1,FALSE))</f>
        <v>23.401162790000001</v>
      </c>
      <c r="O145">
        <f ca="1">IF(AND($B$294=1,LEN($O$268) * LEN($O$264)&gt;0),$O$268/$O$264*100,HLOOKUP(INDIRECT(ADDRESS(2,COLUMN())),OFFSET($AT$2,0,0,ROW()-1,40),ROW()-1,FALSE))</f>
        <v>23.994452150000001</v>
      </c>
      <c r="P145">
        <f ca="1">IF(AND($B$294=1,LEN($P$268) * LEN($P$264)&gt;0),$P$268/$P$264*100,HLOOKUP(INDIRECT(ADDRESS(2,COLUMN())),OFFSET($AT$2,0,0,ROW()-1,40),ROW()-1,FALSE))</f>
        <v>13.85729059</v>
      </c>
      <c r="Q145">
        <f ca="1">IF(AND($B$294=1,LEN($Q$268) * LEN($Q$264)&gt;0),$Q$268/$Q$264*100,HLOOKUP(INDIRECT(ADDRESS(2,COLUMN())),OFFSET($AT$2,0,0,ROW()-1,40),ROW()-1,FALSE))</f>
        <v>10.28645833</v>
      </c>
      <c r="R145">
        <f ca="1">IF(AND($B$294=1,LEN($R$268) * LEN($R$264)&gt;0),$R$268/$R$264*100,HLOOKUP(INDIRECT(ADDRESS(2,COLUMN())),OFFSET($AT$2,0,0,ROW()-1,40),ROW()-1,FALSE))</f>
        <v>21.802325580000002</v>
      </c>
      <c r="S145">
        <f ca="1">IF(AND($B$294=1,LEN($S$268) * LEN($S$264)&gt;0),$S$268/$S$264*100,HLOOKUP(INDIRECT(ADDRESS(2,COLUMN())),OFFSET($AT$2,0,0,ROW()-1,40),ROW()-1,FALSE))</f>
        <v>24.59425718</v>
      </c>
      <c r="T145">
        <f ca="1">IF(AND($B$294=1,LEN($T$268) * LEN($T$264)&gt;0),$T$268/$T$264*100,HLOOKUP(INDIRECT(ADDRESS(2,COLUMN())),OFFSET($AT$2,0,0,ROW()-1,40),ROW()-1,FALSE))</f>
        <v>17.386363639999999</v>
      </c>
      <c r="U145">
        <f ca="1">IF(AND($B$294=1,LEN($U$268) * LEN($U$264)&gt;0),$U$268/$U$264*100,HLOOKUP(INDIRECT(ADDRESS(2,COLUMN())),OFFSET($AT$2,0,0,ROW()-1,40),ROW()-1,FALSE))</f>
        <v>22.358722360000002</v>
      </c>
      <c r="V145">
        <f ca="1">IF(AND($B$294=1,LEN($V$268) * LEN($V$264)&gt;0),$V$268/$V$264*100,HLOOKUP(INDIRECT(ADDRESS(2,COLUMN())),OFFSET($AT$2,0,0,ROW()-1,40),ROW()-1,FALSE))</f>
        <v>17.74011299</v>
      </c>
      <c r="W145">
        <f ca="1">IF(AND($B$294=1,LEN($W$268) * LEN($W$264)&gt;0),$W$268/$W$264*100,HLOOKUP(INDIRECT(ADDRESS(2,COLUMN())),OFFSET($AT$2,0,0,ROW()-1,40),ROW()-1,FALSE))</f>
        <v>15.4887218</v>
      </c>
      <c r="X145">
        <f ca="1">IF(AND($B$294=1,LEN($X$268) * LEN($X$264)&gt;0),$X$268/$X$264*100,HLOOKUP(INDIRECT(ADDRESS(2,COLUMN())),OFFSET($AT$2,0,0,ROW()-1,40),ROW()-1,FALSE))</f>
        <v>18.445121950000001</v>
      </c>
      <c r="Y145">
        <f ca="1">IF(AND($B$294=1,LEN($Y$268) * LEN($Y$264)&gt;0),$Y$268/$Y$264*100,HLOOKUP(INDIRECT(ADDRESS(2,COLUMN())),OFFSET($AT$2,0,0,ROW()-1,40),ROW()-1,FALSE))</f>
        <v>19.078947370000002</v>
      </c>
      <c r="Z145">
        <f ca="1">IF(AND($B$294=1,LEN($Z$268) * LEN($Z$264)&gt;0),$Z$268/$Z$264*100,HLOOKUP(INDIRECT(ADDRESS(2,COLUMN())),OFFSET($AT$2,0,0,ROW()-1,40),ROW()-1,FALSE))</f>
        <v>20.764119600000001</v>
      </c>
      <c r="AA145">
        <f ca="1">IF(AND($B$294=1,LEN($AA$268) * LEN($AA$264)&gt;0),$AA$268/$AA$264*100,HLOOKUP(INDIRECT(ADDRESS(2,COLUMN())),OFFSET($AT$2,0,0,ROW()-1,40),ROW()-1,FALSE))</f>
        <v>15.89958159</v>
      </c>
      <c r="AB145">
        <f ca="1">IF(AND($B$294=1,LEN($AB$268) * LEN($AB$264)&gt;0),$AB$268/$AB$264*100,HLOOKUP(INDIRECT(ADDRESS(2,COLUMN())),OFFSET($AT$2,0,0,ROW()-1,40),ROW()-1,FALSE))</f>
        <v>15.6284153</v>
      </c>
      <c r="AC145">
        <f ca="1">IF(AND($B$294=1,LEN($AC$268) * LEN($AC$264)&gt;0),$AC$268/$AC$264*100,HLOOKUP(INDIRECT(ADDRESS(2,COLUMN())),OFFSET($AT$2,0,0,ROW()-1,40),ROW()-1,FALSE))</f>
        <v>15.543328750000001</v>
      </c>
      <c r="AD145">
        <f ca="1">IF(AND($B$294=1,LEN($AD$268) * LEN($AD$264)&gt;0),$AD$268/$AD$264*100,HLOOKUP(INDIRECT(ADDRESS(2,COLUMN())),OFFSET($AT$2,0,0,ROW()-1,40),ROW()-1,FALSE))</f>
        <v>16.091954019999999</v>
      </c>
      <c r="AE145">
        <f ca="1">IF(AND($B$294=1,LEN($AE$268) * LEN($AE$264)&gt;0),$AE$268/$AE$264*100,HLOOKUP(INDIRECT(ADDRESS(2,COLUMN())),OFFSET($AT$2,0,0,ROW()-1,40),ROW()-1,FALSE))</f>
        <v>18.625954199999999</v>
      </c>
      <c r="AF145">
        <f ca="1">IF(AND($B$294=1,LEN($AF$268) * LEN($AF$264)&gt;0),$AF$268/$AF$264*100,HLOOKUP(INDIRECT(ADDRESS(2,COLUMN())),OFFSET($AT$2,0,0,ROW()-1,40),ROW()-1,FALSE))</f>
        <v>13.953488370000001</v>
      </c>
      <c r="AG145">
        <f ca="1">IF(AND($B$294=1,LEN($AG$268) * LEN($AG$264)&gt;0),$AG$268/$AG$264*100,HLOOKUP(INDIRECT(ADDRESS(2,COLUMN())),OFFSET($AT$2,0,0,ROW()-1,40),ROW()-1,FALSE))</f>
        <v>13.391557499999999</v>
      </c>
      <c r="AH145">
        <f ca="1">IF(AND($B$294=1,LEN($AH$268) * LEN($AH$264)&gt;0),$AH$268/$AH$264*100,HLOOKUP(INDIRECT(ADDRESS(2,COLUMN())),OFFSET($AT$2,0,0,ROW()-1,40),ROW()-1,FALSE))</f>
        <v>15.45064378</v>
      </c>
      <c r="AI145">
        <f ca="1">IF(AND($B$294=1,LEN($AI$268) * LEN($AI$264)&gt;0),$AI$268/$AI$264*100,HLOOKUP(INDIRECT(ADDRESS(2,COLUMN())),OFFSET($AT$2,0,0,ROW()-1,40),ROW()-1,FALSE))</f>
        <v>22.260869570000001</v>
      </c>
      <c r="AJ145">
        <f ca="1">IF(AND($B$294=1,LEN($AJ$268) * LEN($AJ$264)&gt;0),$AJ$268/$AJ$264*100,HLOOKUP(INDIRECT(ADDRESS(2,COLUMN())),OFFSET($AT$2,0,0,ROW()-1,40),ROW()-1,FALSE))</f>
        <v>16.58097686</v>
      </c>
      <c r="AK145">
        <f ca="1">IF(AND($B$294=1,LEN($AK$268) * LEN($AK$264)&gt;0),$AK$268/$AK$264*100,HLOOKUP(INDIRECT(ADDRESS(2,COLUMN())),OFFSET($AT$2,0,0,ROW()-1,40),ROW()-1,FALSE))</f>
        <v>11.98630137</v>
      </c>
      <c r="AL145">
        <f ca="1">IF(AND($B$294=1,LEN($AL$268) * LEN($AL$264)&gt;0),$AL$268/$AL$264*100,HLOOKUP(INDIRECT(ADDRESS(2,COLUMN())),OFFSET($AT$2,0,0,ROW()-1,40),ROW()-1,FALSE))</f>
        <v>19.636963699999999</v>
      </c>
      <c r="AM145">
        <f ca="1">IF(AND($B$294=1,LEN($AM$268) * LEN($AM$264)&gt;0),$AM$268/$AM$264*100,HLOOKUP(INDIRECT(ADDRESS(2,COLUMN())),OFFSET($AT$2,0,0,ROW()-1,40),ROW()-1,FALSE))</f>
        <v>12.231404960000001</v>
      </c>
      <c r="AN145">
        <f ca="1">IF(AND($B$294=1,LEN($AN$268) * LEN($AN$264)&gt;0),$AN$268/$AN$264*100,HLOOKUP(INDIRECT(ADDRESS(2,COLUMN())),OFFSET($AT$2,0,0,ROW()-1,40),ROW()-1,FALSE))</f>
        <v>17.639593909999999</v>
      </c>
      <c r="AO145">
        <f ca="1">IF(AND($B$294=1,LEN($AO$268) * LEN($AO$264)&gt;0),$AO$268/$AO$264*100,HLOOKUP(INDIRECT(ADDRESS(2,COLUMN())),OFFSET($AT$2,0,0,ROW()-1,40),ROW()-1,FALSE))</f>
        <v>17.355371900000002</v>
      </c>
      <c r="AP145">
        <f ca="1">IF(AND($B$294=1,LEN($AP$268) * LEN($AP$264)&gt;0),$AP$268/$AP$264*100,HLOOKUP(INDIRECT(ADDRESS(2,COLUMN())),OFFSET($AT$2,0,0,ROW()-1,40),ROW()-1,FALSE))</f>
        <v>17.462482949999998</v>
      </c>
      <c r="AQ145">
        <f ca="1">IF(AND($B$294=1,LEN($AQ$268) * LEN($AQ$264)&gt;0),$AQ$268/$AQ$264*100,HLOOKUP(INDIRECT(ADDRESS(2,COLUMN())),OFFSET($AT$2,0,0,ROW()-1,40),ROW()-1,FALSE))</f>
        <v>12.95336788</v>
      </c>
      <c r="AR145">
        <f ca="1">IF(AND($B$294=1,LEN($AR$268) * LEN($AR$264)&gt;0),$AR$268/$AR$264*100,HLOOKUP(INDIRECT(ADDRESS(2,COLUMN())),OFFSET($AT$2,0,0,ROW()-1,40),ROW()-1,FALSE))</f>
        <v>15.89085072</v>
      </c>
      <c r="AS145">
        <f ca="1">IF(AND($B$294=1,LEN($AS$268) * LEN($AS$264)&gt;0),$AS$268/$AS$264*100,HLOOKUP(INDIRECT(ADDRESS(2,COLUMN())),OFFSET($AT$2,0,0,ROW()-1,40),ROW()-1,FALSE))</f>
        <v>17.102966840000001</v>
      </c>
      <c r="AT145">
        <f>22.77628032</f>
        <v>22.776280320000001</v>
      </c>
      <c r="AU145">
        <f>16.71309192</f>
        <v>16.71309192</v>
      </c>
      <c r="AV145">
        <f>22.41594022</f>
        <v>22.41594022</v>
      </c>
      <c r="AW145">
        <f>16.71511628</f>
        <v>16.71511628</v>
      </c>
      <c r="AX145">
        <f>15.70469799</f>
        <v>15.70469799</v>
      </c>
      <c r="AY145">
        <f>16.87306502</f>
        <v>16.873065019999999</v>
      </c>
      <c r="AZ145">
        <f>17.51937984</f>
        <v>17.519379839999999</v>
      </c>
      <c r="BA145">
        <f>16.01085482</f>
        <v>16.010854819999999</v>
      </c>
      <c r="BB145">
        <f>23.40116279</f>
        <v>23.401162790000001</v>
      </c>
      <c r="BC145">
        <f>23.99445215</f>
        <v>23.994452150000001</v>
      </c>
      <c r="BD145">
        <f>13.85729059</f>
        <v>13.85729059</v>
      </c>
      <c r="BE145">
        <f>10.28645833</f>
        <v>10.28645833</v>
      </c>
      <c r="BF145">
        <f>21.80232558</f>
        <v>21.802325580000002</v>
      </c>
      <c r="BG145">
        <f>24.59425718</f>
        <v>24.59425718</v>
      </c>
      <c r="BH145">
        <f>17.38636364</f>
        <v>17.386363639999999</v>
      </c>
      <c r="BI145">
        <f>22.35872236</f>
        <v>22.358722360000002</v>
      </c>
      <c r="BJ145">
        <f>17.74011299</f>
        <v>17.74011299</v>
      </c>
      <c r="BK145">
        <f>15.4887218</f>
        <v>15.4887218</v>
      </c>
      <c r="BL145">
        <f>18.44512195</f>
        <v>18.445121950000001</v>
      </c>
      <c r="BM145">
        <f>19.07894737</f>
        <v>19.078947370000002</v>
      </c>
      <c r="BN145">
        <f>20.7641196</f>
        <v>20.764119600000001</v>
      </c>
      <c r="BO145">
        <f>15.89958159</f>
        <v>15.89958159</v>
      </c>
      <c r="BP145">
        <f>15.6284153</f>
        <v>15.6284153</v>
      </c>
      <c r="BQ145">
        <f>15.54332875</f>
        <v>15.543328750000001</v>
      </c>
      <c r="BR145">
        <f>16.09195402</f>
        <v>16.091954019999999</v>
      </c>
      <c r="BS145">
        <f>18.6259542</f>
        <v>18.625954199999999</v>
      </c>
      <c r="BT145">
        <f>13.95348837</f>
        <v>13.953488370000001</v>
      </c>
      <c r="BU145">
        <f>13.3915575</f>
        <v>13.391557499999999</v>
      </c>
      <c r="BV145">
        <f>15.45064378</f>
        <v>15.45064378</v>
      </c>
      <c r="BW145">
        <f>22.26086957</f>
        <v>22.260869570000001</v>
      </c>
      <c r="BX145">
        <f>16.58097686</f>
        <v>16.58097686</v>
      </c>
      <c r="BY145">
        <f>11.98630137</f>
        <v>11.98630137</v>
      </c>
      <c r="BZ145">
        <f>19.6369637</f>
        <v>19.636963699999999</v>
      </c>
      <c r="CA145">
        <f>12.23140496</f>
        <v>12.231404960000001</v>
      </c>
      <c r="CB145">
        <f>17.63959391</f>
        <v>17.639593909999999</v>
      </c>
      <c r="CC145">
        <f>17.3553719</f>
        <v>17.355371900000002</v>
      </c>
      <c r="CD145">
        <f>17.46248295</f>
        <v>17.462482949999998</v>
      </c>
      <c r="CE145">
        <f>12.95336788</f>
        <v>12.95336788</v>
      </c>
      <c r="CF145">
        <f>15.89085072</f>
        <v>15.89085072</v>
      </c>
      <c r="CG145">
        <f>17.10296684</f>
        <v>17.102966840000001</v>
      </c>
    </row>
    <row r="146" spans="1:85" x14ac:dyDescent="0.25">
      <c r="A146" t="str">
        <f>"    Isuzu"</f>
        <v xml:space="preserve">    Isuzu</v>
      </c>
      <c r="B146" t="str">
        <f>"7202 JP Equity"</f>
        <v>7202 JP Equity</v>
      </c>
      <c r="E146" t="str">
        <f>"Expression"</f>
        <v>Expression</v>
      </c>
      <c r="F146" t="str">
        <f ca="1">IF(AND($B$294=1,LEN($F$269) * LEN($F$264)&gt;0),$F$269/$F$264*100,HLOOKUP(INDIRECT(ADDRESS(2,COLUMN())),OFFSET($AT$2,0,0,ROW()-1,40),ROW()-1,FALSE))</f>
        <v/>
      </c>
      <c r="G146">
        <f ca="1">IF(AND($B$294=1,LEN($G$269) * LEN($G$264)&gt;0),$G$269/$G$264*100,HLOOKUP(INDIRECT(ADDRESS(2,COLUMN())),OFFSET($AT$2,0,0,ROW()-1,40),ROW()-1,FALSE))</f>
        <v>0</v>
      </c>
      <c r="H146">
        <f ca="1">IF(AND($B$294=1,LEN($H$269) * LEN($H$264)&gt;0),$H$269/$H$264*100,HLOOKUP(INDIRECT(ADDRESS(2,COLUMN())),OFFSET($AT$2,0,0,ROW()-1,40),ROW()-1,FALSE))</f>
        <v>0</v>
      </c>
      <c r="I146">
        <f ca="1">IF(AND($B$294=1,LEN($I$269) * LEN($I$264)&gt;0),$I$269/$I$264*100,HLOOKUP(INDIRECT(ADDRESS(2,COLUMN())),OFFSET($AT$2,0,0,ROW()-1,40),ROW()-1,FALSE))</f>
        <v>0</v>
      </c>
      <c r="J146">
        <f ca="1">IF(AND($B$294=1,LEN($J$269) * LEN($J$264)&gt;0),$J$269/$J$264*100,HLOOKUP(INDIRECT(ADDRESS(2,COLUMN())),OFFSET($AT$2,0,0,ROW()-1,40),ROW()-1,FALSE))</f>
        <v>0</v>
      </c>
      <c r="K146">
        <f ca="1">IF(AND($B$294=1,LEN($K$269) * LEN($K$264)&gt;0),$K$269/$K$264*100,HLOOKUP(INDIRECT(ADDRESS(2,COLUMN())),OFFSET($AT$2,0,0,ROW()-1,40),ROW()-1,FALSE))</f>
        <v>0</v>
      </c>
      <c r="L146">
        <f ca="1">IF(AND($B$294=1,LEN($L$269) * LEN($L$264)&gt;0),$L$269/$L$264*100,HLOOKUP(INDIRECT(ADDRESS(2,COLUMN())),OFFSET($AT$2,0,0,ROW()-1,40),ROW()-1,FALSE))</f>
        <v>0</v>
      </c>
      <c r="M146">
        <f ca="1">IF(AND($B$294=1,LEN($M$269) * LEN($M$264)&gt;0),$M$269/$M$264*100,HLOOKUP(INDIRECT(ADDRESS(2,COLUMN())),OFFSET($AT$2,0,0,ROW()-1,40),ROW()-1,FALSE))</f>
        <v>0</v>
      </c>
      <c r="N146">
        <f ca="1">IF(AND($B$294=1,LEN($N$269) * LEN($N$264)&gt;0),$N$269/$N$264*100,HLOOKUP(INDIRECT(ADDRESS(2,COLUMN())),OFFSET($AT$2,0,0,ROW()-1,40),ROW()-1,FALSE))</f>
        <v>0</v>
      </c>
      <c r="O146">
        <f ca="1">IF(AND($B$294=1,LEN($O$269) * LEN($O$264)&gt;0),$O$269/$O$264*100,HLOOKUP(INDIRECT(ADDRESS(2,COLUMN())),OFFSET($AT$2,0,0,ROW()-1,40),ROW()-1,FALSE))</f>
        <v>0</v>
      </c>
      <c r="P146">
        <f ca="1">IF(AND($B$294=1,LEN($P$269) * LEN($P$264)&gt;0),$P$269/$P$264*100,HLOOKUP(INDIRECT(ADDRESS(2,COLUMN())),OFFSET($AT$2,0,0,ROW()-1,40),ROW()-1,FALSE))</f>
        <v>4.3433298860000003</v>
      </c>
      <c r="Q146">
        <f ca="1">IF(AND($B$294=1,LEN($Q$269) * LEN($Q$264)&gt;0),$Q$269/$Q$264*100,HLOOKUP(INDIRECT(ADDRESS(2,COLUMN())),OFFSET($AT$2,0,0,ROW()-1,40),ROW()-1,FALSE))</f>
        <v>4.6875</v>
      </c>
      <c r="R146">
        <f ca="1">IF(AND($B$294=1,LEN($R$269) * LEN($R$264)&gt;0),$R$269/$R$264*100,HLOOKUP(INDIRECT(ADDRESS(2,COLUMN())),OFFSET($AT$2,0,0,ROW()-1,40),ROW()-1,FALSE))</f>
        <v>2.7616279069999998</v>
      </c>
      <c r="S146">
        <f ca="1">IF(AND($B$294=1,LEN($S$269) * LEN($S$264)&gt;0),$S$269/$S$264*100,HLOOKUP(INDIRECT(ADDRESS(2,COLUMN())),OFFSET($AT$2,0,0,ROW()-1,40),ROW()-1,FALSE))</f>
        <v>3.9950062420000001</v>
      </c>
      <c r="T146">
        <f ca="1">IF(AND($B$294=1,LEN($T$269) * LEN($T$264)&gt;0),$T$269/$T$264*100,HLOOKUP(INDIRECT(ADDRESS(2,COLUMN())),OFFSET($AT$2,0,0,ROW()-1,40),ROW()-1,FALSE))</f>
        <v>4.3181818180000002</v>
      </c>
      <c r="U146">
        <f ca="1">IF(AND($B$294=1,LEN($U$269) * LEN($U$264)&gt;0),$U$269/$U$264*100,HLOOKUP(INDIRECT(ADDRESS(2,COLUMN())),OFFSET($AT$2,0,0,ROW()-1,40),ROW()-1,FALSE))</f>
        <v>3.8083538080000001</v>
      </c>
      <c r="V146">
        <f ca="1">IF(AND($B$294=1,LEN($V$269) * LEN($V$264)&gt;0),$V$269/$V$264*100,HLOOKUP(INDIRECT(ADDRESS(2,COLUMN())),OFFSET($AT$2,0,0,ROW()-1,40),ROW()-1,FALSE))</f>
        <v>2.937853107</v>
      </c>
      <c r="W146">
        <f ca="1">IF(AND($B$294=1,LEN($W$269) * LEN($W$264)&gt;0),$W$269/$W$264*100,HLOOKUP(INDIRECT(ADDRESS(2,COLUMN())),OFFSET($AT$2,0,0,ROW()-1,40),ROW()-1,FALSE))</f>
        <v>4.661654135</v>
      </c>
      <c r="X146">
        <f ca="1">IF(AND($B$294=1,LEN($X$269) * LEN($X$264)&gt;0),$X$269/$X$264*100,HLOOKUP(INDIRECT(ADDRESS(2,COLUMN())),OFFSET($AT$2,0,0,ROW()-1,40),ROW()-1,FALSE))</f>
        <v>5.0304878049999999</v>
      </c>
      <c r="Y146">
        <f ca="1">IF(AND($B$294=1,LEN($Y$269) * LEN($Y$264)&gt;0),$Y$269/$Y$264*100,HLOOKUP(INDIRECT(ADDRESS(2,COLUMN())),OFFSET($AT$2,0,0,ROW()-1,40),ROW()-1,FALSE))</f>
        <v>2.763157895</v>
      </c>
      <c r="Z146">
        <f ca="1">IF(AND($B$294=1,LEN($Z$269) * LEN($Z$264)&gt;0),$Z$269/$Z$264*100,HLOOKUP(INDIRECT(ADDRESS(2,COLUMN())),OFFSET($AT$2,0,0,ROW()-1,40),ROW()-1,FALSE))</f>
        <v>4.651162791</v>
      </c>
      <c r="AA146">
        <f ca="1">IF(AND($B$294=1,LEN($AA$269) * LEN($AA$264)&gt;0),$AA$269/$AA$264*100,HLOOKUP(INDIRECT(ADDRESS(2,COLUMN())),OFFSET($AT$2,0,0,ROW()-1,40),ROW()-1,FALSE))</f>
        <v>4.8117154810000002</v>
      </c>
      <c r="AB146">
        <f ca="1">IF(AND($B$294=1,LEN($AB$269) * LEN($AB$264)&gt;0),$AB$269/$AB$264*100,HLOOKUP(INDIRECT(ADDRESS(2,COLUMN())),OFFSET($AT$2,0,0,ROW()-1,40),ROW()-1,FALSE))</f>
        <v>10.273224040000001</v>
      </c>
      <c r="AC146">
        <f ca="1">IF(AND($B$294=1,LEN($AC$269) * LEN($AC$264)&gt;0),$AC$269/$AC$264*100,HLOOKUP(INDIRECT(ADDRESS(2,COLUMN())),OFFSET($AT$2,0,0,ROW()-1,40),ROW()-1,FALSE))</f>
        <v>10.31636864</v>
      </c>
      <c r="AD146">
        <f ca="1">IF(AND($B$294=1,LEN($AD$269) * LEN($AD$264)&gt;0),$AD$269/$AD$264*100,HLOOKUP(INDIRECT(ADDRESS(2,COLUMN())),OFFSET($AT$2,0,0,ROW()-1,40),ROW()-1,FALSE))</f>
        <v>10.05747126</v>
      </c>
      <c r="AE146">
        <f ca="1">IF(AND($B$294=1,LEN($AE$269) * LEN($AE$264)&gt;0),$AE$269/$AE$264*100,HLOOKUP(INDIRECT(ADDRESS(2,COLUMN())),OFFSET($AT$2,0,0,ROW()-1,40),ROW()-1,FALSE))</f>
        <v>10.07633588</v>
      </c>
      <c r="AF146">
        <f ca="1">IF(AND($B$294=1,LEN($AF$269) * LEN($AF$264)&gt;0),$AF$269/$AF$264*100,HLOOKUP(INDIRECT(ADDRESS(2,COLUMN())),OFFSET($AT$2,0,0,ROW()-1,40),ROW()-1,FALSE))</f>
        <v>10.23255814</v>
      </c>
      <c r="AG146">
        <f ca="1">IF(AND($B$294=1,LEN($AG$269) * LEN($AG$264)&gt;0),$AG$269/$AG$264*100,HLOOKUP(INDIRECT(ADDRESS(2,COLUMN())),OFFSET($AT$2,0,0,ROW()-1,40),ROW()-1,FALSE))</f>
        <v>9.6069869000000008</v>
      </c>
      <c r="AH146">
        <f ca="1">IF(AND($B$294=1,LEN($AH$269) * LEN($AH$264)&gt;0),$AH$269/$AH$264*100,HLOOKUP(INDIRECT(ADDRESS(2,COLUMN())),OFFSET($AT$2,0,0,ROW()-1,40),ROW()-1,FALSE))</f>
        <v>9.0128755359999992</v>
      </c>
      <c r="AI146">
        <f ca="1">IF(AND($B$294=1,LEN($AI$269) * LEN($AI$264)&gt;0),$AI$269/$AI$264*100,HLOOKUP(INDIRECT(ADDRESS(2,COLUMN())),OFFSET($AT$2,0,0,ROW()-1,40),ROW()-1,FALSE))</f>
        <v>10.260869570000001</v>
      </c>
      <c r="AJ146">
        <f ca="1">IF(AND($B$294=1,LEN($AJ$269) * LEN($AJ$264)&gt;0),$AJ$269/$AJ$264*100,HLOOKUP(INDIRECT(ADDRESS(2,COLUMN())),OFFSET($AT$2,0,0,ROW()-1,40),ROW()-1,FALSE))</f>
        <v>7.1979434449999999</v>
      </c>
      <c r="AK146">
        <f ca="1">IF(AND($B$294=1,LEN($AK$269) * LEN($AK$264)&gt;0),$AK$269/$AK$264*100,HLOOKUP(INDIRECT(ADDRESS(2,COLUMN())),OFFSET($AT$2,0,0,ROW()-1,40),ROW()-1,FALSE))</f>
        <v>12.5</v>
      </c>
      <c r="AL146">
        <f ca="1">IF(AND($B$294=1,LEN($AL$269) * LEN($AL$264)&gt;0),$AL$269/$AL$264*100,HLOOKUP(INDIRECT(ADDRESS(2,COLUMN())),OFFSET($AT$2,0,0,ROW()-1,40),ROW()-1,FALSE))</f>
        <v>11.22112211</v>
      </c>
      <c r="AM146">
        <f ca="1">IF(AND($B$294=1,LEN($AM$269) * LEN($AM$264)&gt;0),$AM$269/$AM$264*100,HLOOKUP(INDIRECT(ADDRESS(2,COLUMN())),OFFSET($AT$2,0,0,ROW()-1,40),ROW()-1,FALSE))</f>
        <v>12.066115699999999</v>
      </c>
      <c r="AN146">
        <f ca="1">IF(AND($B$294=1,LEN($AN$269) * LEN($AN$264)&gt;0),$AN$269/$AN$264*100,HLOOKUP(INDIRECT(ADDRESS(2,COLUMN())),OFFSET($AT$2,0,0,ROW()-1,40),ROW()-1,FALSE))</f>
        <v>12.690355329999999</v>
      </c>
      <c r="AO146">
        <f ca="1">IF(AND($B$294=1,LEN($AO$269) * LEN($AO$264)&gt;0),$AO$269/$AO$264*100,HLOOKUP(INDIRECT(ADDRESS(2,COLUMN())),OFFSET($AT$2,0,0,ROW()-1,40),ROW()-1,FALSE))</f>
        <v>12.53443526</v>
      </c>
      <c r="AP146">
        <f ca="1">IF(AND($B$294=1,LEN($AP$269) * LEN($AP$264)&gt;0),$AP$269/$AP$264*100,HLOOKUP(INDIRECT(ADDRESS(2,COLUMN())),OFFSET($AT$2,0,0,ROW()-1,40),ROW()-1,FALSE))</f>
        <v>12.82401091</v>
      </c>
      <c r="AQ146">
        <f ca="1">IF(AND($B$294=1,LEN($AQ$269) * LEN($AQ$264)&gt;0),$AQ$269/$AQ$264*100,HLOOKUP(INDIRECT(ADDRESS(2,COLUMN())),OFFSET($AT$2,0,0,ROW()-1,40),ROW()-1,FALSE))</f>
        <v>4.835924007</v>
      </c>
      <c r="AR146">
        <f ca="1">IF(AND($B$294=1,LEN($AR$269) * LEN($AR$264)&gt;0),$AR$269/$AR$264*100,HLOOKUP(INDIRECT(ADDRESS(2,COLUMN())),OFFSET($AT$2,0,0,ROW()-1,40),ROW()-1,FALSE))</f>
        <v>4.3338683790000001</v>
      </c>
      <c r="AS146">
        <f ca="1">IF(AND($B$294=1,LEN($AS$269) * LEN($AS$264)&gt;0),$AS$269/$AS$264*100,HLOOKUP(INDIRECT(ADDRESS(2,COLUMN())),OFFSET($AT$2,0,0,ROW()-1,40),ROW()-1,FALSE))</f>
        <v>4.363001745</v>
      </c>
      <c r="AT146" t="str">
        <f>""</f>
        <v/>
      </c>
      <c r="AU146">
        <f>0</f>
        <v>0</v>
      </c>
      <c r="AV146">
        <f>0</f>
        <v>0</v>
      </c>
      <c r="AW146">
        <f>0</f>
        <v>0</v>
      </c>
      <c r="AX146">
        <f>0</f>
        <v>0</v>
      </c>
      <c r="AY146">
        <f>0</f>
        <v>0</v>
      </c>
      <c r="AZ146">
        <f>0</f>
        <v>0</v>
      </c>
      <c r="BA146">
        <f>0</f>
        <v>0</v>
      </c>
      <c r="BB146">
        <f>0</f>
        <v>0</v>
      </c>
      <c r="BC146">
        <f>0</f>
        <v>0</v>
      </c>
      <c r="BD146">
        <f>4.343329886</f>
        <v>4.3433298860000003</v>
      </c>
      <c r="BE146">
        <f>4.6875</f>
        <v>4.6875</v>
      </c>
      <c r="BF146">
        <f>2.761627907</f>
        <v>2.7616279069999998</v>
      </c>
      <c r="BG146">
        <f>3.995006242</f>
        <v>3.9950062420000001</v>
      </c>
      <c r="BH146">
        <f>4.318181818</f>
        <v>4.3181818180000002</v>
      </c>
      <c r="BI146">
        <f>3.808353808</f>
        <v>3.8083538080000001</v>
      </c>
      <c r="BJ146">
        <f>2.937853107</f>
        <v>2.937853107</v>
      </c>
      <c r="BK146">
        <f>4.661654135</f>
        <v>4.661654135</v>
      </c>
      <c r="BL146">
        <f>5.030487805</f>
        <v>5.0304878049999999</v>
      </c>
      <c r="BM146">
        <f>2.763157895</f>
        <v>2.763157895</v>
      </c>
      <c r="BN146">
        <f>4.651162791</f>
        <v>4.651162791</v>
      </c>
      <c r="BO146">
        <f>4.811715481</f>
        <v>4.8117154810000002</v>
      </c>
      <c r="BP146">
        <f>10.27322404</f>
        <v>10.273224040000001</v>
      </c>
      <c r="BQ146">
        <f>10.31636864</f>
        <v>10.31636864</v>
      </c>
      <c r="BR146">
        <f>10.05747126</f>
        <v>10.05747126</v>
      </c>
      <c r="BS146">
        <f>10.07633588</f>
        <v>10.07633588</v>
      </c>
      <c r="BT146">
        <f>10.23255814</f>
        <v>10.23255814</v>
      </c>
      <c r="BU146">
        <f>9.6069869</f>
        <v>9.6069869000000008</v>
      </c>
      <c r="BV146">
        <f>9.012875536</f>
        <v>9.0128755359999992</v>
      </c>
      <c r="BW146">
        <f>10.26086957</f>
        <v>10.260869570000001</v>
      </c>
      <c r="BX146">
        <f>7.197943445</f>
        <v>7.1979434449999999</v>
      </c>
      <c r="BY146">
        <f>12.5</f>
        <v>12.5</v>
      </c>
      <c r="BZ146">
        <f>11.22112211</f>
        <v>11.22112211</v>
      </c>
      <c r="CA146">
        <f>12.0661157</f>
        <v>12.066115699999999</v>
      </c>
      <c r="CB146">
        <f>12.69035533</f>
        <v>12.690355329999999</v>
      </c>
      <c r="CC146">
        <f>12.53443526</f>
        <v>12.53443526</v>
      </c>
      <c r="CD146">
        <f>12.82401091</f>
        <v>12.82401091</v>
      </c>
      <c r="CE146">
        <f>4.835924007</f>
        <v>4.835924007</v>
      </c>
      <c r="CF146">
        <f>4.333868379</f>
        <v>4.3338683790000001</v>
      </c>
      <c r="CG146">
        <f>4.363001745</f>
        <v>4.363001745</v>
      </c>
    </row>
    <row r="147" spans="1:85" x14ac:dyDescent="0.25">
      <c r="A147" t="str">
        <f>"    Hino"</f>
        <v xml:space="preserve">    Hino</v>
      </c>
      <c r="B147" t="str">
        <f>"7205 JP Equity"</f>
        <v>7205 JP Equity</v>
      </c>
      <c r="E147" t="str">
        <f>"Expression"</f>
        <v>Expression</v>
      </c>
      <c r="F147" t="str">
        <f ca="1">IF(AND($B$294=1,LEN($F$270) * LEN($F$264)&gt;0),$F$270/$F$264*100,HLOOKUP(INDIRECT(ADDRESS(2,COLUMN())),OFFSET($AT$2,0,0,ROW()-1,40),ROW()-1,FALSE))</f>
        <v/>
      </c>
      <c r="G147" t="str">
        <f ca="1">IF(AND($B$294=1,LEN($G$270) * LEN($G$264)&gt;0),$G$270/$G$264*100,HLOOKUP(INDIRECT(ADDRESS(2,COLUMN())),OFFSET($AT$2,0,0,ROW()-1,40),ROW()-1,FALSE))</f>
        <v/>
      </c>
      <c r="H147" t="str">
        <f ca="1">IF(AND($B$294=1,LEN($H$270) * LEN($H$264)&gt;0),$H$270/$H$264*100,HLOOKUP(INDIRECT(ADDRESS(2,COLUMN())),OFFSET($AT$2,0,0,ROW()-1,40),ROW()-1,FALSE))</f>
        <v/>
      </c>
      <c r="I147" t="str">
        <f ca="1">IF(AND($B$294=1,LEN($I$270) * LEN($I$264)&gt;0),$I$270/$I$264*100,HLOOKUP(INDIRECT(ADDRESS(2,COLUMN())),OFFSET($AT$2,0,0,ROW()-1,40),ROW()-1,FALSE))</f>
        <v/>
      </c>
      <c r="J147" t="str">
        <f ca="1">IF(AND($B$294=1,LEN($J$270) * LEN($J$264)&gt;0),$J$270/$J$264*100,HLOOKUP(INDIRECT(ADDRESS(2,COLUMN())),OFFSET($AT$2,0,0,ROW()-1,40),ROW()-1,FALSE))</f>
        <v/>
      </c>
      <c r="K147" t="str">
        <f ca="1">IF(AND($B$294=1,LEN($K$270) * LEN($K$264)&gt;0),$K$270/$K$264*100,HLOOKUP(INDIRECT(ADDRESS(2,COLUMN())),OFFSET($AT$2,0,0,ROW()-1,40),ROW()-1,FALSE))</f>
        <v/>
      </c>
      <c r="L147" t="str">
        <f ca="1">IF(AND($B$294=1,LEN($L$270) * LEN($L$264)&gt;0),$L$270/$L$264*100,HLOOKUP(INDIRECT(ADDRESS(2,COLUMN())),OFFSET($AT$2,0,0,ROW()-1,40),ROW()-1,FALSE))</f>
        <v/>
      </c>
      <c r="M147" t="str">
        <f ca="1">IF(AND($B$294=1,LEN($M$270) * LEN($M$264)&gt;0),$M$270/$M$264*100,HLOOKUP(INDIRECT(ADDRESS(2,COLUMN())),OFFSET($AT$2,0,0,ROW()-1,40),ROW()-1,FALSE))</f>
        <v/>
      </c>
      <c r="N147" t="str">
        <f ca="1">IF(AND($B$294=1,LEN($N$270) * LEN($N$264)&gt;0),$N$270/$N$264*100,HLOOKUP(INDIRECT(ADDRESS(2,COLUMN())),OFFSET($AT$2,0,0,ROW()-1,40),ROW()-1,FALSE))</f>
        <v/>
      </c>
      <c r="O147" t="str">
        <f ca="1">IF(AND($B$294=1,LEN($O$270) * LEN($O$264)&gt;0),$O$270/$O$264*100,HLOOKUP(INDIRECT(ADDRESS(2,COLUMN())),OFFSET($AT$2,0,0,ROW()-1,40),ROW()-1,FALSE))</f>
        <v/>
      </c>
      <c r="P147">
        <f ca="1">IF(AND($B$294=1,LEN($P$270) * LEN($P$264)&gt;0),$P$270/$P$264*100,HLOOKUP(INDIRECT(ADDRESS(2,COLUMN())),OFFSET($AT$2,0,0,ROW()-1,40),ROW()-1,FALSE))</f>
        <v>12.40951396</v>
      </c>
      <c r="Q147">
        <f ca="1">IF(AND($B$294=1,LEN($Q$270) * LEN($Q$264)&gt;0),$Q$270/$Q$264*100,HLOOKUP(INDIRECT(ADDRESS(2,COLUMN())),OFFSET($AT$2,0,0,ROW()-1,40),ROW()-1,FALSE))</f>
        <v>11.97916667</v>
      </c>
      <c r="R147">
        <f ca="1">IF(AND($B$294=1,LEN($R$270) * LEN($R$264)&gt;0),$R$270/$R$264*100,HLOOKUP(INDIRECT(ADDRESS(2,COLUMN())),OFFSET($AT$2,0,0,ROW()-1,40),ROW()-1,FALSE))</f>
        <v>11.3372093</v>
      </c>
      <c r="S147">
        <f ca="1">IF(AND($B$294=1,LEN($S$270) * LEN($S$264)&gt;0),$S$270/$S$264*100,HLOOKUP(INDIRECT(ADDRESS(2,COLUMN())),OFFSET($AT$2,0,0,ROW()-1,40),ROW()-1,FALSE))</f>
        <v>10.2372035</v>
      </c>
      <c r="T147">
        <f ca="1">IF(AND($B$294=1,LEN($T$270) * LEN($T$264)&gt;0),$T$270/$T$264*100,HLOOKUP(INDIRECT(ADDRESS(2,COLUMN())),OFFSET($AT$2,0,0,ROW()-1,40),ROW()-1,FALSE))</f>
        <v>8.2954545450000001</v>
      </c>
      <c r="U147">
        <f ca="1">IF(AND($B$294=1,LEN($U$270) * LEN($U$264)&gt;0),$U$270/$U$264*100,HLOOKUP(INDIRECT(ADDRESS(2,COLUMN())),OFFSET($AT$2,0,0,ROW()-1,40),ROW()-1,FALSE))</f>
        <v>7.4938574940000002</v>
      </c>
      <c r="V147">
        <f ca="1">IF(AND($B$294=1,LEN($V$270) * LEN($V$264)&gt;0),$V$270/$V$264*100,HLOOKUP(INDIRECT(ADDRESS(2,COLUMN())),OFFSET($AT$2,0,0,ROW()-1,40),ROW()-1,FALSE))</f>
        <v>7.2316384180000002</v>
      </c>
      <c r="W147">
        <f ca="1">IF(AND($B$294=1,LEN($W$270) * LEN($W$264)&gt;0),$W$270/$W$264*100,HLOOKUP(INDIRECT(ADDRESS(2,COLUMN())),OFFSET($AT$2,0,0,ROW()-1,40),ROW()-1,FALSE))</f>
        <v>11.42857143</v>
      </c>
      <c r="X147">
        <f ca="1">IF(AND($B$294=1,LEN($X$270) * LEN($X$264)&gt;0),$X$270/$X$264*100,HLOOKUP(INDIRECT(ADDRESS(2,COLUMN())),OFFSET($AT$2,0,0,ROW()-1,40),ROW()-1,FALSE))</f>
        <v>11.43292683</v>
      </c>
      <c r="Y147">
        <f ca="1">IF(AND($B$294=1,LEN($Y$270) * LEN($Y$264)&gt;0),$Y$270/$Y$264*100,HLOOKUP(INDIRECT(ADDRESS(2,COLUMN())),OFFSET($AT$2,0,0,ROW()-1,40),ROW()-1,FALSE))</f>
        <v>8.0263157889999999</v>
      </c>
      <c r="Z147">
        <f ca="1">IF(AND($B$294=1,LEN($Z$270) * LEN($Z$264)&gt;0),$Z$270/$Z$264*100,HLOOKUP(INDIRECT(ADDRESS(2,COLUMN())),OFFSET($AT$2,0,0,ROW()-1,40),ROW()-1,FALSE))</f>
        <v>8.8039867110000003</v>
      </c>
      <c r="AA147">
        <f ca="1">IF(AND($B$294=1,LEN($AA$270) * LEN($AA$264)&gt;0),$AA$270/$AA$264*100,HLOOKUP(INDIRECT(ADDRESS(2,COLUMN())),OFFSET($AT$2,0,0,ROW()-1,40),ROW()-1,FALSE))</f>
        <v>14.43514644</v>
      </c>
      <c r="AB147">
        <f ca="1">IF(AND($B$294=1,LEN($AB$270) * LEN($AB$264)&gt;0),$AB$270/$AB$264*100,HLOOKUP(INDIRECT(ADDRESS(2,COLUMN())),OFFSET($AT$2,0,0,ROW()-1,40),ROW()-1,FALSE))</f>
        <v>7.5409836070000003</v>
      </c>
      <c r="AC147">
        <f ca="1">IF(AND($B$294=1,LEN($AC$270) * LEN($AC$264)&gt;0),$AC$270/$AC$264*100,HLOOKUP(INDIRECT(ADDRESS(2,COLUMN())),OFFSET($AT$2,0,0,ROW()-1,40),ROW()-1,FALSE))</f>
        <v>7.5653370009999996</v>
      </c>
      <c r="AD147">
        <f ca="1">IF(AND($B$294=1,LEN($AD$270) * LEN($AD$264)&gt;0),$AD$270/$AD$264*100,HLOOKUP(INDIRECT(ADDRESS(2,COLUMN())),OFFSET($AT$2,0,0,ROW()-1,40),ROW()-1,FALSE))</f>
        <v>7.3275862070000004</v>
      </c>
      <c r="AE147">
        <f ca="1">IF(AND($B$294=1,LEN($AE$270) * LEN($AE$264)&gt;0),$AE$270/$AE$264*100,HLOOKUP(INDIRECT(ADDRESS(2,COLUMN())),OFFSET($AT$2,0,0,ROW()-1,40),ROW()-1,FALSE))</f>
        <v>7.3282442750000003</v>
      </c>
      <c r="AF147">
        <f ca="1">IF(AND($B$294=1,LEN($AF$270) * LEN($AF$264)&gt;0),$AF$270/$AF$264*100,HLOOKUP(INDIRECT(ADDRESS(2,COLUMN())),OFFSET($AT$2,0,0,ROW()-1,40),ROW()-1,FALSE))</f>
        <v>7.4418604650000004</v>
      </c>
      <c r="AG147">
        <f ca="1">IF(AND($B$294=1,LEN($AG$270) * LEN($AG$264)&gt;0),$AG$270/$AG$264*100,HLOOKUP(INDIRECT(ADDRESS(2,COLUMN())),OFFSET($AT$2,0,0,ROW()-1,40),ROW()-1,FALSE))</f>
        <v>6.9868995629999997</v>
      </c>
      <c r="AH147">
        <f ca="1">IF(AND($B$294=1,LEN($AH$270) * LEN($AH$264)&gt;0),$AH$270/$AH$264*100,HLOOKUP(INDIRECT(ADDRESS(2,COLUMN())),OFFSET($AT$2,0,0,ROW()-1,40),ROW()-1,FALSE))</f>
        <v>6.5808297570000001</v>
      </c>
      <c r="AI147">
        <f ca="1">IF(AND($B$294=1,LEN($AI$270) * LEN($AI$264)&gt;0),$AI$270/$AI$264*100,HLOOKUP(INDIRECT(ADDRESS(2,COLUMN())),OFFSET($AT$2,0,0,ROW()-1,40),ROW()-1,FALSE))</f>
        <v>7.3043478259999999</v>
      </c>
      <c r="AJ147">
        <f ca="1">IF(AND($B$294=1,LEN($AJ$270) * LEN($AJ$264)&gt;0),$AJ$270/$AJ$264*100,HLOOKUP(INDIRECT(ADDRESS(2,COLUMN())),OFFSET($AT$2,0,0,ROW()-1,40),ROW()-1,FALSE))</f>
        <v>5.1413881750000003</v>
      </c>
      <c r="AK147">
        <f ca="1">IF(AND($B$294=1,LEN($AK$270) * LEN($AK$264)&gt;0),$AK$270/$AK$264*100,HLOOKUP(INDIRECT(ADDRESS(2,COLUMN())),OFFSET($AT$2,0,0,ROW()-1,40),ROW()-1,FALSE))</f>
        <v>9.0753424660000004</v>
      </c>
      <c r="AL147">
        <f ca="1">IF(AND($B$294=1,LEN($AL$270) * LEN($AL$264)&gt;0),$AL$270/$AL$264*100,HLOOKUP(INDIRECT(ADDRESS(2,COLUMN())),OFFSET($AT$2,0,0,ROW()-1,40),ROW()-1,FALSE))</f>
        <v>8.0858085810000002</v>
      </c>
      <c r="AM147">
        <f ca="1">IF(AND($B$294=1,LEN($AM$270) * LEN($AM$264)&gt;0),$AM$270/$AM$264*100,HLOOKUP(INDIRECT(ADDRESS(2,COLUMN())),OFFSET($AT$2,0,0,ROW()-1,40),ROW()-1,FALSE))</f>
        <v>8.7603305789999997</v>
      </c>
      <c r="AN147">
        <f ca="1">IF(AND($B$294=1,LEN($AN$270) * LEN($AN$264)&gt;0),$AN$270/$AN$264*100,HLOOKUP(INDIRECT(ADDRESS(2,COLUMN())),OFFSET($AT$2,0,0,ROW()-1,40),ROW()-1,FALSE))</f>
        <v>11.040609140000001</v>
      </c>
      <c r="AO147">
        <f ca="1">IF(AND($B$294=1,LEN($AO$270) * LEN($AO$264)&gt;0),$AO$270/$AO$264*100,HLOOKUP(INDIRECT(ADDRESS(2,COLUMN())),OFFSET($AT$2,0,0,ROW()-1,40),ROW()-1,FALSE))</f>
        <v>11.157024789999999</v>
      </c>
      <c r="AP147">
        <f ca="1">IF(AND($B$294=1,LEN($AP$270) * LEN($AP$264)&gt;0),$AP$270/$AP$264*100,HLOOKUP(INDIRECT(ADDRESS(2,COLUMN())),OFFSET($AT$2,0,0,ROW()-1,40),ROW()-1,FALSE))</f>
        <v>10.777626189999999</v>
      </c>
      <c r="AQ147">
        <f ca="1">IF(AND($B$294=1,LEN($AQ$270) * LEN($AQ$264)&gt;0),$AQ$270/$AQ$264*100,HLOOKUP(INDIRECT(ADDRESS(2,COLUMN())),OFFSET($AT$2,0,0,ROW()-1,40),ROW()-1,FALSE))</f>
        <v>5.5267702940000003</v>
      </c>
      <c r="AR147">
        <f ca="1">IF(AND($B$294=1,LEN($AR$270) * LEN($AR$264)&gt;0),$AR$270/$AR$264*100,HLOOKUP(INDIRECT(ADDRESS(2,COLUMN())),OFFSET($AT$2,0,0,ROW()-1,40),ROW()-1,FALSE))</f>
        <v>3.6918138040000001</v>
      </c>
      <c r="AS147">
        <f ca="1">IF(AND($B$294=1,LEN($AS$270) * LEN($AS$264)&gt;0),$AS$270/$AS$264*100,HLOOKUP(INDIRECT(ADDRESS(2,COLUMN())),OFFSET($AT$2,0,0,ROW()-1,40),ROW()-1,FALSE))</f>
        <v>5.0610820240000001</v>
      </c>
      <c r="AT147" t="str">
        <f>""</f>
        <v/>
      </c>
      <c r="AU147" t="str">
        <f>""</f>
        <v/>
      </c>
      <c r="AV147" t="str">
        <f>""</f>
        <v/>
      </c>
      <c r="AW147" t="str">
        <f>""</f>
        <v/>
      </c>
      <c r="AX147" t="str">
        <f>""</f>
        <v/>
      </c>
      <c r="AY147" t="str">
        <f>""</f>
        <v/>
      </c>
      <c r="AZ147" t="str">
        <f>""</f>
        <v/>
      </c>
      <c r="BA147" t="str">
        <f>""</f>
        <v/>
      </c>
      <c r="BB147" t="str">
        <f>""</f>
        <v/>
      </c>
      <c r="BC147" t="str">
        <f>""</f>
        <v/>
      </c>
      <c r="BD147">
        <f>12.40951396</f>
        <v>12.40951396</v>
      </c>
      <c r="BE147">
        <f>11.97916667</f>
        <v>11.97916667</v>
      </c>
      <c r="BF147">
        <f>11.3372093</f>
        <v>11.3372093</v>
      </c>
      <c r="BG147">
        <f>10.2372035</f>
        <v>10.2372035</v>
      </c>
      <c r="BH147">
        <f>8.295454545</f>
        <v>8.2954545450000001</v>
      </c>
      <c r="BI147">
        <f>7.493857494</f>
        <v>7.4938574940000002</v>
      </c>
      <c r="BJ147">
        <f>7.231638418</f>
        <v>7.2316384180000002</v>
      </c>
      <c r="BK147">
        <f>11.42857143</f>
        <v>11.42857143</v>
      </c>
      <c r="BL147">
        <f>11.43292683</f>
        <v>11.43292683</v>
      </c>
      <c r="BM147">
        <f>8.026315789</f>
        <v>8.0263157889999999</v>
      </c>
      <c r="BN147">
        <f>8.803986711</f>
        <v>8.8039867110000003</v>
      </c>
      <c r="BO147">
        <f>14.43514644</f>
        <v>14.43514644</v>
      </c>
      <c r="BP147">
        <f>7.540983607</f>
        <v>7.5409836070000003</v>
      </c>
      <c r="BQ147">
        <f>7.565337001</f>
        <v>7.5653370009999996</v>
      </c>
      <c r="BR147">
        <f>7.327586207</f>
        <v>7.3275862070000004</v>
      </c>
      <c r="BS147">
        <f>7.328244275</f>
        <v>7.3282442750000003</v>
      </c>
      <c r="BT147">
        <f>7.441860465</f>
        <v>7.4418604650000004</v>
      </c>
      <c r="BU147">
        <f>6.986899563</f>
        <v>6.9868995629999997</v>
      </c>
      <c r="BV147">
        <f>6.580829757</f>
        <v>6.5808297570000001</v>
      </c>
      <c r="BW147">
        <f>7.304347826</f>
        <v>7.3043478259999999</v>
      </c>
      <c r="BX147">
        <f>5.141388175</f>
        <v>5.1413881750000003</v>
      </c>
      <c r="BY147">
        <f>9.075342466</f>
        <v>9.0753424660000004</v>
      </c>
      <c r="BZ147">
        <f>8.085808581</f>
        <v>8.0858085810000002</v>
      </c>
      <c r="CA147">
        <f>8.760330579</f>
        <v>8.7603305789999997</v>
      </c>
      <c r="CB147">
        <f>11.04060914</f>
        <v>11.040609140000001</v>
      </c>
      <c r="CC147">
        <f>11.15702479</f>
        <v>11.157024789999999</v>
      </c>
      <c r="CD147">
        <f>10.77762619</f>
        <v>10.777626189999999</v>
      </c>
      <c r="CE147">
        <f>5.526770294</f>
        <v>5.5267702940000003</v>
      </c>
      <c r="CF147">
        <f>3.691813804</f>
        <v>3.6918138040000001</v>
      </c>
      <c r="CG147">
        <f>5.061082024</f>
        <v>5.0610820240000001</v>
      </c>
    </row>
    <row r="148" spans="1:85" x14ac:dyDescent="0.25">
      <c r="A148" t="str">
        <f>"    Dina Camiones"</f>
        <v xml:space="preserve">    Dina Camiones</v>
      </c>
      <c r="B148" t="str">
        <f>"8128757Z MM Equity"</f>
        <v>8128757Z MM Equity</v>
      </c>
      <c r="E148" t="str">
        <f>"Expression"</f>
        <v>Expression</v>
      </c>
      <c r="F148" t="str">
        <f ca="1">IF(AND($B$294=1,LEN($F$271) * LEN($F$264)&gt;0),$F$271/$F$264*100,HLOOKUP(INDIRECT(ADDRESS(2,COLUMN())),OFFSET($AT$2,0,0,ROW()-1,40),ROW()-1,FALSE))</f>
        <v/>
      </c>
      <c r="G148" t="str">
        <f ca="1">IF(AND($B$294=1,LEN($G$271) * LEN($G$264)&gt;0),$G$271/$G$264*100,HLOOKUP(INDIRECT(ADDRESS(2,COLUMN())),OFFSET($AT$2,0,0,ROW()-1,40),ROW()-1,FALSE))</f>
        <v/>
      </c>
      <c r="H148" t="str">
        <f ca="1">IF(AND($B$294=1,LEN($H$271) * LEN($H$264)&gt;0),$H$271/$H$264*100,HLOOKUP(INDIRECT(ADDRESS(2,COLUMN())),OFFSET($AT$2,0,0,ROW()-1,40),ROW()-1,FALSE))</f>
        <v/>
      </c>
      <c r="I148" t="str">
        <f ca="1">IF(AND($B$294=1,LEN($I$271) * LEN($I$264)&gt;0),$I$271/$I$264*100,HLOOKUP(INDIRECT(ADDRESS(2,COLUMN())),OFFSET($AT$2,0,0,ROW()-1,40),ROW()-1,FALSE))</f>
        <v/>
      </c>
      <c r="J148" t="str">
        <f ca="1">IF(AND($B$294=1,LEN($J$271) * LEN($J$264)&gt;0),$J$271/$J$264*100,HLOOKUP(INDIRECT(ADDRESS(2,COLUMN())),OFFSET($AT$2,0,0,ROW()-1,40),ROW()-1,FALSE))</f>
        <v/>
      </c>
      <c r="K148" t="str">
        <f ca="1">IF(AND($B$294=1,LEN($K$271) * LEN($K$264)&gt;0),$K$271/$K$264*100,HLOOKUP(INDIRECT(ADDRESS(2,COLUMN())),OFFSET($AT$2,0,0,ROW()-1,40),ROW()-1,FALSE))</f>
        <v/>
      </c>
      <c r="L148" t="str">
        <f ca="1">IF(AND($B$294=1,LEN($L$271) * LEN($L$264)&gt;0),$L$271/$L$264*100,HLOOKUP(INDIRECT(ADDRESS(2,COLUMN())),OFFSET($AT$2,0,0,ROW()-1,40),ROW()-1,FALSE))</f>
        <v/>
      </c>
      <c r="M148" t="str">
        <f ca="1">IF(AND($B$294=1,LEN($M$271) * LEN($M$264)&gt;0),$M$271/$M$264*100,HLOOKUP(INDIRECT(ADDRESS(2,COLUMN())),OFFSET($AT$2,0,0,ROW()-1,40),ROW()-1,FALSE))</f>
        <v/>
      </c>
      <c r="N148" t="str">
        <f ca="1">IF(AND($B$294=1,LEN($N$271) * LEN($N$264)&gt;0),$N$271/$N$264*100,HLOOKUP(INDIRECT(ADDRESS(2,COLUMN())),OFFSET($AT$2,0,0,ROW()-1,40),ROW()-1,FALSE))</f>
        <v/>
      </c>
      <c r="O148" t="str">
        <f ca="1">IF(AND($B$294=1,LEN($O$271) * LEN($O$264)&gt;0),$O$271/$O$264*100,HLOOKUP(INDIRECT(ADDRESS(2,COLUMN())),OFFSET($AT$2,0,0,ROW()-1,40),ROW()-1,FALSE))</f>
        <v/>
      </c>
      <c r="P148">
        <f ca="1">IF(AND($B$294=1,LEN($P$271) * LEN($P$264)&gt;0),$P$271/$P$264*100,HLOOKUP(INDIRECT(ADDRESS(2,COLUMN())),OFFSET($AT$2,0,0,ROW()-1,40),ROW()-1,FALSE))</f>
        <v>1.447776629</v>
      </c>
      <c r="Q148">
        <f ca="1">IF(AND($B$294=1,LEN($Q$271) * LEN($Q$264)&gt;0),$Q$271/$Q$264*100,HLOOKUP(INDIRECT(ADDRESS(2,COLUMN())),OFFSET($AT$2,0,0,ROW()-1,40),ROW()-1,FALSE))</f>
        <v>1.5625</v>
      </c>
      <c r="R148">
        <f ca="1">IF(AND($B$294=1,LEN($R$271) * LEN($R$264)&gt;0),$R$271/$R$264*100,HLOOKUP(INDIRECT(ADDRESS(2,COLUMN())),OFFSET($AT$2,0,0,ROW()-1,40),ROW()-1,FALSE))</f>
        <v>1.453488372</v>
      </c>
      <c r="S148">
        <f ca="1">IF(AND($B$294=1,LEN($S$271) * LEN($S$264)&gt;0),$S$271/$S$264*100,HLOOKUP(INDIRECT(ADDRESS(2,COLUMN())),OFFSET($AT$2,0,0,ROW()-1,40),ROW()-1,FALSE))</f>
        <v>1.2484394510000001</v>
      </c>
      <c r="T148">
        <f ca="1">IF(AND($B$294=1,LEN($T$271) * LEN($T$264)&gt;0),$T$271/$T$264*100,HLOOKUP(INDIRECT(ADDRESS(2,COLUMN())),OFFSET($AT$2,0,0,ROW()-1,40),ROW()-1,FALSE))</f>
        <v>1.5909090910000001</v>
      </c>
      <c r="U148">
        <f ca="1">IF(AND($B$294=1,LEN($U$271) * LEN($U$264)&gt;0),$U$271/$U$264*100,HLOOKUP(INDIRECT(ADDRESS(2,COLUMN())),OFFSET($AT$2,0,0,ROW()-1,40),ROW()-1,FALSE))</f>
        <v>1.474201474</v>
      </c>
      <c r="V148">
        <f ca="1">IF(AND($B$294=1,LEN($V$271) * LEN($V$264)&gt;0),$V$271/$V$264*100,HLOOKUP(INDIRECT(ADDRESS(2,COLUMN())),OFFSET($AT$2,0,0,ROW()-1,40),ROW()-1,FALSE))</f>
        <v>1.6949152540000001</v>
      </c>
      <c r="W148">
        <f ca="1">IF(AND($B$294=1,LEN($W$271) * LEN($W$264)&gt;0),$W$271/$W$264*100,HLOOKUP(INDIRECT(ADDRESS(2,COLUMN())),OFFSET($AT$2,0,0,ROW()-1,40),ROW()-1,FALSE))</f>
        <v>1.5037593979999999</v>
      </c>
      <c r="X148">
        <f ca="1">IF(AND($B$294=1,LEN($X$271) * LEN($X$264)&gt;0),$X$271/$X$264*100,HLOOKUP(INDIRECT(ADDRESS(2,COLUMN())),OFFSET($AT$2,0,0,ROW()-1,40),ROW()-1,FALSE))</f>
        <v>1.3719512199999999</v>
      </c>
      <c r="Y148">
        <f ca="1">IF(AND($B$294=1,LEN($Y$271) * LEN($Y$264)&gt;0),$Y$271/$Y$264*100,HLOOKUP(INDIRECT(ADDRESS(2,COLUMN())),OFFSET($AT$2,0,0,ROW()-1,40),ROW()-1,FALSE))</f>
        <v>1.7105263159999999</v>
      </c>
      <c r="Z148">
        <f ca="1">IF(AND($B$294=1,LEN($Z$271) * LEN($Z$264)&gt;0),$Z$271/$Z$264*100,HLOOKUP(INDIRECT(ADDRESS(2,COLUMN())),OFFSET($AT$2,0,0,ROW()-1,40),ROW()-1,FALSE))</f>
        <v>1.3289036540000001</v>
      </c>
      <c r="AA148">
        <f ca="1">IF(AND($B$294=1,LEN($AA$271) * LEN($AA$264)&gt;0),$AA$271/$AA$264*100,HLOOKUP(INDIRECT(ADDRESS(2,COLUMN())),OFFSET($AT$2,0,0,ROW()-1,40),ROW()-1,FALSE))</f>
        <v>1.2552301260000001</v>
      </c>
      <c r="AB148">
        <f ca="1">IF(AND($B$294=1,LEN($AB$271) * LEN($AB$264)&gt;0),$AB$271/$AB$264*100,HLOOKUP(INDIRECT(ADDRESS(2,COLUMN())),OFFSET($AT$2,0,0,ROW()-1,40),ROW()-1,FALSE))</f>
        <v>5.6830601090000004</v>
      </c>
      <c r="AC148">
        <f ca="1">IF(AND($B$294=1,LEN($AC$271) * LEN($AC$264)&gt;0),$AC$271/$AC$264*100,HLOOKUP(INDIRECT(ADDRESS(2,COLUMN())),OFFSET($AT$2,0,0,ROW()-1,40),ROW()-1,FALSE))</f>
        <v>5.777166437</v>
      </c>
      <c r="AD148">
        <f ca="1">IF(AND($B$294=1,LEN($AD$271) * LEN($AD$264)&gt;0),$AD$271/$AD$264*100,HLOOKUP(INDIRECT(ADDRESS(2,COLUMN())),OFFSET($AT$2,0,0,ROW()-1,40),ROW()-1,FALSE))</f>
        <v>5.603448276</v>
      </c>
      <c r="AE148">
        <f ca="1">IF(AND($B$294=1,LEN($AE$271) * LEN($AE$264)&gt;0),$AE$271/$AE$264*100,HLOOKUP(INDIRECT(ADDRESS(2,COLUMN())),OFFSET($AT$2,0,0,ROW()-1,40),ROW()-1,FALSE))</f>
        <v>5.6488549619999997</v>
      </c>
      <c r="AF148">
        <f ca="1">IF(AND($B$294=1,LEN($AF$271) * LEN($AF$264)&gt;0),$AF$271/$AF$264*100,HLOOKUP(INDIRECT(ADDRESS(2,COLUMN())),OFFSET($AT$2,0,0,ROW()-1,40),ROW()-1,FALSE))</f>
        <v>5.7364341090000002</v>
      </c>
      <c r="AG148">
        <f ca="1">IF(AND($B$294=1,LEN($AG$271) * LEN($AG$264)&gt;0),$AG$271/$AG$264*100,HLOOKUP(INDIRECT(ADDRESS(2,COLUMN())),OFFSET($AT$2,0,0,ROW()-1,40),ROW()-1,FALSE))</f>
        <v>5.3857350799999999</v>
      </c>
      <c r="AH148">
        <f ca="1">IF(AND($B$294=1,LEN($AH$271) * LEN($AH$264)&gt;0),$AH$271/$AH$264*100,HLOOKUP(INDIRECT(ADDRESS(2,COLUMN())),OFFSET($AT$2,0,0,ROW()-1,40),ROW()-1,FALSE))</f>
        <v>5.0071530759999998</v>
      </c>
      <c r="AI148">
        <f ca="1">IF(AND($B$294=1,LEN($AI$271) * LEN($AI$264)&gt;0),$AI$271/$AI$264*100,HLOOKUP(INDIRECT(ADDRESS(2,COLUMN())),OFFSET($AT$2,0,0,ROW()-1,40),ROW()-1,FALSE))</f>
        <v>5.7391304349999999</v>
      </c>
      <c r="AJ148">
        <f ca="1">IF(AND($B$294=1,LEN($AJ$271) * LEN($AJ$264)&gt;0),$AJ$271/$AJ$264*100,HLOOKUP(INDIRECT(ADDRESS(2,COLUMN())),OFFSET($AT$2,0,0,ROW()-1,40),ROW()-1,FALSE))</f>
        <v>3.9845758349999998</v>
      </c>
      <c r="AK148">
        <f ca="1">IF(AND($B$294=1,LEN($AK$271) * LEN($AK$264)&gt;0),$AK$271/$AK$264*100,HLOOKUP(INDIRECT(ADDRESS(2,COLUMN())),OFFSET($AT$2,0,0,ROW()-1,40),ROW()-1,FALSE))</f>
        <v>6.8493150680000001</v>
      </c>
      <c r="AL148">
        <f ca="1">IF(AND($B$294=1,LEN($AL$271) * LEN($AL$264)&gt;0),$AL$271/$AL$264*100,HLOOKUP(INDIRECT(ADDRESS(2,COLUMN())),OFFSET($AT$2,0,0,ROW()-1,40),ROW()-1,FALSE))</f>
        <v>6.2706270630000001</v>
      </c>
      <c r="AM148">
        <f ca="1">IF(AND($B$294=1,LEN($AM$271) * LEN($AM$264)&gt;0),$AM$271/$AM$264*100,HLOOKUP(INDIRECT(ADDRESS(2,COLUMN())),OFFSET($AT$2,0,0,ROW()-1,40),ROW()-1,FALSE))</f>
        <v>6.6115702479999996</v>
      </c>
      <c r="AN148">
        <f ca="1">IF(AND($B$294=1,LEN($AN$271) * LEN($AN$264)&gt;0),$AN$271/$AN$264*100,HLOOKUP(INDIRECT(ADDRESS(2,COLUMN())),OFFSET($AT$2,0,0,ROW()-1,40),ROW()-1,FALSE))</f>
        <v>2.284263959</v>
      </c>
      <c r="AO148">
        <f ca="1">IF(AND($B$294=1,LEN($AO$271) * LEN($AO$264)&gt;0),$AO$271/$AO$264*100,HLOOKUP(INDIRECT(ADDRESS(2,COLUMN())),OFFSET($AT$2,0,0,ROW()-1,40),ROW()-1,FALSE))</f>
        <v>2.2038567489999998</v>
      </c>
      <c r="AP148">
        <f ca="1">IF(AND($B$294=1,LEN($AP$271) * LEN($AP$264)&gt;0),$AP$271/$AP$264*100,HLOOKUP(INDIRECT(ADDRESS(2,COLUMN())),OFFSET($AT$2,0,0,ROW()-1,40),ROW()-1,FALSE))</f>
        <v>2.1828103680000002</v>
      </c>
      <c r="AQ148">
        <f ca="1">IF(AND($B$294=1,LEN($AQ$271) * LEN($AQ$264)&gt;0),$AQ$271/$AQ$264*100,HLOOKUP(INDIRECT(ADDRESS(2,COLUMN())),OFFSET($AT$2,0,0,ROW()-1,40),ROW()-1,FALSE))</f>
        <v>22.107081170000001</v>
      </c>
      <c r="AR148">
        <f ca="1">IF(AND($B$294=1,LEN($AR$271) * LEN($AR$264)&gt;0),$AR$271/$AR$264*100,HLOOKUP(INDIRECT(ADDRESS(2,COLUMN())),OFFSET($AT$2,0,0,ROW()-1,40),ROW()-1,FALSE))</f>
        <v>4.6548956659999998</v>
      </c>
      <c r="AS148">
        <f ca="1">IF(AND($B$294=1,LEN($AS$271) * LEN($AS$264)&gt;0),$AS$271/$AS$264*100,HLOOKUP(INDIRECT(ADDRESS(2,COLUMN())),OFFSET($AT$2,0,0,ROW()-1,40),ROW()-1,FALSE))</f>
        <v>1.5706806280000001</v>
      </c>
      <c r="AT148" t="str">
        <f>""</f>
        <v/>
      </c>
      <c r="AU148" t="str">
        <f>""</f>
        <v/>
      </c>
      <c r="AV148" t="str">
        <f>""</f>
        <v/>
      </c>
      <c r="AW148" t="str">
        <f>""</f>
        <v/>
      </c>
      <c r="AX148" t="str">
        <f>""</f>
        <v/>
      </c>
      <c r="AY148" t="str">
        <f>""</f>
        <v/>
      </c>
      <c r="AZ148" t="str">
        <f>""</f>
        <v/>
      </c>
      <c r="BA148" t="str">
        <f>""</f>
        <v/>
      </c>
      <c r="BB148" t="str">
        <f>""</f>
        <v/>
      </c>
      <c r="BC148" t="str">
        <f>""</f>
        <v/>
      </c>
      <c r="BD148">
        <f>1.447776629</f>
        <v>1.447776629</v>
      </c>
      <c r="BE148">
        <f>1.5625</f>
        <v>1.5625</v>
      </c>
      <c r="BF148">
        <f>1.453488372</f>
        <v>1.453488372</v>
      </c>
      <c r="BG148">
        <f>1.248439451</f>
        <v>1.2484394510000001</v>
      </c>
      <c r="BH148">
        <f>1.590909091</f>
        <v>1.5909090910000001</v>
      </c>
      <c r="BI148">
        <f>1.474201474</f>
        <v>1.474201474</v>
      </c>
      <c r="BJ148">
        <f>1.694915254</f>
        <v>1.6949152540000001</v>
      </c>
      <c r="BK148">
        <f>1.503759398</f>
        <v>1.5037593979999999</v>
      </c>
      <c r="BL148">
        <f>1.37195122</f>
        <v>1.3719512199999999</v>
      </c>
      <c r="BM148">
        <f>1.710526316</f>
        <v>1.7105263159999999</v>
      </c>
      <c r="BN148">
        <f>1.328903654</f>
        <v>1.3289036540000001</v>
      </c>
      <c r="BO148">
        <f>1.255230126</f>
        <v>1.2552301260000001</v>
      </c>
      <c r="BP148">
        <f>5.683060109</f>
        <v>5.6830601090000004</v>
      </c>
      <c r="BQ148">
        <f>5.777166437</f>
        <v>5.777166437</v>
      </c>
      <c r="BR148">
        <f>5.603448276</f>
        <v>5.603448276</v>
      </c>
      <c r="BS148">
        <f>5.648854962</f>
        <v>5.6488549619999997</v>
      </c>
      <c r="BT148">
        <f>5.736434109</f>
        <v>5.7364341090000002</v>
      </c>
      <c r="BU148">
        <f>5.38573508</f>
        <v>5.3857350799999999</v>
      </c>
      <c r="BV148">
        <f>5.007153076</f>
        <v>5.0071530759999998</v>
      </c>
      <c r="BW148">
        <f>5.739130435</f>
        <v>5.7391304349999999</v>
      </c>
      <c r="BX148">
        <f>3.984575835</f>
        <v>3.9845758349999998</v>
      </c>
      <c r="BY148">
        <f>6.849315068</f>
        <v>6.8493150680000001</v>
      </c>
      <c r="BZ148">
        <f>6.270627063</f>
        <v>6.2706270630000001</v>
      </c>
      <c r="CA148">
        <f>6.611570248</f>
        <v>6.6115702479999996</v>
      </c>
      <c r="CB148">
        <f>2.284263959</f>
        <v>2.284263959</v>
      </c>
      <c r="CC148">
        <f>2.203856749</f>
        <v>2.2038567489999998</v>
      </c>
      <c r="CD148">
        <f>2.182810368</f>
        <v>2.1828103680000002</v>
      </c>
      <c r="CE148">
        <f>22.10708117</f>
        <v>22.107081170000001</v>
      </c>
      <c r="CF148">
        <f>4.654895666</f>
        <v>4.6548956659999998</v>
      </c>
      <c r="CG148">
        <f>1.570680628</f>
        <v>1.5706806280000001</v>
      </c>
    </row>
    <row r="149" spans="1:85" x14ac:dyDescent="0.25">
      <c r="A149" t="str">
        <f>"    PACCAR"</f>
        <v xml:space="preserve">    PACCAR</v>
      </c>
      <c r="B149" t="str">
        <f>"PCAR US Equity"</f>
        <v>PCAR US Equity</v>
      </c>
      <c r="E149" t="str">
        <f>"Sum"</f>
        <v>Sum</v>
      </c>
      <c r="F149">
        <f ca="1">IF(ISERROR(IF(SUM($F$150:$F$150) = 0, "", SUM($F$150:$F$150))), "", (IF(SUM($F$150:$F$150) = 0, "", SUM($F$150:$F$150))))</f>
        <v>0.13477089</v>
      </c>
      <c r="G149">
        <f ca="1">IF(ISERROR(IF(SUM($G$150:$G$150) = 0, "", SUM($G$150:$G$150))), "", (IF(SUM($G$150:$G$150) = 0, "", SUM($G$150:$G$150))))</f>
        <v>1.114206128</v>
      </c>
      <c r="H149">
        <f ca="1">IF(ISERROR(IF(SUM($H$150:$H$150) = 0, "", SUM($H$150:$H$150))), "", (IF(SUM($H$150:$H$150) = 0, "", SUM($H$150:$H$150))))</f>
        <v>1.2453300119999999</v>
      </c>
      <c r="I149">
        <f ca="1">IF(ISERROR(IF(SUM($I$150:$I$150) = 0, "", SUM($I$150:$I$150))), "", (IF(SUM($I$150:$I$150) = 0, "", SUM($I$150:$I$150))))</f>
        <v>1.0174418599999999</v>
      </c>
      <c r="J149">
        <f ca="1">IF(ISERROR(IF(SUM($J$150:$J$150) = 0, "", SUM($J$150:$J$150))), "", (IF(SUM($J$150:$J$150) = 0, "", SUM($J$150:$J$150))))</f>
        <v>1.0738255029999999</v>
      </c>
      <c r="K149">
        <f ca="1">IF(ISERROR(IF(SUM($K$150:$K$150) = 0, "", SUM($K$150:$K$150))), "", (IF(SUM($K$150:$K$150) = 0, "", SUM($K$150:$K$150))))</f>
        <v>1.083591331</v>
      </c>
      <c r="L149">
        <f ca="1">IF(ISERROR(IF(SUM($L$150:$L$150) = 0, "", SUM($L$150:$L$150))), "", (IF(SUM($L$150:$L$150) = 0, "", SUM($L$150:$L$150))))</f>
        <v>0.46511627900000002</v>
      </c>
      <c r="M149">
        <f ca="1">IF(ISERROR(IF(SUM($M$150:$M$150) = 0, "", SUM($M$150:$M$150))), "", (IF(SUM($M$150:$M$150) = 0, "", SUM($M$150:$M$150))))</f>
        <v>1.6282225239999999</v>
      </c>
      <c r="N149">
        <f ca="1">IF(ISERROR(IF(SUM($N$150:$N$150) = 0, "", SUM($N$150:$N$150))), "", (IF(SUM($N$150:$N$150) = 0, "", SUM($N$150:$N$150))))</f>
        <v>0.29069767400000002</v>
      </c>
      <c r="O149">
        <f ca="1">IF(ISERROR(IF(SUM($O$150:$O$150) = 0, "", SUM($O$150:$O$150))), "", (IF(SUM($O$150:$O$150) = 0, "", SUM($O$150:$O$150))))</f>
        <v>0.27739250999999998</v>
      </c>
      <c r="P149">
        <f ca="1">IF(ISERROR(IF(SUM($P$150:$P$150) = 0, "", SUM($P$150:$P$150))), "", (IF(SUM($P$150:$P$150) = 0, "", SUM($P$150:$P$150))))</f>
        <v>0.82730093100000002</v>
      </c>
      <c r="Q149">
        <f ca="1">IF(ISERROR(IF(SUM($Q$150:$Q$150) = 0, "", SUM($Q$150:$Q$150))), "", (IF(SUM($Q$150:$Q$150) = 0, "", SUM($Q$150:$Q$150))))</f>
        <v>1.6927083329999999</v>
      </c>
      <c r="R149">
        <f ca="1">IF(ISERROR(IF(SUM($R$150:$R$150) = 0, "", SUM($R$150:$R$150))), "", (IF(SUM($R$150:$R$150) = 0, "", SUM($R$150:$R$150))))</f>
        <v>0.72674418600000001</v>
      </c>
      <c r="S149">
        <f ca="1">IF(ISERROR(IF(SUM($S$150:$S$150) = 0, "", SUM($S$150:$S$150))), "", (IF(SUM($S$150:$S$150) = 0, "", SUM($S$150:$S$150))))</f>
        <v>0.99875156099999995</v>
      </c>
      <c r="T149">
        <f ca="1">IF(ISERROR(IF(SUM($T$150:$T$150) = 0, "", SUM($T$150:$T$150))), "", (IF(SUM($T$150:$T$150) = 0, "", SUM($T$150:$T$150))))</f>
        <v>1.4772727269999999</v>
      </c>
      <c r="U149">
        <f ca="1">IF(ISERROR(IF(SUM($U$150:$U$150) = 0, "", SUM($U$150:$U$150))), "", (IF(SUM($U$150:$U$150) = 0, "", SUM($U$150:$U$150))))</f>
        <v>1.9656019659999999</v>
      </c>
      <c r="V149">
        <f ca="1">IF(ISERROR(IF(SUM($V$150:$V$150) = 0, "", SUM($V$150:$V$150))), "", (IF(SUM($V$150:$V$150) = 0, "", SUM($V$150:$V$150))))</f>
        <v>1.0169491530000001</v>
      </c>
      <c r="W149">
        <f ca="1">IF(ISERROR(IF(SUM($W$150:$W$150) = 0, "", SUM($W$150:$W$150))), "", (IF(SUM($W$150:$W$150) = 0, "", SUM($W$150:$W$150))))</f>
        <v>1.203007519</v>
      </c>
      <c r="X149">
        <f ca="1">IF(ISERROR(IF(SUM($X$150:$X$150) = 0, "", SUM($X$150:$X$150))), "", (IF(SUM($X$150:$X$150) = 0, "", SUM($X$150:$X$150))))</f>
        <v>0.76219512199999995</v>
      </c>
      <c r="Y149">
        <f ca="1">IF(ISERROR(IF(SUM($Y$150:$Y$150) = 0, "", SUM($Y$150:$Y$150))), "", (IF(SUM($Y$150:$Y$150) = 0, "", SUM($Y$150:$Y$150))))</f>
        <v>1.9736842109999999</v>
      </c>
      <c r="Z149">
        <f ca="1">IF(ISERROR(IF(SUM($Z$150:$Z$150) = 0, "", SUM($Z$150:$Z$150))), "", (IF(SUM($Z$150:$Z$150) = 0, "", SUM($Z$150:$Z$150))))</f>
        <v>1.661129568</v>
      </c>
      <c r="AA149">
        <f ca="1">IF(ISERROR(IF(SUM($AA$150:$AA$150) = 0, "", SUM($AA$150:$AA$150))), "", (IF(SUM($AA$150:$AA$150) = 0, "", SUM($AA$150:$AA$150))))</f>
        <v>0.83682008399999996</v>
      </c>
      <c r="AB149">
        <f ca="1">IF(ISERROR(IF(SUM($AB$150:$AB$150) = 0, "", SUM($AB$150:$AB$150))), "", (IF(SUM($AB$150:$AB$150) = 0, "", SUM($AB$150:$AB$150))))</f>
        <v>1.3114754099999999</v>
      </c>
      <c r="AC149">
        <f ca="1">IF(ISERROR(IF(SUM($AC$150:$AC$150) = 0, "", SUM($AC$150:$AC$150))), "", (IF(SUM($AC$150:$AC$150) = 0, "", SUM($AC$150:$AC$150))))</f>
        <v>0.82530949099999995</v>
      </c>
      <c r="AD149">
        <f ca="1">IF(ISERROR(IF(SUM($AD$150:$AD$150) = 0, "", SUM($AD$150:$AD$150))), "", (IF(SUM($AD$150:$AD$150) = 0, "", SUM($AD$150:$AD$150))))</f>
        <v>2.2988505749999999</v>
      </c>
      <c r="AE149">
        <f ca="1">IF(ISERROR(IF(SUM($AE$150:$AE$150) = 0, "", SUM($AE$150:$AE$150))), "", (IF(SUM($AE$150:$AE$150) = 0, "", SUM($AE$150:$AE$150))))</f>
        <v>0.15267175599999999</v>
      </c>
      <c r="AF149">
        <f ca="1">IF(ISERROR(IF(SUM($AF$150:$AF$150) = 0, "", SUM($AF$150:$AF$150))), "", (IF(SUM($AF$150:$AF$150) = 0, "", SUM($AF$150:$AF$150))))</f>
        <v>3.5658914730000002</v>
      </c>
      <c r="AG149">
        <f ca="1">IF(ISERROR(IF(SUM($AG$150:$AG$150) = 0, "", SUM($AG$150:$AG$150))), "", (IF(SUM($AG$150:$AG$150) = 0, "", SUM($AG$150:$AG$150))))</f>
        <v>2.1834061139999998</v>
      </c>
      <c r="AH149">
        <f ca="1">IF(ISERROR(IF(SUM($AH$150:$AH$150) = 0, "", SUM($AH$150:$AH$150))), "", (IF(SUM($AH$150:$AH$150) = 0, "", SUM($AH$150:$AH$150))))</f>
        <v>1.4306151650000001</v>
      </c>
      <c r="AI149">
        <f ca="1">IF(ISERROR(IF(SUM($AI$150:$AI$150) = 0, "", SUM($AI$150:$AI$150))), "", (IF(SUM($AI$150:$AI$150) = 0, "", SUM($AI$150:$AI$150))))</f>
        <v>2.0869565219999999</v>
      </c>
      <c r="AJ149">
        <f ca="1">IF(ISERROR(IF(SUM($AJ$150:$AJ$150) = 0, "", SUM($AJ$150:$AJ$150))), "", (IF(SUM($AJ$150:$AJ$150) = 0, "", SUM($AJ$150:$AJ$150))))</f>
        <v>0.77120822600000005</v>
      </c>
      <c r="AK149">
        <f ca="1">IF(ISERROR(IF(SUM($AK$150:$AK$150) = 0, "", SUM($AK$150:$AK$150))), "", (IF(SUM($AK$150:$AK$150) = 0, "", SUM($AK$150:$AK$150))))</f>
        <v>1.712328767</v>
      </c>
      <c r="AL149">
        <f ca="1">IF(ISERROR(IF(SUM($AL$150:$AL$150) = 0, "", SUM($AL$150:$AL$150))), "", (IF(SUM($AL$150:$AL$150) = 0, "", SUM($AL$150:$AL$150))))</f>
        <v>1.320132013</v>
      </c>
      <c r="AM149">
        <f ca="1">IF(ISERROR(IF(SUM($AM$150:$AM$150) = 0, "", SUM($AM$150:$AM$150))), "", (IF(SUM($AM$150:$AM$150) = 0, "", SUM($AM$150:$AM$150))))</f>
        <v>1.3223140499999999</v>
      </c>
      <c r="AN149">
        <f ca="1">IF(ISERROR(IF(SUM($AN$150:$AN$150) = 0, "", SUM($AN$150:$AN$150))), "", (IF(SUM($AN$150:$AN$150) = 0, "", SUM($AN$150:$AN$150))))</f>
        <v>4.060913706</v>
      </c>
      <c r="AO149">
        <f ca="1">IF(ISERROR(IF(SUM($AO$150:$AO$150) = 0, "", SUM($AO$150:$AO$150))), "", (IF(SUM($AO$150:$AO$150) = 0, "", SUM($AO$150:$AO$150))))</f>
        <v>3.9944903580000002</v>
      </c>
      <c r="AP149">
        <f ca="1">IF(ISERROR(IF(SUM($AP$150:$AP$150) = 0, "", SUM($AP$150:$AP$150))), "", (IF(SUM($AP$150:$AP$150) = 0, "", SUM($AP$150:$AP$150))))</f>
        <v>3.9563437929999998</v>
      </c>
      <c r="AQ149">
        <f ca="1">IF(ISERROR(IF(SUM($AQ$150:$AQ$150) = 0, "", SUM($AQ$150:$AQ$150))), "", (IF(SUM($AQ$150:$AQ$150) = 0, "", SUM($AQ$150:$AQ$150))))</f>
        <v>3.1088082899999998</v>
      </c>
      <c r="AR149">
        <f ca="1">IF(ISERROR(IF(SUM($AR$150:$AR$150) = 0, "", SUM($AR$150:$AR$150))), "", (IF(SUM($AR$150:$AR$150) = 0, "", SUM($AR$150:$AR$150))))</f>
        <v>3.2102728730000001</v>
      </c>
      <c r="AS149">
        <f ca="1">IF(ISERROR(IF(SUM($AS$150:$AS$150) = 0, "", SUM($AS$150:$AS$150))), "", (IF(SUM($AS$150:$AS$150) = 0, "", SUM($AS$150:$AS$150))))</f>
        <v>2.4432809770000001</v>
      </c>
      <c r="AT149">
        <f>0.13477089</f>
        <v>0.13477089</v>
      </c>
      <c r="AU149">
        <f>1.114206128</f>
        <v>1.114206128</v>
      </c>
      <c r="AV149">
        <f>1.245330012</f>
        <v>1.2453300119999999</v>
      </c>
      <c r="AW149">
        <f>1.01744186</f>
        <v>1.0174418599999999</v>
      </c>
      <c r="AX149">
        <f>1.073825503</f>
        <v>1.0738255029999999</v>
      </c>
      <c r="AY149">
        <f>1.083591331</f>
        <v>1.083591331</v>
      </c>
      <c r="AZ149">
        <f>0.465116279</f>
        <v>0.46511627900000002</v>
      </c>
      <c r="BA149">
        <f>1.628222524</f>
        <v>1.6282225239999999</v>
      </c>
      <c r="BB149">
        <f>0.290697674</f>
        <v>0.29069767400000002</v>
      </c>
      <c r="BC149">
        <f>0.27739251</f>
        <v>0.27739250999999998</v>
      </c>
      <c r="BD149">
        <f>0.827300931</f>
        <v>0.82730093100000002</v>
      </c>
      <c r="BE149">
        <f>1.692708333</f>
        <v>1.6927083329999999</v>
      </c>
      <c r="BF149">
        <f>0.726744186</f>
        <v>0.72674418600000001</v>
      </c>
      <c r="BG149">
        <f>0.998751561</f>
        <v>0.99875156099999995</v>
      </c>
      <c r="BH149">
        <f>1.477272727</f>
        <v>1.4772727269999999</v>
      </c>
      <c r="BI149">
        <f>1.965601966</f>
        <v>1.9656019659999999</v>
      </c>
      <c r="BJ149">
        <f>1.016949153</f>
        <v>1.0169491530000001</v>
      </c>
      <c r="BK149">
        <f>1.203007519</f>
        <v>1.203007519</v>
      </c>
      <c r="BL149">
        <f>0.762195122</f>
        <v>0.76219512199999995</v>
      </c>
      <c r="BM149">
        <f>1.973684211</f>
        <v>1.9736842109999999</v>
      </c>
      <c r="BN149">
        <f>1.661129568</f>
        <v>1.661129568</v>
      </c>
      <c r="BO149">
        <f>0.836820084</f>
        <v>0.83682008399999996</v>
      </c>
      <c r="BP149">
        <f>1.31147541</f>
        <v>1.3114754099999999</v>
      </c>
      <c r="BQ149">
        <f>0.825309491</f>
        <v>0.82530949099999995</v>
      </c>
      <c r="BR149">
        <f>2.298850575</f>
        <v>2.2988505749999999</v>
      </c>
      <c r="BS149">
        <f>0.152671756</f>
        <v>0.15267175599999999</v>
      </c>
      <c r="BT149">
        <f>3.565891473</f>
        <v>3.5658914730000002</v>
      </c>
      <c r="BU149">
        <f>2.183406114</f>
        <v>2.1834061139999998</v>
      </c>
      <c r="BV149">
        <f>1.430615165</f>
        <v>1.4306151650000001</v>
      </c>
      <c r="BW149">
        <f>2.086956522</f>
        <v>2.0869565219999999</v>
      </c>
      <c r="BX149">
        <f>0.771208226</f>
        <v>0.77120822600000005</v>
      </c>
      <c r="BY149">
        <f>1.712328767</f>
        <v>1.712328767</v>
      </c>
      <c r="BZ149">
        <f>1.320132013</f>
        <v>1.320132013</v>
      </c>
      <c r="CA149">
        <f>1.32231405</f>
        <v>1.3223140499999999</v>
      </c>
      <c r="CB149">
        <f>4.060913706</f>
        <v>4.060913706</v>
      </c>
      <c r="CC149">
        <f>3.994490358</f>
        <v>3.9944903580000002</v>
      </c>
      <c r="CD149">
        <f>3.956343793</f>
        <v>3.9563437929999998</v>
      </c>
      <c r="CE149">
        <f>3.10880829</f>
        <v>3.1088082899999998</v>
      </c>
      <c r="CF149">
        <f>3.210272873</f>
        <v>3.2102728730000001</v>
      </c>
      <c r="CG149">
        <f>2.443280977</f>
        <v>2.4432809770000001</v>
      </c>
    </row>
    <row r="150" spans="1:85" x14ac:dyDescent="0.25">
      <c r="A150" t="str">
        <f>"        Kenworth"</f>
        <v xml:space="preserve">        Kenworth</v>
      </c>
      <c r="B150" t="str">
        <f>"PCAR US Equity"</f>
        <v>PCAR US Equity</v>
      </c>
      <c r="E150" t="str">
        <f>"Expression"</f>
        <v>Expression</v>
      </c>
      <c r="F150">
        <f ca="1">IF(AND($B$294=1,LEN($F$272) * LEN($F$264)&gt;0),$F$272/$F$264*100,HLOOKUP(INDIRECT(ADDRESS(2,COLUMN())),OFFSET($AT$2,0,0,ROW()-1,40),ROW()-1,FALSE))</f>
        <v>0.13477089</v>
      </c>
      <c r="G150">
        <f ca="1">IF(AND($B$294=1,LEN($G$272) * LEN($G$264)&gt;0),$G$272/$G$264*100,HLOOKUP(INDIRECT(ADDRESS(2,COLUMN())),OFFSET($AT$2,0,0,ROW()-1,40),ROW()-1,FALSE))</f>
        <v>1.114206128</v>
      </c>
      <c r="H150">
        <f ca="1">IF(AND($B$294=1,LEN($H$272) * LEN($H$264)&gt;0),$H$272/$H$264*100,HLOOKUP(INDIRECT(ADDRESS(2,COLUMN())),OFFSET($AT$2,0,0,ROW()-1,40),ROW()-1,FALSE))</f>
        <v>1.2453300119999999</v>
      </c>
      <c r="I150">
        <f ca="1">IF(AND($B$294=1,LEN($I$272) * LEN($I$264)&gt;0),$I$272/$I$264*100,HLOOKUP(INDIRECT(ADDRESS(2,COLUMN())),OFFSET($AT$2,0,0,ROW()-1,40),ROW()-1,FALSE))</f>
        <v>1.0174418599999999</v>
      </c>
      <c r="J150">
        <f ca="1">IF(AND($B$294=1,LEN($J$272) * LEN($J$264)&gt;0),$J$272/$J$264*100,HLOOKUP(INDIRECT(ADDRESS(2,COLUMN())),OFFSET($AT$2,0,0,ROW()-1,40),ROW()-1,FALSE))</f>
        <v>1.0738255029999999</v>
      </c>
      <c r="K150">
        <f ca="1">IF(AND($B$294=1,LEN($K$272) * LEN($K$264)&gt;0),$K$272/$K$264*100,HLOOKUP(INDIRECT(ADDRESS(2,COLUMN())),OFFSET($AT$2,0,0,ROW()-1,40),ROW()-1,FALSE))</f>
        <v>1.083591331</v>
      </c>
      <c r="L150">
        <f ca="1">IF(AND($B$294=1,LEN($L$272) * LEN($L$264)&gt;0),$L$272/$L$264*100,HLOOKUP(INDIRECT(ADDRESS(2,COLUMN())),OFFSET($AT$2,0,0,ROW()-1,40),ROW()-1,FALSE))</f>
        <v>0.46511627900000002</v>
      </c>
      <c r="M150">
        <f ca="1">IF(AND($B$294=1,LEN($M$272) * LEN($M$264)&gt;0),$M$272/$M$264*100,HLOOKUP(INDIRECT(ADDRESS(2,COLUMN())),OFFSET($AT$2,0,0,ROW()-1,40),ROW()-1,FALSE))</f>
        <v>1.6282225239999999</v>
      </c>
      <c r="N150">
        <f ca="1">IF(AND($B$294=1,LEN($N$272) * LEN($N$264)&gt;0),$N$272/$N$264*100,HLOOKUP(INDIRECT(ADDRESS(2,COLUMN())),OFFSET($AT$2,0,0,ROW()-1,40),ROW()-1,FALSE))</f>
        <v>0.29069767400000002</v>
      </c>
      <c r="O150">
        <f ca="1">IF(AND($B$294=1,LEN($O$272) * LEN($O$264)&gt;0),$O$272/$O$264*100,HLOOKUP(INDIRECT(ADDRESS(2,COLUMN())),OFFSET($AT$2,0,0,ROW()-1,40),ROW()-1,FALSE))</f>
        <v>0.27739250999999998</v>
      </c>
      <c r="P150">
        <f ca="1">IF(AND($B$294=1,LEN($P$272) * LEN($P$264)&gt;0),$P$272/$P$264*100,HLOOKUP(INDIRECT(ADDRESS(2,COLUMN())),OFFSET($AT$2,0,0,ROW()-1,40),ROW()-1,FALSE))</f>
        <v>0.82730093100000002</v>
      </c>
      <c r="Q150">
        <f ca="1">IF(AND($B$294=1,LEN($Q$272) * LEN($Q$264)&gt;0),$Q$272/$Q$264*100,HLOOKUP(INDIRECT(ADDRESS(2,COLUMN())),OFFSET($AT$2,0,0,ROW()-1,40),ROW()-1,FALSE))</f>
        <v>1.6927083329999999</v>
      </c>
      <c r="R150">
        <f ca="1">IF(AND($B$294=1,LEN($R$272) * LEN($R$264)&gt;0),$R$272/$R$264*100,HLOOKUP(INDIRECT(ADDRESS(2,COLUMN())),OFFSET($AT$2,0,0,ROW()-1,40),ROW()-1,FALSE))</f>
        <v>0.72674418600000001</v>
      </c>
      <c r="S150">
        <f ca="1">IF(AND($B$294=1,LEN($S$272) * LEN($S$264)&gt;0),$S$272/$S$264*100,HLOOKUP(INDIRECT(ADDRESS(2,COLUMN())),OFFSET($AT$2,0,0,ROW()-1,40),ROW()-1,FALSE))</f>
        <v>0.99875156099999995</v>
      </c>
      <c r="T150">
        <f ca="1">IF(AND($B$294=1,LEN($T$272) * LEN($T$264)&gt;0),$T$272/$T$264*100,HLOOKUP(INDIRECT(ADDRESS(2,COLUMN())),OFFSET($AT$2,0,0,ROW()-1,40),ROW()-1,FALSE))</f>
        <v>1.4772727269999999</v>
      </c>
      <c r="U150">
        <f ca="1">IF(AND($B$294=1,LEN($U$272) * LEN($U$264)&gt;0),$U$272/$U$264*100,HLOOKUP(INDIRECT(ADDRESS(2,COLUMN())),OFFSET($AT$2,0,0,ROW()-1,40),ROW()-1,FALSE))</f>
        <v>1.9656019659999999</v>
      </c>
      <c r="V150">
        <f ca="1">IF(AND($B$294=1,LEN($V$272) * LEN($V$264)&gt;0),$V$272/$V$264*100,HLOOKUP(INDIRECT(ADDRESS(2,COLUMN())),OFFSET($AT$2,0,0,ROW()-1,40),ROW()-1,FALSE))</f>
        <v>1.0169491530000001</v>
      </c>
      <c r="W150">
        <f ca="1">IF(AND($B$294=1,LEN($W$272) * LEN($W$264)&gt;0),$W$272/$W$264*100,HLOOKUP(INDIRECT(ADDRESS(2,COLUMN())),OFFSET($AT$2,0,0,ROW()-1,40),ROW()-1,FALSE))</f>
        <v>1.203007519</v>
      </c>
      <c r="X150">
        <f ca="1">IF(AND($B$294=1,LEN($X$272) * LEN($X$264)&gt;0),$X$272/$X$264*100,HLOOKUP(INDIRECT(ADDRESS(2,COLUMN())),OFFSET($AT$2,0,0,ROW()-1,40),ROW()-1,FALSE))</f>
        <v>0.76219512199999995</v>
      </c>
      <c r="Y150">
        <f ca="1">IF(AND($B$294=1,LEN($Y$272) * LEN($Y$264)&gt;0),$Y$272/$Y$264*100,HLOOKUP(INDIRECT(ADDRESS(2,COLUMN())),OFFSET($AT$2,0,0,ROW()-1,40),ROW()-1,FALSE))</f>
        <v>1.9736842109999999</v>
      </c>
      <c r="Z150">
        <f ca="1">IF(AND($B$294=1,LEN($Z$272) * LEN($Z$264)&gt;0),$Z$272/$Z$264*100,HLOOKUP(INDIRECT(ADDRESS(2,COLUMN())),OFFSET($AT$2,0,0,ROW()-1,40),ROW()-1,FALSE))</f>
        <v>1.661129568</v>
      </c>
      <c r="AA150">
        <f ca="1">IF(AND($B$294=1,LEN($AA$272) * LEN($AA$264)&gt;0),$AA$272/$AA$264*100,HLOOKUP(INDIRECT(ADDRESS(2,COLUMN())),OFFSET($AT$2,0,0,ROW()-1,40),ROW()-1,FALSE))</f>
        <v>0.83682008399999996</v>
      </c>
      <c r="AB150">
        <f ca="1">IF(AND($B$294=1,LEN($AB$272) * LEN($AB$264)&gt;0),$AB$272/$AB$264*100,HLOOKUP(INDIRECT(ADDRESS(2,COLUMN())),OFFSET($AT$2,0,0,ROW()-1,40),ROW()-1,FALSE))</f>
        <v>1.3114754099999999</v>
      </c>
      <c r="AC150">
        <f ca="1">IF(AND($B$294=1,LEN($AC$272) * LEN($AC$264)&gt;0),$AC$272/$AC$264*100,HLOOKUP(INDIRECT(ADDRESS(2,COLUMN())),OFFSET($AT$2,0,0,ROW()-1,40),ROW()-1,FALSE))</f>
        <v>0.82530949099999995</v>
      </c>
      <c r="AD150">
        <f ca="1">IF(AND($B$294=1,LEN($AD$272) * LEN($AD$264)&gt;0),$AD$272/$AD$264*100,HLOOKUP(INDIRECT(ADDRESS(2,COLUMN())),OFFSET($AT$2,0,0,ROW()-1,40),ROW()-1,FALSE))</f>
        <v>2.2988505749999999</v>
      </c>
      <c r="AE150">
        <f ca="1">IF(AND($B$294=1,LEN($AE$272) * LEN($AE$264)&gt;0),$AE$272/$AE$264*100,HLOOKUP(INDIRECT(ADDRESS(2,COLUMN())),OFFSET($AT$2,0,0,ROW()-1,40),ROW()-1,FALSE))</f>
        <v>0.15267175599999999</v>
      </c>
      <c r="AF150">
        <f ca="1">IF(AND($B$294=1,LEN($AF$272) * LEN($AF$264)&gt;0),$AF$272/$AF$264*100,HLOOKUP(INDIRECT(ADDRESS(2,COLUMN())),OFFSET($AT$2,0,0,ROW()-1,40),ROW()-1,FALSE))</f>
        <v>3.5658914730000002</v>
      </c>
      <c r="AG150">
        <f ca="1">IF(AND($B$294=1,LEN($AG$272) * LEN($AG$264)&gt;0),$AG$272/$AG$264*100,HLOOKUP(INDIRECT(ADDRESS(2,COLUMN())),OFFSET($AT$2,0,0,ROW()-1,40),ROW()-1,FALSE))</f>
        <v>2.1834061139999998</v>
      </c>
      <c r="AH150">
        <f ca="1">IF(AND($B$294=1,LEN($AH$272) * LEN($AH$264)&gt;0),$AH$272/$AH$264*100,HLOOKUP(INDIRECT(ADDRESS(2,COLUMN())),OFFSET($AT$2,0,0,ROW()-1,40),ROW()-1,FALSE))</f>
        <v>1.4306151650000001</v>
      </c>
      <c r="AI150">
        <f ca="1">IF(AND($B$294=1,LEN($AI$272) * LEN($AI$264)&gt;0),$AI$272/$AI$264*100,HLOOKUP(INDIRECT(ADDRESS(2,COLUMN())),OFFSET($AT$2,0,0,ROW()-1,40),ROW()-1,FALSE))</f>
        <v>2.0869565219999999</v>
      </c>
      <c r="AJ150">
        <f ca="1">IF(AND($B$294=1,LEN($AJ$272) * LEN($AJ$264)&gt;0),$AJ$272/$AJ$264*100,HLOOKUP(INDIRECT(ADDRESS(2,COLUMN())),OFFSET($AT$2,0,0,ROW()-1,40),ROW()-1,FALSE))</f>
        <v>0.77120822600000005</v>
      </c>
      <c r="AK150">
        <f ca="1">IF(AND($B$294=1,LEN($AK$272) * LEN($AK$264)&gt;0),$AK$272/$AK$264*100,HLOOKUP(INDIRECT(ADDRESS(2,COLUMN())),OFFSET($AT$2,0,0,ROW()-1,40),ROW()-1,FALSE))</f>
        <v>1.712328767</v>
      </c>
      <c r="AL150">
        <f ca="1">IF(AND($B$294=1,LEN($AL$272) * LEN($AL$264)&gt;0),$AL$272/$AL$264*100,HLOOKUP(INDIRECT(ADDRESS(2,COLUMN())),OFFSET($AT$2,0,0,ROW()-1,40),ROW()-1,FALSE))</f>
        <v>1.320132013</v>
      </c>
      <c r="AM150">
        <f ca="1">IF(AND($B$294=1,LEN($AM$272) * LEN($AM$264)&gt;0),$AM$272/$AM$264*100,HLOOKUP(INDIRECT(ADDRESS(2,COLUMN())),OFFSET($AT$2,0,0,ROW()-1,40),ROW()-1,FALSE))</f>
        <v>1.3223140499999999</v>
      </c>
      <c r="AN150">
        <f ca="1">IF(AND($B$294=1,LEN($AN$272) * LEN($AN$264)&gt;0),$AN$272/$AN$264*100,HLOOKUP(INDIRECT(ADDRESS(2,COLUMN())),OFFSET($AT$2,0,0,ROW()-1,40),ROW()-1,FALSE))</f>
        <v>4.060913706</v>
      </c>
      <c r="AO150">
        <f ca="1">IF(AND($B$294=1,LEN($AO$272) * LEN($AO$264)&gt;0),$AO$272/$AO$264*100,HLOOKUP(INDIRECT(ADDRESS(2,COLUMN())),OFFSET($AT$2,0,0,ROW()-1,40),ROW()-1,FALSE))</f>
        <v>3.9944903580000002</v>
      </c>
      <c r="AP150">
        <f ca="1">IF(AND($B$294=1,LEN($AP$272) * LEN($AP$264)&gt;0),$AP$272/$AP$264*100,HLOOKUP(INDIRECT(ADDRESS(2,COLUMN())),OFFSET($AT$2,0,0,ROW()-1,40),ROW()-1,FALSE))</f>
        <v>3.9563437929999998</v>
      </c>
      <c r="AQ150">
        <f ca="1">IF(AND($B$294=1,LEN($AQ$272) * LEN($AQ$264)&gt;0),$AQ$272/$AQ$264*100,HLOOKUP(INDIRECT(ADDRESS(2,COLUMN())),OFFSET($AT$2,0,0,ROW()-1,40),ROW()-1,FALSE))</f>
        <v>3.1088082899999998</v>
      </c>
      <c r="AR150">
        <f ca="1">IF(AND($B$294=1,LEN($AR$272) * LEN($AR$264)&gt;0),$AR$272/$AR$264*100,HLOOKUP(INDIRECT(ADDRESS(2,COLUMN())),OFFSET($AT$2,0,0,ROW()-1,40),ROW()-1,FALSE))</f>
        <v>3.2102728730000001</v>
      </c>
      <c r="AS150">
        <f ca="1">IF(AND($B$294=1,LEN($AS$272) * LEN($AS$264)&gt;0),$AS$272/$AS$264*100,HLOOKUP(INDIRECT(ADDRESS(2,COLUMN())),OFFSET($AT$2,0,0,ROW()-1,40),ROW()-1,FALSE))</f>
        <v>2.4432809770000001</v>
      </c>
      <c r="AT150">
        <f>0.13477089</f>
        <v>0.13477089</v>
      </c>
      <c r="AU150">
        <f>1.114206128</f>
        <v>1.114206128</v>
      </c>
      <c r="AV150">
        <f>1.245330012</f>
        <v>1.2453300119999999</v>
      </c>
      <c r="AW150">
        <f>1.01744186</f>
        <v>1.0174418599999999</v>
      </c>
      <c r="AX150">
        <f>1.073825503</f>
        <v>1.0738255029999999</v>
      </c>
      <c r="AY150">
        <f>1.083591331</f>
        <v>1.083591331</v>
      </c>
      <c r="AZ150">
        <f>0.465116279</f>
        <v>0.46511627900000002</v>
      </c>
      <c r="BA150">
        <f>1.628222524</f>
        <v>1.6282225239999999</v>
      </c>
      <c r="BB150">
        <f>0.290697674</f>
        <v>0.29069767400000002</v>
      </c>
      <c r="BC150">
        <f>0.27739251</f>
        <v>0.27739250999999998</v>
      </c>
      <c r="BD150">
        <f>0.827300931</f>
        <v>0.82730093100000002</v>
      </c>
      <c r="BE150">
        <f>1.692708333</f>
        <v>1.6927083329999999</v>
      </c>
      <c r="BF150">
        <f>0.726744186</f>
        <v>0.72674418600000001</v>
      </c>
      <c r="BG150">
        <f>0.998751561</f>
        <v>0.99875156099999995</v>
      </c>
      <c r="BH150">
        <f>1.477272727</f>
        <v>1.4772727269999999</v>
      </c>
      <c r="BI150">
        <f>1.965601966</f>
        <v>1.9656019659999999</v>
      </c>
      <c r="BJ150">
        <f>1.016949153</f>
        <v>1.0169491530000001</v>
      </c>
      <c r="BK150">
        <f>1.203007519</f>
        <v>1.203007519</v>
      </c>
      <c r="BL150">
        <f>0.762195122</f>
        <v>0.76219512199999995</v>
      </c>
      <c r="BM150">
        <f>1.973684211</f>
        <v>1.9736842109999999</v>
      </c>
      <c r="BN150">
        <f>1.661129568</f>
        <v>1.661129568</v>
      </c>
      <c r="BO150">
        <f>0.836820084</f>
        <v>0.83682008399999996</v>
      </c>
      <c r="BP150">
        <f>1.31147541</f>
        <v>1.3114754099999999</v>
      </c>
      <c r="BQ150">
        <f>0.825309491</f>
        <v>0.82530949099999995</v>
      </c>
      <c r="BR150">
        <f>2.298850575</f>
        <v>2.2988505749999999</v>
      </c>
      <c r="BS150">
        <f>0.152671756</f>
        <v>0.15267175599999999</v>
      </c>
      <c r="BT150">
        <f>3.565891473</f>
        <v>3.5658914730000002</v>
      </c>
      <c r="BU150">
        <f>2.183406114</f>
        <v>2.1834061139999998</v>
      </c>
      <c r="BV150">
        <f>1.430615165</f>
        <v>1.4306151650000001</v>
      </c>
      <c r="BW150">
        <f>2.086956522</f>
        <v>2.0869565219999999</v>
      </c>
      <c r="BX150">
        <f>0.771208226</f>
        <v>0.77120822600000005</v>
      </c>
      <c r="BY150">
        <f>1.712328767</f>
        <v>1.712328767</v>
      </c>
      <c r="BZ150">
        <f>1.320132013</f>
        <v>1.320132013</v>
      </c>
      <c r="CA150">
        <f>1.32231405</f>
        <v>1.3223140499999999</v>
      </c>
      <c r="CB150">
        <f>4.060913706</f>
        <v>4.060913706</v>
      </c>
      <c r="CC150">
        <f>3.994490358</f>
        <v>3.9944903580000002</v>
      </c>
      <c r="CD150">
        <f>3.956343793</f>
        <v>3.9563437929999998</v>
      </c>
      <c r="CE150">
        <f>3.10880829</f>
        <v>3.1088082899999998</v>
      </c>
      <c r="CF150">
        <f>3.210272873</f>
        <v>3.2102728730000001</v>
      </c>
      <c r="CG150">
        <f>2.443280977</f>
        <v>2.4432809770000001</v>
      </c>
    </row>
    <row r="151" spans="1:85" x14ac:dyDescent="0.25">
      <c r="A151" t="str">
        <f>"    Volvo"</f>
        <v xml:space="preserve">    Volvo</v>
      </c>
      <c r="B151" t="str">
        <f>"VOLVB SS Equity"</f>
        <v>VOLVB SS Equity</v>
      </c>
      <c r="E151" t="str">
        <f>"Sum"</f>
        <v>Sum</v>
      </c>
      <c r="F151" t="str">
        <f ca="1">IF(ISERROR(IF(SUM($F$152:$F$152) = 0, "", SUM($F$152:$F$152))), "", (IF(SUM($F$152:$F$152) = 0, "", SUM($F$152:$F$152))))</f>
        <v/>
      </c>
      <c r="G151" t="str">
        <f ca="1">IF(ISERROR(IF(SUM($G$152:$G$152) = 0, "", SUM($G$152:$G$152))), "", (IF(SUM($G$152:$G$152) = 0, "", SUM($G$152:$G$152))))</f>
        <v/>
      </c>
      <c r="H151" t="str">
        <f ca="1">IF(ISERROR(IF(SUM($H$152:$H$152) = 0, "", SUM($H$152:$H$152))), "", (IF(SUM($H$152:$H$152) = 0, "", SUM($H$152:$H$152))))</f>
        <v/>
      </c>
      <c r="I151" t="str">
        <f ca="1">IF(ISERROR(IF(SUM($I$152:$I$152) = 0, "", SUM($I$152:$I$152))), "", (IF(SUM($I$152:$I$152) = 0, "", SUM($I$152:$I$152))))</f>
        <v/>
      </c>
      <c r="J151" t="str">
        <f ca="1">IF(ISERROR(IF(SUM($J$152:$J$152) = 0, "", SUM($J$152:$J$152))), "", (IF(SUM($J$152:$J$152) = 0, "", SUM($J$152:$J$152))))</f>
        <v/>
      </c>
      <c r="K151" t="str">
        <f ca="1">IF(ISERROR(IF(SUM($K$152:$K$152) = 0, "", SUM($K$152:$K$152))), "", (IF(SUM($K$152:$K$152) = 0, "", SUM($K$152:$K$152))))</f>
        <v/>
      </c>
      <c r="L151" t="str">
        <f ca="1">IF(ISERROR(IF(SUM($L$152:$L$152) = 0, "", SUM($L$152:$L$152))), "", (IF(SUM($L$152:$L$152) = 0, "", SUM($L$152:$L$152))))</f>
        <v/>
      </c>
      <c r="M151" t="str">
        <f ca="1">IF(ISERROR(IF(SUM($M$152:$M$152) = 0, "", SUM($M$152:$M$152))), "", (IF(SUM($M$152:$M$152) = 0, "", SUM($M$152:$M$152))))</f>
        <v/>
      </c>
      <c r="N151" t="str">
        <f ca="1">IF(ISERROR(IF(SUM($N$152:$N$152) = 0, "", SUM($N$152:$N$152))), "", (IF(SUM($N$152:$N$152) = 0, "", SUM($N$152:$N$152))))</f>
        <v/>
      </c>
      <c r="O151" t="str">
        <f ca="1">IF(ISERROR(IF(SUM($O$152:$O$152) = 0, "", SUM($O$152:$O$152))), "", (IF(SUM($O$152:$O$152) = 0, "", SUM($O$152:$O$152))))</f>
        <v/>
      </c>
      <c r="P151" t="str">
        <f ca="1">IF(ISERROR(IF(SUM($P$152:$P$152) = 0, "", SUM($P$152:$P$152))), "", (IF(SUM($P$152:$P$152) = 0, "", SUM($P$152:$P$152))))</f>
        <v/>
      </c>
      <c r="Q151" t="str">
        <f ca="1">IF(ISERROR(IF(SUM($Q$152:$Q$152) = 0, "", SUM($Q$152:$Q$152))), "", (IF(SUM($Q$152:$Q$152) = 0, "", SUM($Q$152:$Q$152))))</f>
        <v/>
      </c>
      <c r="R151" t="str">
        <f ca="1">IF(ISERROR(IF(SUM($R$152:$R$152) = 0, "", SUM($R$152:$R$152))), "", (IF(SUM($R$152:$R$152) = 0, "", SUM($R$152:$R$152))))</f>
        <v/>
      </c>
      <c r="S151" t="str">
        <f ca="1">IF(ISERROR(IF(SUM($S$152:$S$152) = 0, "", SUM($S$152:$S$152))), "", (IF(SUM($S$152:$S$152) = 0, "", SUM($S$152:$S$152))))</f>
        <v/>
      </c>
      <c r="T151" t="str">
        <f ca="1">IF(ISERROR(IF(SUM($T$152:$T$152) = 0, "", SUM($T$152:$T$152))), "", (IF(SUM($T$152:$T$152) = 0, "", SUM($T$152:$T$152))))</f>
        <v/>
      </c>
      <c r="U151" t="str">
        <f ca="1">IF(ISERROR(IF(SUM($U$152:$U$152) = 0, "", SUM($U$152:$U$152))), "", (IF(SUM($U$152:$U$152) = 0, "", SUM($U$152:$U$152))))</f>
        <v/>
      </c>
      <c r="V151" t="str">
        <f ca="1">IF(ISERROR(IF(SUM($V$152:$V$152) = 0, "", SUM($V$152:$V$152))), "", (IF(SUM($V$152:$V$152) = 0, "", SUM($V$152:$V$152))))</f>
        <v/>
      </c>
      <c r="W151" t="str">
        <f ca="1">IF(ISERROR(IF(SUM($W$152:$W$152) = 0, "", SUM($W$152:$W$152))), "", (IF(SUM($W$152:$W$152) = 0, "", SUM($W$152:$W$152))))</f>
        <v/>
      </c>
      <c r="X151" t="str">
        <f ca="1">IF(ISERROR(IF(SUM($X$152:$X$152) = 0, "", SUM($X$152:$X$152))), "", (IF(SUM($X$152:$X$152) = 0, "", SUM($X$152:$X$152))))</f>
        <v/>
      </c>
      <c r="Y151" t="str">
        <f ca="1">IF(ISERROR(IF(SUM($Y$152:$Y$152) = 0, "", SUM($Y$152:$Y$152))), "", (IF(SUM($Y$152:$Y$152) = 0, "", SUM($Y$152:$Y$152))))</f>
        <v/>
      </c>
      <c r="Z151" t="str">
        <f ca="1">IF(ISERROR(IF(SUM($Z$152:$Z$152) = 0, "", SUM($Z$152:$Z$152))), "", (IF(SUM($Z$152:$Z$152) = 0, "", SUM($Z$152:$Z$152))))</f>
        <v/>
      </c>
      <c r="AA151" t="str">
        <f ca="1">IF(ISERROR(IF(SUM($AA$152:$AA$152) = 0, "", SUM($AA$152:$AA$152))), "", (IF(SUM($AA$152:$AA$152) = 0, "", SUM($AA$152:$AA$152))))</f>
        <v/>
      </c>
      <c r="AB151" t="str">
        <f ca="1">IF(ISERROR(IF(SUM($AB$152:$AB$152) = 0, "", SUM($AB$152:$AB$152))), "", (IF(SUM($AB$152:$AB$152) = 0, "", SUM($AB$152:$AB$152))))</f>
        <v/>
      </c>
      <c r="AC151" t="str">
        <f ca="1">IF(ISERROR(IF(SUM($AC$152:$AC$152) = 0, "", SUM($AC$152:$AC$152))), "", (IF(SUM($AC$152:$AC$152) = 0, "", SUM($AC$152:$AC$152))))</f>
        <v/>
      </c>
      <c r="AD151" t="str">
        <f ca="1">IF(ISERROR(IF(SUM($AD$152:$AD$152) = 0, "", SUM($AD$152:$AD$152))), "", (IF(SUM($AD$152:$AD$152) = 0, "", SUM($AD$152:$AD$152))))</f>
        <v/>
      </c>
      <c r="AE151" t="str">
        <f ca="1">IF(ISERROR(IF(SUM($AE$152:$AE$152) = 0, "", SUM($AE$152:$AE$152))), "", (IF(SUM($AE$152:$AE$152) = 0, "", SUM($AE$152:$AE$152))))</f>
        <v/>
      </c>
      <c r="AF151" t="str">
        <f ca="1">IF(ISERROR(IF(SUM($AF$152:$AF$152) = 0, "", SUM($AF$152:$AF$152))), "", (IF(SUM($AF$152:$AF$152) = 0, "", SUM($AF$152:$AF$152))))</f>
        <v/>
      </c>
      <c r="AG151" t="str">
        <f ca="1">IF(ISERROR(IF(SUM($AG$152:$AG$152) = 0, "", SUM($AG$152:$AG$152))), "", (IF(SUM($AG$152:$AG$152) = 0, "", SUM($AG$152:$AG$152))))</f>
        <v/>
      </c>
      <c r="AH151" t="str">
        <f ca="1">IF(ISERROR(IF(SUM($AH$152:$AH$152) = 0, "", SUM($AH$152:$AH$152))), "", (IF(SUM($AH$152:$AH$152) = 0, "", SUM($AH$152:$AH$152))))</f>
        <v/>
      </c>
      <c r="AI151" t="str">
        <f ca="1">IF(ISERROR(IF(SUM($AI$152:$AI$152) = 0, "", SUM($AI$152:$AI$152))), "", (IF(SUM($AI$152:$AI$152) = 0, "", SUM($AI$152:$AI$152))))</f>
        <v/>
      </c>
      <c r="AJ151" t="str">
        <f ca="1">IF(ISERROR(IF(SUM($AJ$152:$AJ$152) = 0, "", SUM($AJ$152:$AJ$152))), "", (IF(SUM($AJ$152:$AJ$152) = 0, "", SUM($AJ$152:$AJ$152))))</f>
        <v/>
      </c>
      <c r="AK151" t="str">
        <f ca="1">IF(ISERROR(IF(SUM($AK$152:$AK$152) = 0, "", SUM($AK$152:$AK$152))), "", (IF(SUM($AK$152:$AK$152) = 0, "", SUM($AK$152:$AK$152))))</f>
        <v/>
      </c>
      <c r="AL151" t="str">
        <f ca="1">IF(ISERROR(IF(SUM($AL$152:$AL$152) = 0, "", SUM($AL$152:$AL$152))), "", (IF(SUM($AL$152:$AL$152) = 0, "", SUM($AL$152:$AL$152))))</f>
        <v/>
      </c>
      <c r="AM151" t="str">
        <f ca="1">IF(ISERROR(IF(SUM($AM$152:$AM$152) = 0, "", SUM($AM$152:$AM$152))), "", (IF(SUM($AM$152:$AM$152) = 0, "", SUM($AM$152:$AM$152))))</f>
        <v/>
      </c>
      <c r="AN151" t="str">
        <f ca="1">IF(ISERROR(IF(SUM($AN$152:$AN$152) = 0, "", SUM($AN$152:$AN$152))), "", (IF(SUM($AN$152:$AN$152) = 0, "", SUM($AN$152:$AN$152))))</f>
        <v/>
      </c>
      <c r="AO151" t="str">
        <f ca="1">IF(ISERROR(IF(SUM($AO$152:$AO$152) = 0, "", SUM($AO$152:$AO$152))), "", (IF(SUM($AO$152:$AO$152) = 0, "", SUM($AO$152:$AO$152))))</f>
        <v/>
      </c>
      <c r="AP151" t="str">
        <f ca="1">IF(ISERROR(IF(SUM($AP$152:$AP$152) = 0, "", SUM($AP$152:$AP$152))), "", (IF(SUM($AP$152:$AP$152) = 0, "", SUM($AP$152:$AP$152))))</f>
        <v/>
      </c>
      <c r="AQ151" t="str">
        <f ca="1">IF(ISERROR(IF(SUM($AQ$152:$AQ$152) = 0, "", SUM($AQ$152:$AQ$152))), "", (IF(SUM($AQ$152:$AQ$152) = 0, "", SUM($AQ$152:$AQ$152))))</f>
        <v/>
      </c>
      <c r="AR151" t="str">
        <f ca="1">IF(ISERROR(IF(SUM($AR$152:$AR$152) = 0, "", SUM($AR$152:$AR$152))), "", (IF(SUM($AR$152:$AR$152) = 0, "", SUM($AR$152:$AR$152))))</f>
        <v/>
      </c>
      <c r="AS151" t="str">
        <f ca="1">IF(ISERROR(IF(SUM($AS$152:$AS$152) = 0, "", SUM($AS$152:$AS$152))), "", (IF(SUM($AS$152:$AS$152) = 0, "", SUM($AS$152:$AS$152))))</f>
        <v/>
      </c>
      <c r="AT151" t="str">
        <f>""</f>
        <v/>
      </c>
      <c r="AU151" t="str">
        <f>""</f>
        <v/>
      </c>
      <c r="AV151" t="str">
        <f>""</f>
        <v/>
      </c>
      <c r="AW151" t="str">
        <f>""</f>
        <v/>
      </c>
      <c r="AX151" t="str">
        <f>""</f>
        <v/>
      </c>
      <c r="AY151" t="str">
        <f>""</f>
        <v/>
      </c>
      <c r="AZ151" t="str">
        <f>""</f>
        <v/>
      </c>
      <c r="BA151" t="str">
        <f>""</f>
        <v/>
      </c>
      <c r="BB151" t="str">
        <f>""</f>
        <v/>
      </c>
      <c r="BC151" t="str">
        <f>""</f>
        <v/>
      </c>
      <c r="BD151" t="str">
        <f>""</f>
        <v/>
      </c>
      <c r="BE151" t="str">
        <f>""</f>
        <v/>
      </c>
      <c r="BF151" t="str">
        <f>""</f>
        <v/>
      </c>
      <c r="BG151" t="str">
        <f>""</f>
        <v/>
      </c>
      <c r="BH151" t="str">
        <f>""</f>
        <v/>
      </c>
      <c r="BI151" t="str">
        <f>""</f>
        <v/>
      </c>
      <c r="BJ151" t="str">
        <f>""</f>
        <v/>
      </c>
      <c r="BK151" t="str">
        <f>""</f>
        <v/>
      </c>
      <c r="BL151" t="str">
        <f>""</f>
        <v/>
      </c>
      <c r="BM151" t="str">
        <f>""</f>
        <v/>
      </c>
      <c r="BN151" t="str">
        <f>""</f>
        <v/>
      </c>
      <c r="BO151" t="str">
        <f>""</f>
        <v/>
      </c>
      <c r="BP151" t="str">
        <f>""</f>
        <v/>
      </c>
      <c r="BQ151" t="str">
        <f>""</f>
        <v/>
      </c>
      <c r="BR151" t="str">
        <f>""</f>
        <v/>
      </c>
      <c r="BS151" t="str">
        <f>""</f>
        <v/>
      </c>
      <c r="BT151" t="str">
        <f>""</f>
        <v/>
      </c>
      <c r="BU151" t="str">
        <f>""</f>
        <v/>
      </c>
      <c r="BV151" t="str">
        <f>""</f>
        <v/>
      </c>
      <c r="BW151" t="str">
        <f>""</f>
        <v/>
      </c>
      <c r="BX151" t="str">
        <f>""</f>
        <v/>
      </c>
      <c r="BY151" t="str">
        <f>""</f>
        <v/>
      </c>
      <c r="BZ151" t="str">
        <f>""</f>
        <v/>
      </c>
      <c r="CA151" t="str">
        <f>""</f>
        <v/>
      </c>
      <c r="CB151" t="str">
        <f>""</f>
        <v/>
      </c>
      <c r="CC151" t="str">
        <f>""</f>
        <v/>
      </c>
      <c r="CD151" t="str">
        <f>""</f>
        <v/>
      </c>
      <c r="CE151" t="str">
        <f>""</f>
        <v/>
      </c>
      <c r="CF151" t="str">
        <f>""</f>
        <v/>
      </c>
      <c r="CG151" t="str">
        <f>""</f>
        <v/>
      </c>
    </row>
    <row r="152" spans="1:85" x14ac:dyDescent="0.25">
      <c r="A152" t="str">
        <f>"        Volvo Truck"</f>
        <v xml:space="preserve">        Volvo Truck</v>
      </c>
      <c r="B152" t="str">
        <f>"VOLVB SS Equity"</f>
        <v>VOLVB SS Equity</v>
      </c>
      <c r="E152" t="str">
        <f>"Expression"</f>
        <v>Expression</v>
      </c>
      <c r="F152" t="str">
        <f ca="1">IF(AND($B$294=1,LEN($F$273) * LEN($F$264)&gt;0),$F$273/$F$264*100,HLOOKUP(INDIRECT(ADDRESS(2,COLUMN())),OFFSET($AT$2,0,0,ROW()-1,40),ROW()-1,FALSE))</f>
        <v/>
      </c>
      <c r="G152" t="str">
        <f ca="1">IF(AND($B$294=1,LEN($G$273) * LEN($G$264)&gt;0),$G$273/$G$264*100,HLOOKUP(INDIRECT(ADDRESS(2,COLUMN())),OFFSET($AT$2,0,0,ROW()-1,40),ROW()-1,FALSE))</f>
        <v/>
      </c>
      <c r="H152" t="str">
        <f ca="1">IF(AND($B$294=1,LEN($H$273) * LEN($H$264)&gt;0),$H$273/$H$264*100,HLOOKUP(INDIRECT(ADDRESS(2,COLUMN())),OFFSET($AT$2,0,0,ROW()-1,40),ROW()-1,FALSE))</f>
        <v/>
      </c>
      <c r="I152" t="str">
        <f ca="1">IF(AND($B$294=1,LEN($I$273) * LEN($I$264)&gt;0),$I$273/$I$264*100,HLOOKUP(INDIRECT(ADDRESS(2,COLUMN())),OFFSET($AT$2,0,0,ROW()-1,40),ROW()-1,FALSE))</f>
        <v/>
      </c>
      <c r="J152" t="str">
        <f ca="1">IF(AND($B$294=1,LEN($J$273) * LEN($J$264)&gt;0),$J$273/$J$264*100,HLOOKUP(INDIRECT(ADDRESS(2,COLUMN())),OFFSET($AT$2,0,0,ROW()-1,40),ROW()-1,FALSE))</f>
        <v/>
      </c>
      <c r="K152" t="str">
        <f ca="1">IF(AND($B$294=1,LEN($K$273) * LEN($K$264)&gt;0),$K$273/$K$264*100,HLOOKUP(INDIRECT(ADDRESS(2,COLUMN())),OFFSET($AT$2,0,0,ROW()-1,40),ROW()-1,FALSE))</f>
        <v/>
      </c>
      <c r="L152" t="str">
        <f ca="1">IF(AND($B$294=1,LEN($L$273) * LEN($L$264)&gt;0),$L$273/$L$264*100,HLOOKUP(INDIRECT(ADDRESS(2,COLUMN())),OFFSET($AT$2,0,0,ROW()-1,40),ROW()-1,FALSE))</f>
        <v/>
      </c>
      <c r="M152" t="str">
        <f ca="1">IF(AND($B$294=1,LEN($M$273) * LEN($M$264)&gt;0),$M$273/$M$264*100,HLOOKUP(INDIRECT(ADDRESS(2,COLUMN())),OFFSET($AT$2,0,0,ROW()-1,40),ROW()-1,FALSE))</f>
        <v/>
      </c>
      <c r="N152" t="str">
        <f ca="1">IF(AND($B$294=1,LEN($N$273) * LEN($N$264)&gt;0),$N$273/$N$264*100,HLOOKUP(INDIRECT(ADDRESS(2,COLUMN())),OFFSET($AT$2,0,0,ROW()-1,40),ROW()-1,FALSE))</f>
        <v/>
      </c>
      <c r="O152" t="str">
        <f ca="1">IF(AND($B$294=1,LEN($O$273) * LEN($O$264)&gt;0),$O$273/$O$264*100,HLOOKUP(INDIRECT(ADDRESS(2,COLUMN())),OFFSET($AT$2,0,0,ROW()-1,40),ROW()-1,FALSE))</f>
        <v/>
      </c>
      <c r="P152" t="str">
        <f ca="1">IF(AND($B$294=1,LEN($P$273) * LEN($P$264)&gt;0),$P$273/$P$264*100,HLOOKUP(INDIRECT(ADDRESS(2,COLUMN())),OFFSET($AT$2,0,0,ROW()-1,40),ROW()-1,FALSE))</f>
        <v/>
      </c>
      <c r="Q152" t="str">
        <f ca="1">IF(AND($B$294=1,LEN($Q$273) * LEN($Q$264)&gt;0),$Q$273/$Q$264*100,HLOOKUP(INDIRECT(ADDRESS(2,COLUMN())),OFFSET($AT$2,0,0,ROW()-1,40),ROW()-1,FALSE))</f>
        <v/>
      </c>
      <c r="R152" t="str">
        <f ca="1">IF(AND($B$294=1,LEN($R$273) * LEN($R$264)&gt;0),$R$273/$R$264*100,HLOOKUP(INDIRECT(ADDRESS(2,COLUMN())),OFFSET($AT$2,0,0,ROW()-1,40),ROW()-1,FALSE))</f>
        <v/>
      </c>
      <c r="S152" t="str">
        <f ca="1">IF(AND($B$294=1,LEN($S$273) * LEN($S$264)&gt;0),$S$273/$S$264*100,HLOOKUP(INDIRECT(ADDRESS(2,COLUMN())),OFFSET($AT$2,0,0,ROW()-1,40),ROW()-1,FALSE))</f>
        <v/>
      </c>
      <c r="T152" t="str">
        <f ca="1">IF(AND($B$294=1,LEN($T$273) * LEN($T$264)&gt;0),$T$273/$T$264*100,HLOOKUP(INDIRECT(ADDRESS(2,COLUMN())),OFFSET($AT$2,0,0,ROW()-1,40),ROW()-1,FALSE))</f>
        <v/>
      </c>
      <c r="U152" t="str">
        <f ca="1">IF(AND($B$294=1,LEN($U$273) * LEN($U$264)&gt;0),$U$273/$U$264*100,HLOOKUP(INDIRECT(ADDRESS(2,COLUMN())),OFFSET($AT$2,0,0,ROW()-1,40),ROW()-1,FALSE))</f>
        <v/>
      </c>
      <c r="V152" t="str">
        <f ca="1">IF(AND($B$294=1,LEN($V$273) * LEN($V$264)&gt;0),$V$273/$V$264*100,HLOOKUP(INDIRECT(ADDRESS(2,COLUMN())),OFFSET($AT$2,0,0,ROW()-1,40),ROW()-1,FALSE))</f>
        <v/>
      </c>
      <c r="W152" t="str">
        <f ca="1">IF(AND($B$294=1,LEN($W$273) * LEN($W$264)&gt;0),$W$273/$W$264*100,HLOOKUP(INDIRECT(ADDRESS(2,COLUMN())),OFFSET($AT$2,0,0,ROW()-1,40),ROW()-1,FALSE))</f>
        <v/>
      </c>
      <c r="X152" t="str">
        <f ca="1">IF(AND($B$294=1,LEN($X$273) * LEN($X$264)&gt;0),$X$273/$X$264*100,HLOOKUP(INDIRECT(ADDRESS(2,COLUMN())),OFFSET($AT$2,0,0,ROW()-1,40),ROW()-1,FALSE))</f>
        <v/>
      </c>
      <c r="Y152" t="str">
        <f ca="1">IF(AND($B$294=1,LEN($Y$273) * LEN($Y$264)&gt;0),$Y$273/$Y$264*100,HLOOKUP(INDIRECT(ADDRESS(2,COLUMN())),OFFSET($AT$2,0,0,ROW()-1,40),ROW()-1,FALSE))</f>
        <v/>
      </c>
      <c r="Z152" t="str">
        <f ca="1">IF(AND($B$294=1,LEN($Z$273) * LEN($Z$264)&gt;0),$Z$273/$Z$264*100,HLOOKUP(INDIRECT(ADDRESS(2,COLUMN())),OFFSET($AT$2,0,0,ROW()-1,40),ROW()-1,FALSE))</f>
        <v/>
      </c>
      <c r="AA152" t="str">
        <f ca="1">IF(AND($B$294=1,LEN($AA$273) * LEN($AA$264)&gt;0),$AA$273/$AA$264*100,HLOOKUP(INDIRECT(ADDRESS(2,COLUMN())),OFFSET($AT$2,0,0,ROW()-1,40),ROW()-1,FALSE))</f>
        <v/>
      </c>
      <c r="AB152" t="str">
        <f ca="1">IF(AND($B$294=1,LEN($AB$273) * LEN($AB$264)&gt;0),$AB$273/$AB$264*100,HLOOKUP(INDIRECT(ADDRESS(2,COLUMN())),OFFSET($AT$2,0,0,ROW()-1,40),ROW()-1,FALSE))</f>
        <v/>
      </c>
      <c r="AC152" t="str">
        <f ca="1">IF(AND($B$294=1,LEN($AC$273) * LEN($AC$264)&gt;0),$AC$273/$AC$264*100,HLOOKUP(INDIRECT(ADDRESS(2,COLUMN())),OFFSET($AT$2,0,0,ROW()-1,40),ROW()-1,FALSE))</f>
        <v/>
      </c>
      <c r="AD152" t="str">
        <f ca="1">IF(AND($B$294=1,LEN($AD$273) * LEN($AD$264)&gt;0),$AD$273/$AD$264*100,HLOOKUP(INDIRECT(ADDRESS(2,COLUMN())),OFFSET($AT$2,0,0,ROW()-1,40),ROW()-1,FALSE))</f>
        <v/>
      </c>
      <c r="AE152" t="str">
        <f ca="1">IF(AND($B$294=1,LEN($AE$273) * LEN($AE$264)&gt;0),$AE$273/$AE$264*100,HLOOKUP(INDIRECT(ADDRESS(2,COLUMN())),OFFSET($AT$2,0,0,ROW()-1,40),ROW()-1,FALSE))</f>
        <v/>
      </c>
      <c r="AF152" t="str">
        <f ca="1">IF(AND($B$294=1,LEN($AF$273) * LEN($AF$264)&gt;0),$AF$273/$AF$264*100,HLOOKUP(INDIRECT(ADDRESS(2,COLUMN())),OFFSET($AT$2,0,0,ROW()-1,40),ROW()-1,FALSE))</f>
        <v/>
      </c>
      <c r="AG152" t="str">
        <f ca="1">IF(AND($B$294=1,LEN($AG$273) * LEN($AG$264)&gt;0),$AG$273/$AG$264*100,HLOOKUP(INDIRECT(ADDRESS(2,COLUMN())),OFFSET($AT$2,0,0,ROW()-1,40),ROW()-1,FALSE))</f>
        <v/>
      </c>
      <c r="AH152" t="str">
        <f ca="1">IF(AND($B$294=1,LEN($AH$273) * LEN($AH$264)&gt;0),$AH$273/$AH$264*100,HLOOKUP(INDIRECT(ADDRESS(2,COLUMN())),OFFSET($AT$2,0,0,ROW()-1,40),ROW()-1,FALSE))</f>
        <v/>
      </c>
      <c r="AI152" t="str">
        <f ca="1">IF(AND($B$294=1,LEN($AI$273) * LEN($AI$264)&gt;0),$AI$273/$AI$264*100,HLOOKUP(INDIRECT(ADDRESS(2,COLUMN())),OFFSET($AT$2,0,0,ROW()-1,40),ROW()-1,FALSE))</f>
        <v/>
      </c>
      <c r="AJ152" t="str">
        <f ca="1">IF(AND($B$294=1,LEN($AJ$273) * LEN($AJ$264)&gt;0),$AJ$273/$AJ$264*100,HLOOKUP(INDIRECT(ADDRESS(2,COLUMN())),OFFSET($AT$2,0,0,ROW()-1,40),ROW()-1,FALSE))</f>
        <v/>
      </c>
      <c r="AK152" t="str">
        <f ca="1">IF(AND($B$294=1,LEN($AK$273) * LEN($AK$264)&gt;0),$AK$273/$AK$264*100,HLOOKUP(INDIRECT(ADDRESS(2,COLUMN())),OFFSET($AT$2,0,0,ROW()-1,40),ROW()-1,FALSE))</f>
        <v/>
      </c>
      <c r="AL152" t="str">
        <f ca="1">IF(AND($B$294=1,LEN($AL$273) * LEN($AL$264)&gt;0),$AL$273/$AL$264*100,HLOOKUP(INDIRECT(ADDRESS(2,COLUMN())),OFFSET($AT$2,0,0,ROW()-1,40),ROW()-1,FALSE))</f>
        <v/>
      </c>
      <c r="AM152" t="str">
        <f ca="1">IF(AND($B$294=1,LEN($AM$273) * LEN($AM$264)&gt;0),$AM$273/$AM$264*100,HLOOKUP(INDIRECT(ADDRESS(2,COLUMN())),OFFSET($AT$2,0,0,ROW()-1,40),ROW()-1,FALSE))</f>
        <v/>
      </c>
      <c r="AN152" t="str">
        <f ca="1">IF(AND($B$294=1,LEN($AN$273) * LEN($AN$264)&gt;0),$AN$273/$AN$264*100,HLOOKUP(INDIRECT(ADDRESS(2,COLUMN())),OFFSET($AT$2,0,0,ROW()-1,40),ROW()-1,FALSE))</f>
        <v/>
      </c>
      <c r="AO152" t="str">
        <f ca="1">IF(AND($B$294=1,LEN($AO$273) * LEN($AO$264)&gt;0),$AO$273/$AO$264*100,HLOOKUP(INDIRECT(ADDRESS(2,COLUMN())),OFFSET($AT$2,0,0,ROW()-1,40),ROW()-1,FALSE))</f>
        <v/>
      </c>
      <c r="AP152" t="str">
        <f ca="1">IF(AND($B$294=1,LEN($AP$273) * LEN($AP$264)&gt;0),$AP$273/$AP$264*100,HLOOKUP(INDIRECT(ADDRESS(2,COLUMN())),OFFSET($AT$2,0,0,ROW()-1,40),ROW()-1,FALSE))</f>
        <v/>
      </c>
      <c r="AQ152" t="str">
        <f ca="1">IF(AND($B$294=1,LEN($AQ$273) * LEN($AQ$264)&gt;0),$AQ$273/$AQ$264*100,HLOOKUP(INDIRECT(ADDRESS(2,COLUMN())),OFFSET($AT$2,0,0,ROW()-1,40),ROW()-1,FALSE))</f>
        <v/>
      </c>
      <c r="AR152" t="str">
        <f ca="1">IF(AND($B$294=1,LEN($AR$273) * LEN($AR$264)&gt;0),$AR$273/$AR$264*100,HLOOKUP(INDIRECT(ADDRESS(2,COLUMN())),OFFSET($AT$2,0,0,ROW()-1,40),ROW()-1,FALSE))</f>
        <v/>
      </c>
      <c r="AS152" t="str">
        <f ca="1">IF(AND($B$294=1,LEN($AS$273) * LEN($AS$264)&gt;0),$AS$273/$AS$264*100,HLOOKUP(INDIRECT(ADDRESS(2,COLUMN())),OFFSET($AT$2,0,0,ROW()-1,40),ROW()-1,FALSE))</f>
        <v/>
      </c>
      <c r="AT152" t="str">
        <f>""</f>
        <v/>
      </c>
      <c r="AU152" t="str">
        <f>""</f>
        <v/>
      </c>
      <c r="AV152" t="str">
        <f>""</f>
        <v/>
      </c>
      <c r="AW152" t="str">
        <f>""</f>
        <v/>
      </c>
      <c r="AX152" t="str">
        <f>""</f>
        <v/>
      </c>
      <c r="AY152" t="str">
        <f>""</f>
        <v/>
      </c>
      <c r="AZ152" t="str">
        <f>""</f>
        <v/>
      </c>
      <c r="BA152" t="str">
        <f>""</f>
        <v/>
      </c>
      <c r="BB152" t="str">
        <f>""</f>
        <v/>
      </c>
      <c r="BC152" t="str">
        <f>""</f>
        <v/>
      </c>
      <c r="BD152" t="str">
        <f>""</f>
        <v/>
      </c>
      <c r="BE152" t="str">
        <f>""</f>
        <v/>
      </c>
      <c r="BF152" t="str">
        <f>""</f>
        <v/>
      </c>
      <c r="BG152" t="str">
        <f>""</f>
        <v/>
      </c>
      <c r="BH152" t="str">
        <f>""</f>
        <v/>
      </c>
      <c r="BI152" t="str">
        <f>""</f>
        <v/>
      </c>
      <c r="BJ152" t="str">
        <f>""</f>
        <v/>
      </c>
      <c r="BK152" t="str">
        <f>""</f>
        <v/>
      </c>
      <c r="BL152" t="str">
        <f>""</f>
        <v/>
      </c>
      <c r="BM152" t="str">
        <f>""</f>
        <v/>
      </c>
      <c r="BN152" t="str">
        <f>""</f>
        <v/>
      </c>
      <c r="BO152" t="str">
        <f>""</f>
        <v/>
      </c>
      <c r="BP152" t="str">
        <f>""</f>
        <v/>
      </c>
      <c r="BQ152" t="str">
        <f>""</f>
        <v/>
      </c>
      <c r="BR152" t="str">
        <f>""</f>
        <v/>
      </c>
      <c r="BS152" t="str">
        <f>""</f>
        <v/>
      </c>
      <c r="BT152" t="str">
        <f>""</f>
        <v/>
      </c>
      <c r="BU152" t="str">
        <f>""</f>
        <v/>
      </c>
      <c r="BV152" t="str">
        <f>""</f>
        <v/>
      </c>
      <c r="BW152" t="str">
        <f>""</f>
        <v/>
      </c>
      <c r="BX152" t="str">
        <f>""</f>
        <v/>
      </c>
      <c r="BY152" t="str">
        <f>""</f>
        <v/>
      </c>
      <c r="BZ152" t="str">
        <f>""</f>
        <v/>
      </c>
      <c r="CA152" t="str">
        <f>""</f>
        <v/>
      </c>
      <c r="CB152" t="str">
        <f>""</f>
        <v/>
      </c>
      <c r="CC152" t="str">
        <f>""</f>
        <v/>
      </c>
      <c r="CD152" t="str">
        <f>""</f>
        <v/>
      </c>
      <c r="CE152" t="str">
        <f>""</f>
        <v/>
      </c>
      <c r="CF152" t="str">
        <f>""</f>
        <v/>
      </c>
      <c r="CG152" t="str">
        <f>""</f>
        <v/>
      </c>
    </row>
    <row r="153" spans="1:85" x14ac:dyDescent="0.25">
      <c r="A153" t="str">
        <f>"    General Motors"</f>
        <v xml:space="preserve">    General Motors</v>
      </c>
      <c r="B153" t="str">
        <f>"MTLQQ US Equity"</f>
        <v>MTLQQ US Equity</v>
      </c>
      <c r="E153" t="str">
        <f>"Sum"</f>
        <v>Sum</v>
      </c>
      <c r="F153" t="str">
        <f ca="1">IF(ISERROR(IF(SUM($F$154:$F$154) = 0, "", SUM($F$154:$F$154))), "", (IF(SUM($F$154:$F$154) = 0, "", SUM($F$154:$F$154))))</f>
        <v/>
      </c>
      <c r="G153" t="str">
        <f ca="1">IF(ISERROR(IF(SUM($G$154:$G$154) = 0, "", SUM($G$154:$G$154))), "", (IF(SUM($G$154:$G$154) = 0, "", SUM($G$154:$G$154))))</f>
        <v/>
      </c>
      <c r="H153" t="str">
        <f ca="1">IF(ISERROR(IF(SUM($H$154:$H$154) = 0, "", SUM($H$154:$H$154))), "", (IF(SUM($H$154:$H$154) = 0, "", SUM($H$154:$H$154))))</f>
        <v/>
      </c>
      <c r="I153" t="str">
        <f ca="1">IF(ISERROR(IF(SUM($I$154:$I$154) = 0, "", SUM($I$154:$I$154))), "", (IF(SUM($I$154:$I$154) = 0, "", SUM($I$154:$I$154))))</f>
        <v/>
      </c>
      <c r="J153" t="str">
        <f ca="1">IF(ISERROR(IF(SUM($J$154:$J$154) = 0, "", SUM($J$154:$J$154))), "", (IF(SUM($J$154:$J$154) = 0, "", SUM($J$154:$J$154))))</f>
        <v/>
      </c>
      <c r="K153" t="str">
        <f ca="1">IF(ISERROR(IF(SUM($K$154:$K$154) = 0, "", SUM($K$154:$K$154))), "", (IF(SUM($K$154:$K$154) = 0, "", SUM($K$154:$K$154))))</f>
        <v/>
      </c>
      <c r="L153" t="str">
        <f ca="1">IF(ISERROR(IF(SUM($L$154:$L$154) = 0, "", SUM($L$154:$L$154))), "", (IF(SUM($L$154:$L$154) = 0, "", SUM($L$154:$L$154))))</f>
        <v/>
      </c>
      <c r="M153" t="str">
        <f ca="1">IF(ISERROR(IF(SUM($M$154:$M$154) = 0, "", SUM($M$154:$M$154))), "", (IF(SUM($M$154:$M$154) = 0, "", SUM($M$154:$M$154))))</f>
        <v/>
      </c>
      <c r="N153" t="str">
        <f ca="1">IF(ISERROR(IF(SUM($N$154:$N$154) = 0, "", SUM($N$154:$N$154))), "", (IF(SUM($N$154:$N$154) = 0, "", SUM($N$154:$N$154))))</f>
        <v/>
      </c>
      <c r="O153" t="str">
        <f ca="1">IF(ISERROR(IF(SUM($O$154:$O$154) = 0, "", SUM($O$154:$O$154))), "", (IF(SUM($O$154:$O$154) = 0, "", SUM($O$154:$O$154))))</f>
        <v/>
      </c>
      <c r="P153" t="str">
        <f ca="1">IF(ISERROR(IF(SUM($P$154:$P$154) = 0, "", SUM($P$154:$P$154))), "", (IF(SUM($P$154:$P$154) = 0, "", SUM($P$154:$P$154))))</f>
        <v/>
      </c>
      <c r="Q153" t="str">
        <f ca="1">IF(ISERROR(IF(SUM($Q$154:$Q$154) = 0, "", SUM($Q$154:$Q$154))), "", (IF(SUM($Q$154:$Q$154) = 0, "", SUM($Q$154:$Q$154))))</f>
        <v/>
      </c>
      <c r="R153" t="str">
        <f ca="1">IF(ISERROR(IF(SUM($R$154:$R$154) = 0, "", SUM($R$154:$R$154))), "", (IF(SUM($R$154:$R$154) = 0, "", SUM($R$154:$R$154))))</f>
        <v/>
      </c>
      <c r="S153" t="str">
        <f ca="1">IF(ISERROR(IF(SUM($S$154:$S$154) = 0, "", SUM($S$154:$S$154))), "", (IF(SUM($S$154:$S$154) = 0, "", SUM($S$154:$S$154))))</f>
        <v/>
      </c>
      <c r="T153" t="str">
        <f ca="1">IF(ISERROR(IF(SUM($T$154:$T$154) = 0, "", SUM($T$154:$T$154))), "", (IF(SUM($T$154:$T$154) = 0, "", SUM($T$154:$T$154))))</f>
        <v/>
      </c>
      <c r="U153" t="str">
        <f ca="1">IF(ISERROR(IF(SUM($U$154:$U$154) = 0, "", SUM($U$154:$U$154))), "", (IF(SUM($U$154:$U$154) = 0, "", SUM($U$154:$U$154))))</f>
        <v/>
      </c>
      <c r="V153" t="str">
        <f ca="1">IF(ISERROR(IF(SUM($V$154:$V$154) = 0, "", SUM($V$154:$V$154))), "", (IF(SUM($V$154:$V$154) = 0, "", SUM($V$154:$V$154))))</f>
        <v/>
      </c>
      <c r="W153" t="str">
        <f ca="1">IF(ISERROR(IF(SUM($W$154:$W$154) = 0, "", SUM($W$154:$W$154))), "", (IF(SUM($W$154:$W$154) = 0, "", SUM($W$154:$W$154))))</f>
        <v/>
      </c>
      <c r="X153" t="str">
        <f ca="1">IF(ISERROR(IF(SUM($X$154:$X$154) = 0, "", SUM($X$154:$X$154))), "", (IF(SUM($X$154:$X$154) = 0, "", SUM($X$154:$X$154))))</f>
        <v/>
      </c>
      <c r="Y153" t="str">
        <f ca="1">IF(ISERROR(IF(SUM($Y$154:$Y$154) = 0, "", SUM($Y$154:$Y$154))), "", (IF(SUM($Y$154:$Y$154) = 0, "", SUM($Y$154:$Y$154))))</f>
        <v/>
      </c>
      <c r="Z153" t="str">
        <f ca="1">IF(ISERROR(IF(SUM($Z$154:$Z$154) = 0, "", SUM($Z$154:$Z$154))), "", (IF(SUM($Z$154:$Z$154) = 0, "", SUM($Z$154:$Z$154))))</f>
        <v/>
      </c>
      <c r="AA153" t="str">
        <f ca="1">IF(ISERROR(IF(SUM($AA$154:$AA$154) = 0, "", SUM($AA$154:$AA$154))), "", (IF(SUM($AA$154:$AA$154) = 0, "", SUM($AA$154:$AA$154))))</f>
        <v/>
      </c>
      <c r="AB153" t="str">
        <f ca="1">IF(ISERROR(IF(SUM($AB$154:$AB$154) = 0, "", SUM($AB$154:$AB$154))), "", (IF(SUM($AB$154:$AB$154) = 0, "", SUM($AB$154:$AB$154))))</f>
        <v/>
      </c>
      <c r="AC153" t="str">
        <f ca="1">IF(ISERROR(IF(SUM($AC$154:$AC$154) = 0, "", SUM($AC$154:$AC$154))), "", (IF(SUM($AC$154:$AC$154) = 0, "", SUM($AC$154:$AC$154))))</f>
        <v/>
      </c>
      <c r="AD153" t="str">
        <f ca="1">IF(ISERROR(IF(SUM($AD$154:$AD$154) = 0, "", SUM($AD$154:$AD$154))), "", (IF(SUM($AD$154:$AD$154) = 0, "", SUM($AD$154:$AD$154))))</f>
        <v/>
      </c>
      <c r="AE153" t="str">
        <f ca="1">IF(ISERROR(IF(SUM($AE$154:$AE$154) = 0, "", SUM($AE$154:$AE$154))), "", (IF(SUM($AE$154:$AE$154) = 0, "", SUM($AE$154:$AE$154))))</f>
        <v/>
      </c>
      <c r="AF153" t="str">
        <f ca="1">IF(ISERROR(IF(SUM($AF$154:$AF$154) = 0, "", SUM($AF$154:$AF$154))), "", (IF(SUM($AF$154:$AF$154) = 0, "", SUM($AF$154:$AF$154))))</f>
        <v/>
      </c>
      <c r="AG153" t="str">
        <f ca="1">IF(ISERROR(IF(SUM($AG$154:$AG$154) = 0, "", SUM($AG$154:$AG$154))), "", (IF(SUM($AG$154:$AG$154) = 0, "", SUM($AG$154:$AG$154))))</f>
        <v/>
      </c>
      <c r="AH153" t="str">
        <f ca="1">IF(ISERROR(IF(SUM($AH$154:$AH$154) = 0, "", SUM($AH$154:$AH$154))), "", (IF(SUM($AH$154:$AH$154) = 0, "", SUM($AH$154:$AH$154))))</f>
        <v/>
      </c>
      <c r="AI153" t="str">
        <f ca="1">IF(ISERROR(IF(SUM($AI$154:$AI$154) = 0, "", SUM($AI$154:$AI$154))), "", (IF(SUM($AI$154:$AI$154) = 0, "", SUM($AI$154:$AI$154))))</f>
        <v/>
      </c>
      <c r="AJ153" t="str">
        <f ca="1">IF(ISERROR(IF(SUM($AJ$154:$AJ$154) = 0, "", SUM($AJ$154:$AJ$154))), "", (IF(SUM($AJ$154:$AJ$154) = 0, "", SUM($AJ$154:$AJ$154))))</f>
        <v/>
      </c>
      <c r="AK153" t="str">
        <f ca="1">IF(ISERROR(IF(SUM($AK$154:$AK$154) = 0, "", SUM($AK$154:$AK$154))), "", (IF(SUM($AK$154:$AK$154) = 0, "", SUM($AK$154:$AK$154))))</f>
        <v/>
      </c>
      <c r="AL153" t="str">
        <f ca="1">IF(ISERROR(IF(SUM($AL$154:$AL$154) = 0, "", SUM($AL$154:$AL$154))), "", (IF(SUM($AL$154:$AL$154) = 0, "", SUM($AL$154:$AL$154))))</f>
        <v/>
      </c>
      <c r="AM153" t="str">
        <f ca="1">IF(ISERROR(IF(SUM($AM$154:$AM$154) = 0, "", SUM($AM$154:$AM$154))), "", (IF(SUM($AM$154:$AM$154) = 0, "", SUM($AM$154:$AM$154))))</f>
        <v/>
      </c>
      <c r="AN153" t="str">
        <f ca="1">IF(ISERROR(IF(SUM($AN$154:$AN$154) = 0, "", SUM($AN$154:$AN$154))), "", (IF(SUM($AN$154:$AN$154) = 0, "", SUM($AN$154:$AN$154))))</f>
        <v/>
      </c>
      <c r="AO153" t="str">
        <f ca="1">IF(ISERROR(IF(SUM($AO$154:$AO$154) = 0, "", SUM($AO$154:$AO$154))), "", (IF(SUM($AO$154:$AO$154) = 0, "", SUM($AO$154:$AO$154))))</f>
        <v/>
      </c>
      <c r="AP153" t="str">
        <f ca="1">IF(ISERROR(IF(SUM($AP$154:$AP$154) = 0, "", SUM($AP$154:$AP$154))), "", (IF(SUM($AP$154:$AP$154) = 0, "", SUM($AP$154:$AP$154))))</f>
        <v/>
      </c>
      <c r="AQ153" t="str">
        <f ca="1">IF(ISERROR(IF(SUM($AQ$154:$AQ$154) = 0, "", SUM($AQ$154:$AQ$154))), "", (IF(SUM($AQ$154:$AQ$154) = 0, "", SUM($AQ$154:$AQ$154))))</f>
        <v/>
      </c>
      <c r="AR153" t="str">
        <f ca="1">IF(ISERROR(IF(SUM($AR$154:$AR$154) = 0, "", SUM($AR$154:$AR$154))), "", (IF(SUM($AR$154:$AR$154) = 0, "", SUM($AR$154:$AR$154))))</f>
        <v/>
      </c>
      <c r="AS153" t="str">
        <f ca="1">IF(ISERROR(IF(SUM($AS$154:$AS$154) = 0, "", SUM($AS$154:$AS$154))), "", (IF(SUM($AS$154:$AS$154) = 0, "", SUM($AS$154:$AS$154))))</f>
        <v/>
      </c>
      <c r="AT153" t="str">
        <f>""</f>
        <v/>
      </c>
      <c r="AU153" t="str">
        <f>""</f>
        <v/>
      </c>
      <c r="AV153" t="str">
        <f>""</f>
        <v/>
      </c>
      <c r="AW153" t="str">
        <f>""</f>
        <v/>
      </c>
      <c r="AX153" t="str">
        <f>""</f>
        <v/>
      </c>
      <c r="AY153" t="str">
        <f>""</f>
        <v/>
      </c>
      <c r="AZ153" t="str">
        <f>""</f>
        <v/>
      </c>
      <c r="BA153" t="str">
        <f>""</f>
        <v/>
      </c>
      <c r="BB153" t="str">
        <f>""</f>
        <v/>
      </c>
      <c r="BC153" t="str">
        <f>""</f>
        <v/>
      </c>
      <c r="BD153" t="str">
        <f>""</f>
        <v/>
      </c>
      <c r="BE153" t="str">
        <f>""</f>
        <v/>
      </c>
      <c r="BF153" t="str">
        <f>""</f>
        <v/>
      </c>
      <c r="BG153" t="str">
        <f>""</f>
        <v/>
      </c>
      <c r="BH153" t="str">
        <f>""</f>
        <v/>
      </c>
      <c r="BI153" t="str">
        <f>""</f>
        <v/>
      </c>
      <c r="BJ153" t="str">
        <f>""</f>
        <v/>
      </c>
      <c r="BK153" t="str">
        <f>""</f>
        <v/>
      </c>
      <c r="BL153" t="str">
        <f>""</f>
        <v/>
      </c>
      <c r="BM153" t="str">
        <f>""</f>
        <v/>
      </c>
      <c r="BN153" t="str">
        <f>""</f>
        <v/>
      </c>
      <c r="BO153" t="str">
        <f>""</f>
        <v/>
      </c>
      <c r="BP153" t="str">
        <f>""</f>
        <v/>
      </c>
      <c r="BQ153" t="str">
        <f>""</f>
        <v/>
      </c>
      <c r="BR153" t="str">
        <f>""</f>
        <v/>
      </c>
      <c r="BS153" t="str">
        <f>""</f>
        <v/>
      </c>
      <c r="BT153" t="str">
        <f>""</f>
        <v/>
      </c>
      <c r="BU153" t="str">
        <f>""</f>
        <v/>
      </c>
      <c r="BV153" t="str">
        <f>""</f>
        <v/>
      </c>
      <c r="BW153" t="str">
        <f>""</f>
        <v/>
      </c>
      <c r="BX153" t="str">
        <f>""</f>
        <v/>
      </c>
      <c r="BY153" t="str">
        <f>""</f>
        <v/>
      </c>
      <c r="BZ153" t="str">
        <f>""</f>
        <v/>
      </c>
      <c r="CA153" t="str">
        <f>""</f>
        <v/>
      </c>
      <c r="CB153" t="str">
        <f>""</f>
        <v/>
      </c>
      <c r="CC153" t="str">
        <f>""</f>
        <v/>
      </c>
      <c r="CD153" t="str">
        <f>""</f>
        <v/>
      </c>
      <c r="CE153" t="str">
        <f>""</f>
        <v/>
      </c>
      <c r="CF153" t="str">
        <f>""</f>
        <v/>
      </c>
      <c r="CG153" t="str">
        <f>""</f>
        <v/>
      </c>
    </row>
    <row r="154" spans="1:85" x14ac:dyDescent="0.25">
      <c r="A154" t="str">
        <f>"        Chevrolet"</f>
        <v xml:space="preserve">        Chevrolet</v>
      </c>
      <c r="B154" t="str">
        <f>"MTLQQ US Equity"</f>
        <v>MTLQQ US Equity</v>
      </c>
      <c r="E154" t="str">
        <f>"Expression"</f>
        <v>Expression</v>
      </c>
      <c r="F154" t="str">
        <f ca="1">IF(AND($B$294=1,LEN($F$274) * LEN($F$264)&gt;0),$F$274/$F$264*100,HLOOKUP(INDIRECT(ADDRESS(2,COLUMN())),OFFSET($AT$2,0,0,ROW()-1,40),ROW()-1,FALSE))</f>
        <v/>
      </c>
      <c r="G154" t="str">
        <f ca="1">IF(AND($B$294=1,LEN($G$274) * LEN($G$264)&gt;0),$G$274/$G$264*100,HLOOKUP(INDIRECT(ADDRESS(2,COLUMN())),OFFSET($AT$2,0,0,ROW()-1,40),ROW()-1,FALSE))</f>
        <v/>
      </c>
      <c r="H154" t="str">
        <f ca="1">IF(AND($B$294=1,LEN($H$274) * LEN($H$264)&gt;0),$H$274/$H$264*100,HLOOKUP(INDIRECT(ADDRESS(2,COLUMN())),OFFSET($AT$2,0,0,ROW()-1,40),ROW()-1,FALSE))</f>
        <v/>
      </c>
      <c r="I154" t="str">
        <f ca="1">IF(AND($B$294=1,LEN($I$274) * LEN($I$264)&gt;0),$I$274/$I$264*100,HLOOKUP(INDIRECT(ADDRESS(2,COLUMN())),OFFSET($AT$2,0,0,ROW()-1,40),ROW()-1,FALSE))</f>
        <v/>
      </c>
      <c r="J154" t="str">
        <f ca="1">IF(AND($B$294=1,LEN($J$274) * LEN($J$264)&gt;0),$J$274/$J$264*100,HLOOKUP(INDIRECT(ADDRESS(2,COLUMN())),OFFSET($AT$2,0,0,ROW()-1,40),ROW()-1,FALSE))</f>
        <v/>
      </c>
      <c r="K154" t="str">
        <f ca="1">IF(AND($B$294=1,LEN($K$274) * LEN($K$264)&gt;0),$K$274/$K$264*100,HLOOKUP(INDIRECT(ADDRESS(2,COLUMN())),OFFSET($AT$2,0,0,ROW()-1,40),ROW()-1,FALSE))</f>
        <v/>
      </c>
      <c r="L154" t="str">
        <f ca="1">IF(AND($B$294=1,LEN($L$274) * LEN($L$264)&gt;0),$L$274/$L$264*100,HLOOKUP(INDIRECT(ADDRESS(2,COLUMN())),OFFSET($AT$2,0,0,ROW()-1,40),ROW()-1,FALSE))</f>
        <v/>
      </c>
      <c r="M154" t="str">
        <f ca="1">IF(AND($B$294=1,LEN($M$274) * LEN($M$264)&gt;0),$M$274/$M$264*100,HLOOKUP(INDIRECT(ADDRESS(2,COLUMN())),OFFSET($AT$2,0,0,ROW()-1,40),ROW()-1,FALSE))</f>
        <v/>
      </c>
      <c r="N154" t="str">
        <f ca="1">IF(AND($B$294=1,LEN($N$274) * LEN($N$264)&gt;0),$N$274/$N$264*100,HLOOKUP(INDIRECT(ADDRESS(2,COLUMN())),OFFSET($AT$2,0,0,ROW()-1,40),ROW()-1,FALSE))</f>
        <v/>
      </c>
      <c r="O154" t="str">
        <f ca="1">IF(AND($B$294=1,LEN($O$274) * LEN($O$264)&gt;0),$O$274/$O$264*100,HLOOKUP(INDIRECT(ADDRESS(2,COLUMN())),OFFSET($AT$2,0,0,ROW()-1,40),ROW()-1,FALSE))</f>
        <v/>
      </c>
      <c r="P154" t="str">
        <f ca="1">IF(AND($B$294=1,LEN($P$274) * LEN($P$264)&gt;0),$P$274/$P$264*100,HLOOKUP(INDIRECT(ADDRESS(2,COLUMN())),OFFSET($AT$2,0,0,ROW()-1,40),ROW()-1,FALSE))</f>
        <v/>
      </c>
      <c r="Q154" t="str">
        <f ca="1">IF(AND($B$294=1,LEN($Q$274) * LEN($Q$264)&gt;0),$Q$274/$Q$264*100,HLOOKUP(INDIRECT(ADDRESS(2,COLUMN())),OFFSET($AT$2,0,0,ROW()-1,40),ROW()-1,FALSE))</f>
        <v/>
      </c>
      <c r="R154" t="str">
        <f ca="1">IF(AND($B$294=1,LEN($R$274) * LEN($R$264)&gt;0),$R$274/$R$264*100,HLOOKUP(INDIRECT(ADDRESS(2,COLUMN())),OFFSET($AT$2,0,0,ROW()-1,40),ROW()-1,FALSE))</f>
        <v/>
      </c>
      <c r="S154" t="str">
        <f ca="1">IF(AND($B$294=1,LEN($S$274) * LEN($S$264)&gt;0),$S$274/$S$264*100,HLOOKUP(INDIRECT(ADDRESS(2,COLUMN())),OFFSET($AT$2,0,0,ROW()-1,40),ROW()-1,FALSE))</f>
        <v/>
      </c>
      <c r="T154" t="str">
        <f ca="1">IF(AND($B$294=1,LEN($T$274) * LEN($T$264)&gt;0),$T$274/$T$264*100,HLOOKUP(INDIRECT(ADDRESS(2,COLUMN())),OFFSET($AT$2,0,0,ROW()-1,40),ROW()-1,FALSE))</f>
        <v/>
      </c>
      <c r="U154" t="str">
        <f ca="1">IF(AND($B$294=1,LEN($U$274) * LEN($U$264)&gt;0),$U$274/$U$264*100,HLOOKUP(INDIRECT(ADDRESS(2,COLUMN())),OFFSET($AT$2,0,0,ROW()-1,40),ROW()-1,FALSE))</f>
        <v/>
      </c>
      <c r="V154" t="str">
        <f ca="1">IF(AND($B$294=1,LEN($V$274) * LEN($V$264)&gt;0),$V$274/$V$264*100,HLOOKUP(INDIRECT(ADDRESS(2,COLUMN())),OFFSET($AT$2,0,0,ROW()-1,40),ROW()-1,FALSE))</f>
        <v/>
      </c>
      <c r="W154" t="str">
        <f ca="1">IF(AND($B$294=1,LEN($W$274) * LEN($W$264)&gt;0),$W$274/$W$264*100,HLOOKUP(INDIRECT(ADDRESS(2,COLUMN())),OFFSET($AT$2,0,0,ROW()-1,40),ROW()-1,FALSE))</f>
        <v/>
      </c>
      <c r="X154" t="str">
        <f ca="1">IF(AND($B$294=1,LEN($X$274) * LEN($X$264)&gt;0),$X$274/$X$264*100,HLOOKUP(INDIRECT(ADDRESS(2,COLUMN())),OFFSET($AT$2,0,0,ROW()-1,40),ROW()-1,FALSE))</f>
        <v/>
      </c>
      <c r="Y154" t="str">
        <f ca="1">IF(AND($B$294=1,LEN($Y$274) * LEN($Y$264)&gt;0),$Y$274/$Y$264*100,HLOOKUP(INDIRECT(ADDRESS(2,COLUMN())),OFFSET($AT$2,0,0,ROW()-1,40),ROW()-1,FALSE))</f>
        <v/>
      </c>
      <c r="Z154" t="str">
        <f ca="1">IF(AND($B$294=1,LEN($Z$274) * LEN($Z$264)&gt;0),$Z$274/$Z$264*100,HLOOKUP(INDIRECT(ADDRESS(2,COLUMN())),OFFSET($AT$2,0,0,ROW()-1,40),ROW()-1,FALSE))</f>
        <v/>
      </c>
      <c r="AA154" t="str">
        <f ca="1">IF(AND($B$294=1,LEN($AA$274) * LEN($AA$264)&gt;0),$AA$274/$AA$264*100,HLOOKUP(INDIRECT(ADDRESS(2,COLUMN())),OFFSET($AT$2,0,0,ROW()-1,40),ROW()-1,FALSE))</f>
        <v/>
      </c>
      <c r="AB154" t="str">
        <f ca="1">IF(AND($B$294=1,LEN($AB$274) * LEN($AB$264)&gt;0),$AB$274/$AB$264*100,HLOOKUP(INDIRECT(ADDRESS(2,COLUMN())),OFFSET($AT$2,0,0,ROW()-1,40),ROW()-1,FALSE))</f>
        <v/>
      </c>
      <c r="AC154" t="str">
        <f ca="1">IF(AND($B$294=1,LEN($AC$274) * LEN($AC$264)&gt;0),$AC$274/$AC$264*100,HLOOKUP(INDIRECT(ADDRESS(2,COLUMN())),OFFSET($AT$2,0,0,ROW()-1,40),ROW()-1,FALSE))</f>
        <v/>
      </c>
      <c r="AD154" t="str">
        <f ca="1">IF(AND($B$294=1,LEN($AD$274) * LEN($AD$264)&gt;0),$AD$274/$AD$264*100,HLOOKUP(INDIRECT(ADDRESS(2,COLUMN())),OFFSET($AT$2,0,0,ROW()-1,40),ROW()-1,FALSE))</f>
        <v/>
      </c>
      <c r="AE154" t="str">
        <f ca="1">IF(AND($B$294=1,LEN($AE$274) * LEN($AE$264)&gt;0),$AE$274/$AE$264*100,HLOOKUP(INDIRECT(ADDRESS(2,COLUMN())),OFFSET($AT$2,0,0,ROW()-1,40),ROW()-1,FALSE))</f>
        <v/>
      </c>
      <c r="AF154" t="str">
        <f ca="1">IF(AND($B$294=1,LEN($AF$274) * LEN($AF$264)&gt;0),$AF$274/$AF$264*100,HLOOKUP(INDIRECT(ADDRESS(2,COLUMN())),OFFSET($AT$2,0,0,ROW()-1,40),ROW()-1,FALSE))</f>
        <v/>
      </c>
      <c r="AG154" t="str">
        <f ca="1">IF(AND($B$294=1,LEN($AG$274) * LEN($AG$264)&gt;0),$AG$274/$AG$264*100,HLOOKUP(INDIRECT(ADDRESS(2,COLUMN())),OFFSET($AT$2,0,0,ROW()-1,40),ROW()-1,FALSE))</f>
        <v/>
      </c>
      <c r="AH154" t="str">
        <f ca="1">IF(AND($B$294=1,LEN($AH$274) * LEN($AH$264)&gt;0),$AH$274/$AH$264*100,HLOOKUP(INDIRECT(ADDRESS(2,COLUMN())),OFFSET($AT$2,0,0,ROW()-1,40),ROW()-1,FALSE))</f>
        <v/>
      </c>
      <c r="AI154" t="str">
        <f ca="1">IF(AND($B$294=1,LEN($AI$274) * LEN($AI$264)&gt;0),$AI$274/$AI$264*100,HLOOKUP(INDIRECT(ADDRESS(2,COLUMN())),OFFSET($AT$2,0,0,ROW()-1,40),ROW()-1,FALSE))</f>
        <v/>
      </c>
      <c r="AJ154" t="str">
        <f ca="1">IF(AND($B$294=1,LEN($AJ$274) * LEN($AJ$264)&gt;0),$AJ$274/$AJ$264*100,HLOOKUP(INDIRECT(ADDRESS(2,COLUMN())),OFFSET($AT$2,0,0,ROW()-1,40),ROW()-1,FALSE))</f>
        <v/>
      </c>
      <c r="AK154" t="str">
        <f ca="1">IF(AND($B$294=1,LEN($AK$274) * LEN($AK$264)&gt;0),$AK$274/$AK$264*100,HLOOKUP(INDIRECT(ADDRESS(2,COLUMN())),OFFSET($AT$2,0,0,ROW()-1,40),ROW()-1,FALSE))</f>
        <v/>
      </c>
      <c r="AL154" t="str">
        <f ca="1">IF(AND($B$294=1,LEN($AL$274) * LEN($AL$264)&gt;0),$AL$274/$AL$264*100,HLOOKUP(INDIRECT(ADDRESS(2,COLUMN())),OFFSET($AT$2,0,0,ROW()-1,40),ROW()-1,FALSE))</f>
        <v/>
      </c>
      <c r="AM154" t="str">
        <f ca="1">IF(AND($B$294=1,LEN($AM$274) * LEN($AM$264)&gt;0),$AM$274/$AM$264*100,HLOOKUP(INDIRECT(ADDRESS(2,COLUMN())),OFFSET($AT$2,0,0,ROW()-1,40),ROW()-1,FALSE))</f>
        <v/>
      </c>
      <c r="AN154" t="str">
        <f ca="1">IF(AND($B$294=1,LEN($AN$274) * LEN($AN$264)&gt;0),$AN$274/$AN$264*100,HLOOKUP(INDIRECT(ADDRESS(2,COLUMN())),OFFSET($AT$2,0,0,ROW()-1,40),ROW()-1,FALSE))</f>
        <v/>
      </c>
      <c r="AO154" t="str">
        <f ca="1">IF(AND($B$294=1,LEN($AO$274) * LEN($AO$264)&gt;0),$AO$274/$AO$264*100,HLOOKUP(INDIRECT(ADDRESS(2,COLUMN())),OFFSET($AT$2,0,0,ROW()-1,40),ROW()-1,FALSE))</f>
        <v/>
      </c>
      <c r="AP154" t="str">
        <f ca="1">IF(AND($B$294=1,LEN($AP$274) * LEN($AP$264)&gt;0),$AP$274/$AP$264*100,HLOOKUP(INDIRECT(ADDRESS(2,COLUMN())),OFFSET($AT$2,0,0,ROW()-1,40),ROW()-1,FALSE))</f>
        <v/>
      </c>
      <c r="AQ154" t="str">
        <f ca="1">IF(AND($B$294=1,LEN($AQ$274) * LEN($AQ$264)&gt;0),$AQ$274/$AQ$264*100,HLOOKUP(INDIRECT(ADDRESS(2,COLUMN())),OFFSET($AT$2,0,0,ROW()-1,40),ROW()-1,FALSE))</f>
        <v/>
      </c>
      <c r="AR154" t="str">
        <f ca="1">IF(AND($B$294=1,LEN($AR$274) * LEN($AR$264)&gt;0),$AR$274/$AR$264*100,HLOOKUP(INDIRECT(ADDRESS(2,COLUMN())),OFFSET($AT$2,0,0,ROW()-1,40),ROW()-1,FALSE))</f>
        <v/>
      </c>
      <c r="AS154" t="str">
        <f ca="1">IF(AND($B$294=1,LEN($AS$274) * LEN($AS$264)&gt;0),$AS$274/$AS$264*100,HLOOKUP(INDIRECT(ADDRESS(2,COLUMN())),OFFSET($AT$2,0,0,ROW()-1,40),ROW()-1,FALSE))</f>
        <v/>
      </c>
      <c r="AT154" t="str">
        <f>""</f>
        <v/>
      </c>
      <c r="AU154" t="str">
        <f>""</f>
        <v/>
      </c>
      <c r="AV154" t="str">
        <f>""</f>
        <v/>
      </c>
      <c r="AW154" t="str">
        <f>""</f>
        <v/>
      </c>
      <c r="AX154" t="str">
        <f>""</f>
        <v/>
      </c>
      <c r="AY154" t="str">
        <f>""</f>
        <v/>
      </c>
      <c r="AZ154" t="str">
        <f>""</f>
        <v/>
      </c>
      <c r="BA154" t="str">
        <f>""</f>
        <v/>
      </c>
      <c r="BB154" t="str">
        <f>""</f>
        <v/>
      </c>
      <c r="BC154" t="str">
        <f>""</f>
        <v/>
      </c>
      <c r="BD154" t="str">
        <f>""</f>
        <v/>
      </c>
      <c r="BE154" t="str">
        <f>""</f>
        <v/>
      </c>
      <c r="BF154" t="str">
        <f>""</f>
        <v/>
      </c>
      <c r="BG154" t="str">
        <f>""</f>
        <v/>
      </c>
      <c r="BH154" t="str">
        <f>""</f>
        <v/>
      </c>
      <c r="BI154" t="str">
        <f>""</f>
        <v/>
      </c>
      <c r="BJ154" t="str">
        <f>""</f>
        <v/>
      </c>
      <c r="BK154" t="str">
        <f>""</f>
        <v/>
      </c>
      <c r="BL154" t="str">
        <f>""</f>
        <v/>
      </c>
      <c r="BM154" t="str">
        <f>""</f>
        <v/>
      </c>
      <c r="BN154" t="str">
        <f>""</f>
        <v/>
      </c>
      <c r="BO154" t="str">
        <f>""</f>
        <v/>
      </c>
      <c r="BP154" t="str">
        <f>""</f>
        <v/>
      </c>
      <c r="BQ154" t="str">
        <f>""</f>
        <v/>
      </c>
      <c r="BR154" t="str">
        <f>""</f>
        <v/>
      </c>
      <c r="BS154" t="str">
        <f>""</f>
        <v/>
      </c>
      <c r="BT154" t="str">
        <f>""</f>
        <v/>
      </c>
      <c r="BU154" t="str">
        <f>""</f>
        <v/>
      </c>
      <c r="BV154" t="str">
        <f>""</f>
        <v/>
      </c>
      <c r="BW154" t="str">
        <f>""</f>
        <v/>
      </c>
      <c r="BX154" t="str">
        <f>""</f>
        <v/>
      </c>
      <c r="BY154" t="str">
        <f>""</f>
        <v/>
      </c>
      <c r="BZ154" t="str">
        <f>""</f>
        <v/>
      </c>
      <c r="CA154" t="str">
        <f>""</f>
        <v/>
      </c>
      <c r="CB154" t="str">
        <f>""</f>
        <v/>
      </c>
      <c r="CC154" t="str">
        <f>""</f>
        <v/>
      </c>
      <c r="CD154" t="str">
        <f>""</f>
        <v/>
      </c>
      <c r="CE154" t="str">
        <f>""</f>
        <v/>
      </c>
      <c r="CF154" t="str">
        <f>""</f>
        <v/>
      </c>
      <c r="CG154" t="str">
        <f>""</f>
        <v/>
      </c>
    </row>
    <row r="155" spans="1:85" x14ac:dyDescent="0.25">
      <c r="A155" t="str">
        <f>"    Scania"</f>
        <v xml:space="preserve">    Scania</v>
      </c>
      <c r="B155" t="str">
        <f>"SCVB SS Equity"</f>
        <v>SCVB SS Equity</v>
      </c>
      <c r="E155" t="str">
        <f>"Expression"</f>
        <v>Expression</v>
      </c>
      <c r="F155" t="str">
        <f ca="1">IF(AND($B$294=1,LEN($F$277) * LEN($F$264)&gt;0),$F$277/$F$264*100,HLOOKUP(INDIRECT(ADDRESS(2,COLUMN())),OFFSET($AT$2,0,0,ROW()-1,40),ROW()-1,FALSE))</f>
        <v/>
      </c>
      <c r="G155" t="str">
        <f ca="1">IF(AND($B$294=1,LEN($G$277) * LEN($G$264)&gt;0),$G$277/$G$264*100,HLOOKUP(INDIRECT(ADDRESS(2,COLUMN())),OFFSET($AT$2,0,0,ROW()-1,40),ROW()-1,FALSE))</f>
        <v/>
      </c>
      <c r="H155" t="str">
        <f ca="1">IF(AND($B$294=1,LEN($H$277) * LEN($H$264)&gt;0),$H$277/$H$264*100,HLOOKUP(INDIRECT(ADDRESS(2,COLUMN())),OFFSET($AT$2,0,0,ROW()-1,40),ROW()-1,FALSE))</f>
        <v/>
      </c>
      <c r="I155" t="str">
        <f ca="1">IF(AND($B$294=1,LEN($I$277) * LEN($I$264)&gt;0),$I$277/$I$264*100,HLOOKUP(INDIRECT(ADDRESS(2,COLUMN())),OFFSET($AT$2,0,0,ROW()-1,40),ROW()-1,FALSE))</f>
        <v/>
      </c>
      <c r="J155" t="str">
        <f ca="1">IF(AND($B$294=1,LEN($J$277) * LEN($J$264)&gt;0),$J$277/$J$264*100,HLOOKUP(INDIRECT(ADDRESS(2,COLUMN())),OFFSET($AT$2,0,0,ROW()-1,40),ROW()-1,FALSE))</f>
        <v/>
      </c>
      <c r="K155" t="str">
        <f ca="1">IF(AND($B$294=1,LEN($K$277) * LEN($K$264)&gt;0),$K$277/$K$264*100,HLOOKUP(INDIRECT(ADDRESS(2,COLUMN())),OFFSET($AT$2,0,0,ROW()-1,40),ROW()-1,FALSE))</f>
        <v/>
      </c>
      <c r="L155" t="str">
        <f ca="1">IF(AND($B$294=1,LEN($L$277) * LEN($L$264)&gt;0),$L$277/$L$264*100,HLOOKUP(INDIRECT(ADDRESS(2,COLUMN())),OFFSET($AT$2,0,0,ROW()-1,40),ROW()-1,FALSE))</f>
        <v/>
      </c>
      <c r="M155" t="str">
        <f ca="1">IF(AND($B$294=1,LEN($M$277) * LEN($M$264)&gt;0),$M$277/$M$264*100,HLOOKUP(INDIRECT(ADDRESS(2,COLUMN())),OFFSET($AT$2,0,0,ROW()-1,40),ROW()-1,FALSE))</f>
        <v/>
      </c>
      <c r="N155" t="str">
        <f ca="1">IF(AND($B$294=1,LEN($N$277) * LEN($N$264)&gt;0),$N$277/$N$264*100,HLOOKUP(INDIRECT(ADDRESS(2,COLUMN())),OFFSET($AT$2,0,0,ROW()-1,40),ROW()-1,FALSE))</f>
        <v/>
      </c>
      <c r="O155" t="str">
        <f ca="1">IF(AND($B$294=1,LEN($O$277) * LEN($O$264)&gt;0),$O$277/$O$264*100,HLOOKUP(INDIRECT(ADDRESS(2,COLUMN())),OFFSET($AT$2,0,0,ROW()-1,40),ROW()-1,FALSE))</f>
        <v/>
      </c>
      <c r="P155" t="str">
        <f ca="1">IF(AND($B$294=1,LEN($P$277) * LEN($P$264)&gt;0),$P$277/$P$264*100,HLOOKUP(INDIRECT(ADDRESS(2,COLUMN())),OFFSET($AT$2,0,0,ROW()-1,40),ROW()-1,FALSE))</f>
        <v/>
      </c>
      <c r="Q155" t="str">
        <f ca="1">IF(AND($B$294=1,LEN($Q$277) * LEN($Q$264)&gt;0),$Q$277/$Q$264*100,HLOOKUP(INDIRECT(ADDRESS(2,COLUMN())),OFFSET($AT$2,0,0,ROW()-1,40),ROW()-1,FALSE))</f>
        <v/>
      </c>
      <c r="R155" t="str">
        <f ca="1">IF(AND($B$294=1,LEN($R$277) * LEN($R$264)&gt;0),$R$277/$R$264*100,HLOOKUP(INDIRECT(ADDRESS(2,COLUMN())),OFFSET($AT$2,0,0,ROW()-1,40),ROW()-1,FALSE))</f>
        <v/>
      </c>
      <c r="S155" t="str">
        <f ca="1">IF(AND($B$294=1,LEN($S$277) * LEN($S$264)&gt;0),$S$277/$S$264*100,HLOOKUP(INDIRECT(ADDRESS(2,COLUMN())),OFFSET($AT$2,0,0,ROW()-1,40),ROW()-1,FALSE))</f>
        <v/>
      </c>
      <c r="T155" t="str">
        <f ca="1">IF(AND($B$294=1,LEN($T$277) * LEN($T$264)&gt;0),$T$277/$T$264*100,HLOOKUP(INDIRECT(ADDRESS(2,COLUMN())),OFFSET($AT$2,0,0,ROW()-1,40),ROW()-1,FALSE))</f>
        <v/>
      </c>
      <c r="U155" t="str">
        <f ca="1">IF(AND($B$294=1,LEN($U$277) * LEN($U$264)&gt;0),$U$277/$U$264*100,HLOOKUP(INDIRECT(ADDRESS(2,COLUMN())),OFFSET($AT$2,0,0,ROW()-1,40),ROW()-1,FALSE))</f>
        <v/>
      </c>
      <c r="V155" t="str">
        <f ca="1">IF(AND($B$294=1,LEN($V$277) * LEN($V$264)&gt;0),$V$277/$V$264*100,HLOOKUP(INDIRECT(ADDRESS(2,COLUMN())),OFFSET($AT$2,0,0,ROW()-1,40),ROW()-1,FALSE))</f>
        <v/>
      </c>
      <c r="W155" t="str">
        <f ca="1">IF(AND($B$294=1,LEN($W$277) * LEN($W$264)&gt;0),$W$277/$W$264*100,HLOOKUP(INDIRECT(ADDRESS(2,COLUMN())),OFFSET($AT$2,0,0,ROW()-1,40),ROW()-1,FALSE))</f>
        <v/>
      </c>
      <c r="X155" t="str">
        <f ca="1">IF(AND($B$294=1,LEN($X$277) * LEN($X$264)&gt;0),$X$277/$X$264*100,HLOOKUP(INDIRECT(ADDRESS(2,COLUMN())),OFFSET($AT$2,0,0,ROW()-1,40),ROW()-1,FALSE))</f>
        <v/>
      </c>
      <c r="Y155" t="str">
        <f ca="1">IF(AND($B$294=1,LEN($Y$277) * LEN($Y$264)&gt;0),$Y$277/$Y$264*100,HLOOKUP(INDIRECT(ADDRESS(2,COLUMN())),OFFSET($AT$2,0,0,ROW()-1,40),ROW()-1,FALSE))</f>
        <v/>
      </c>
      <c r="Z155" t="str">
        <f ca="1">IF(AND($B$294=1,LEN($Z$277) * LEN($Z$264)&gt;0),$Z$277/$Z$264*100,HLOOKUP(INDIRECT(ADDRESS(2,COLUMN())),OFFSET($AT$2,0,0,ROW()-1,40),ROW()-1,FALSE))</f>
        <v/>
      </c>
      <c r="AA155" t="str">
        <f ca="1">IF(AND($B$294=1,LEN($AA$277) * LEN($AA$264)&gt;0),$AA$277/$AA$264*100,HLOOKUP(INDIRECT(ADDRESS(2,COLUMN())),OFFSET($AT$2,0,0,ROW()-1,40),ROW()-1,FALSE))</f>
        <v/>
      </c>
      <c r="AB155" t="str">
        <f ca="1">IF(AND($B$294=1,LEN($AB$277) * LEN($AB$264)&gt;0),$AB$277/$AB$264*100,HLOOKUP(INDIRECT(ADDRESS(2,COLUMN())),OFFSET($AT$2,0,0,ROW()-1,40),ROW()-1,FALSE))</f>
        <v/>
      </c>
      <c r="AC155" t="str">
        <f ca="1">IF(AND($B$294=1,LEN($AC$277) * LEN($AC$264)&gt;0),$AC$277/$AC$264*100,HLOOKUP(INDIRECT(ADDRESS(2,COLUMN())),OFFSET($AT$2,0,0,ROW()-1,40),ROW()-1,FALSE))</f>
        <v/>
      </c>
      <c r="AD155" t="str">
        <f ca="1">IF(AND($B$294=1,LEN($AD$277) * LEN($AD$264)&gt;0),$AD$277/$AD$264*100,HLOOKUP(INDIRECT(ADDRESS(2,COLUMN())),OFFSET($AT$2,0,0,ROW()-1,40),ROW()-1,FALSE))</f>
        <v/>
      </c>
      <c r="AE155" t="str">
        <f ca="1">IF(AND($B$294=1,LEN($AE$277) * LEN($AE$264)&gt;0),$AE$277/$AE$264*100,HLOOKUP(INDIRECT(ADDRESS(2,COLUMN())),OFFSET($AT$2,0,0,ROW()-1,40),ROW()-1,FALSE))</f>
        <v/>
      </c>
      <c r="AF155" t="str">
        <f ca="1">IF(AND($B$294=1,LEN($AF$277) * LEN($AF$264)&gt;0),$AF$277/$AF$264*100,HLOOKUP(INDIRECT(ADDRESS(2,COLUMN())),OFFSET($AT$2,0,0,ROW()-1,40),ROW()-1,FALSE))</f>
        <v/>
      </c>
      <c r="AG155" t="str">
        <f ca="1">IF(AND($B$294=1,LEN($AG$277) * LEN($AG$264)&gt;0),$AG$277/$AG$264*100,HLOOKUP(INDIRECT(ADDRESS(2,COLUMN())),OFFSET($AT$2,0,0,ROW()-1,40),ROW()-1,FALSE))</f>
        <v/>
      </c>
      <c r="AH155" t="str">
        <f ca="1">IF(AND($B$294=1,LEN($AH$277) * LEN($AH$264)&gt;0),$AH$277/$AH$264*100,HLOOKUP(INDIRECT(ADDRESS(2,COLUMN())),OFFSET($AT$2,0,0,ROW()-1,40),ROW()-1,FALSE))</f>
        <v/>
      </c>
      <c r="AI155" t="str">
        <f ca="1">IF(AND($B$294=1,LEN($AI$277) * LEN($AI$264)&gt;0),$AI$277/$AI$264*100,HLOOKUP(INDIRECT(ADDRESS(2,COLUMN())),OFFSET($AT$2,0,0,ROW()-1,40),ROW()-1,FALSE))</f>
        <v/>
      </c>
      <c r="AJ155" t="str">
        <f ca="1">IF(AND($B$294=1,LEN($AJ$277) * LEN($AJ$264)&gt;0),$AJ$277/$AJ$264*100,HLOOKUP(INDIRECT(ADDRESS(2,COLUMN())),OFFSET($AT$2,0,0,ROW()-1,40),ROW()-1,FALSE))</f>
        <v/>
      </c>
      <c r="AK155" t="str">
        <f ca="1">IF(AND($B$294=1,LEN($AK$277) * LEN($AK$264)&gt;0),$AK$277/$AK$264*100,HLOOKUP(INDIRECT(ADDRESS(2,COLUMN())),OFFSET($AT$2,0,0,ROW()-1,40),ROW()-1,FALSE))</f>
        <v/>
      </c>
      <c r="AL155" t="str">
        <f ca="1">IF(AND($B$294=1,LEN($AL$277) * LEN($AL$264)&gt;0),$AL$277/$AL$264*100,HLOOKUP(INDIRECT(ADDRESS(2,COLUMN())),OFFSET($AT$2,0,0,ROW()-1,40),ROW()-1,FALSE))</f>
        <v/>
      </c>
      <c r="AM155" t="str">
        <f ca="1">IF(AND($B$294=1,LEN($AM$277) * LEN($AM$264)&gt;0),$AM$277/$AM$264*100,HLOOKUP(INDIRECT(ADDRESS(2,COLUMN())),OFFSET($AT$2,0,0,ROW()-1,40),ROW()-1,FALSE))</f>
        <v/>
      </c>
      <c r="AN155" t="str">
        <f ca="1">IF(AND($B$294=1,LEN($AN$277) * LEN($AN$264)&gt;0),$AN$277/$AN$264*100,HLOOKUP(INDIRECT(ADDRESS(2,COLUMN())),OFFSET($AT$2,0,0,ROW()-1,40),ROW()-1,FALSE))</f>
        <v/>
      </c>
      <c r="AO155" t="str">
        <f ca="1">IF(AND($B$294=1,LEN($AO$277) * LEN($AO$264)&gt;0),$AO$277/$AO$264*100,HLOOKUP(INDIRECT(ADDRESS(2,COLUMN())),OFFSET($AT$2,0,0,ROW()-1,40),ROW()-1,FALSE))</f>
        <v/>
      </c>
      <c r="AP155" t="str">
        <f ca="1">IF(AND($B$294=1,LEN($AP$277) * LEN($AP$264)&gt;0),$AP$277/$AP$264*100,HLOOKUP(INDIRECT(ADDRESS(2,COLUMN())),OFFSET($AT$2,0,0,ROW()-1,40),ROW()-1,FALSE))</f>
        <v/>
      </c>
      <c r="AQ155" t="str">
        <f ca="1">IF(AND($B$294=1,LEN($AQ$277) * LEN($AQ$264)&gt;0),$AQ$277/$AQ$264*100,HLOOKUP(INDIRECT(ADDRESS(2,COLUMN())),OFFSET($AT$2,0,0,ROW()-1,40),ROW()-1,FALSE))</f>
        <v/>
      </c>
      <c r="AR155" t="str">
        <f ca="1">IF(AND($B$294=1,LEN($AR$277) * LEN($AR$264)&gt;0),$AR$277/$AR$264*100,HLOOKUP(INDIRECT(ADDRESS(2,COLUMN())),OFFSET($AT$2,0,0,ROW()-1,40),ROW()-1,FALSE))</f>
        <v/>
      </c>
      <c r="AS155" t="str">
        <f ca="1">IF(AND($B$294=1,LEN($AS$277) * LEN($AS$264)&gt;0),$AS$277/$AS$264*100,HLOOKUP(INDIRECT(ADDRESS(2,COLUMN())),OFFSET($AT$2,0,0,ROW()-1,40),ROW()-1,FALSE))</f>
        <v/>
      </c>
      <c r="AT155" t="str">
        <f>""</f>
        <v/>
      </c>
      <c r="AU155" t="str">
        <f>""</f>
        <v/>
      </c>
      <c r="AV155" t="str">
        <f>""</f>
        <v/>
      </c>
      <c r="AW155" t="str">
        <f>""</f>
        <v/>
      </c>
      <c r="AX155" t="str">
        <f>""</f>
        <v/>
      </c>
      <c r="AY155" t="str">
        <f>""</f>
        <v/>
      </c>
      <c r="AZ155" t="str">
        <f>""</f>
        <v/>
      </c>
      <c r="BA155" t="str">
        <f>""</f>
        <v/>
      </c>
      <c r="BB155" t="str">
        <f>""</f>
        <v/>
      </c>
      <c r="BC155" t="str">
        <f>""</f>
        <v/>
      </c>
      <c r="BD155" t="str">
        <f>""</f>
        <v/>
      </c>
      <c r="BE155" t="str">
        <f>""</f>
        <v/>
      </c>
      <c r="BF155" t="str">
        <f>""</f>
        <v/>
      </c>
      <c r="BG155" t="str">
        <f>""</f>
        <v/>
      </c>
      <c r="BH155" t="str">
        <f>""</f>
        <v/>
      </c>
      <c r="BI155" t="str">
        <f>""</f>
        <v/>
      </c>
      <c r="BJ155" t="str">
        <f>""</f>
        <v/>
      </c>
      <c r="BK155" t="str">
        <f>""</f>
        <v/>
      </c>
      <c r="BL155" t="str">
        <f>""</f>
        <v/>
      </c>
      <c r="BM155" t="str">
        <f>""</f>
        <v/>
      </c>
      <c r="BN155" t="str">
        <f>""</f>
        <v/>
      </c>
      <c r="BO155" t="str">
        <f>""</f>
        <v/>
      </c>
      <c r="BP155" t="str">
        <f>""</f>
        <v/>
      </c>
      <c r="BQ155" t="str">
        <f>""</f>
        <v/>
      </c>
      <c r="BR155" t="str">
        <f>""</f>
        <v/>
      </c>
      <c r="BS155" t="str">
        <f>""</f>
        <v/>
      </c>
      <c r="BT155" t="str">
        <f>""</f>
        <v/>
      </c>
      <c r="BU155" t="str">
        <f>""</f>
        <v/>
      </c>
      <c r="BV155" t="str">
        <f>""</f>
        <v/>
      </c>
      <c r="BW155" t="str">
        <f>""</f>
        <v/>
      </c>
      <c r="BX155" t="str">
        <f>""</f>
        <v/>
      </c>
      <c r="BY155" t="str">
        <f>""</f>
        <v/>
      </c>
      <c r="BZ155" t="str">
        <f>""</f>
        <v/>
      </c>
      <c r="CA155" t="str">
        <f>""</f>
        <v/>
      </c>
      <c r="CB155" t="str">
        <f>""</f>
        <v/>
      </c>
      <c r="CC155" t="str">
        <f>""</f>
        <v/>
      </c>
      <c r="CD155" t="str">
        <f>""</f>
        <v/>
      </c>
      <c r="CE155" t="str">
        <f>""</f>
        <v/>
      </c>
      <c r="CF155" t="str">
        <f>""</f>
        <v/>
      </c>
      <c r="CG155" t="str">
        <f>""</f>
        <v/>
      </c>
    </row>
    <row r="156" spans="1:85" x14ac:dyDescent="0.25">
      <c r="A156" t="str">
        <f>"    MAN"</f>
        <v xml:space="preserve">    MAN</v>
      </c>
      <c r="B156" t="str">
        <f>"VOW GR Equity"</f>
        <v>VOW GR Equity</v>
      </c>
      <c r="E156" t="str">
        <f>"Sum"</f>
        <v>Sum</v>
      </c>
      <c r="F156" t="str">
        <f ca="1">IF(ISERROR(IF(SUM($F$157:$F$158) = 0, "", SUM($F$157:$F$158))), "", (IF(SUM($F$157:$F$158) = 0, "", SUM($F$157:$F$158))))</f>
        <v/>
      </c>
      <c r="G156" t="str">
        <f ca="1">IF(ISERROR(IF(SUM($G$157:$G$158) = 0, "", SUM($G$157:$G$158))), "", (IF(SUM($G$157:$G$158) = 0, "", SUM($G$157:$G$158))))</f>
        <v/>
      </c>
      <c r="H156" t="str">
        <f ca="1">IF(ISERROR(IF(SUM($H$157:$H$158) = 0, "", SUM($H$157:$H$158))), "", (IF(SUM($H$157:$H$158) = 0, "", SUM($H$157:$H$158))))</f>
        <v/>
      </c>
      <c r="I156" t="str">
        <f ca="1">IF(ISERROR(IF(SUM($I$157:$I$158) = 0, "", SUM($I$157:$I$158))), "", (IF(SUM($I$157:$I$158) = 0, "", SUM($I$157:$I$158))))</f>
        <v/>
      </c>
      <c r="J156" t="str">
        <f ca="1">IF(ISERROR(IF(SUM($J$157:$J$158) = 0, "", SUM($J$157:$J$158))), "", (IF(SUM($J$157:$J$158) = 0, "", SUM($J$157:$J$158))))</f>
        <v/>
      </c>
      <c r="K156" t="str">
        <f ca="1">IF(ISERROR(IF(SUM($K$157:$K$158) = 0, "", SUM($K$157:$K$158))), "", (IF(SUM($K$157:$K$158) = 0, "", SUM($K$157:$K$158))))</f>
        <v/>
      </c>
      <c r="L156" t="str">
        <f ca="1">IF(ISERROR(IF(SUM($L$157:$L$158) = 0, "", SUM($L$157:$L$158))), "", (IF(SUM($L$157:$L$158) = 0, "", SUM($L$157:$L$158))))</f>
        <v/>
      </c>
      <c r="M156" t="str">
        <f ca="1">IF(ISERROR(IF(SUM($M$157:$M$158) = 0, "", SUM($M$157:$M$158))), "", (IF(SUM($M$157:$M$158) = 0, "", SUM($M$157:$M$158))))</f>
        <v/>
      </c>
      <c r="N156" t="str">
        <f ca="1">IF(ISERROR(IF(SUM($N$157:$N$158) = 0, "", SUM($N$157:$N$158))), "", (IF(SUM($N$157:$N$158) = 0, "", SUM($N$157:$N$158))))</f>
        <v/>
      </c>
      <c r="O156" t="str">
        <f ca="1">IF(ISERROR(IF(SUM($O$157:$O$158) = 0, "", SUM($O$157:$O$158))), "", (IF(SUM($O$157:$O$158) = 0, "", SUM($O$157:$O$158))))</f>
        <v/>
      </c>
      <c r="P156">
        <f ca="1">IF(ISERROR(IF(SUM($P$157:$P$158) = 0, "", SUM($P$157:$P$158))), "", (IF(SUM($P$157:$P$158) = 0, "", SUM($P$157:$P$158))))</f>
        <v>7.8593588419999998</v>
      </c>
      <c r="Q156">
        <f ca="1">IF(ISERROR(IF(SUM($Q$157:$Q$158) = 0, "", SUM($Q$157:$Q$158))), "", (IF(SUM($Q$157:$Q$158) = 0, "", SUM($Q$157:$Q$158))))</f>
        <v>7.421875</v>
      </c>
      <c r="R156">
        <f ca="1">IF(ISERROR(IF(SUM($R$157:$R$158) = 0, "", SUM($R$157:$R$158))), "", (IF(SUM($R$157:$R$158) = 0, "", SUM($R$157:$R$158))))</f>
        <v>7.5581395349999996</v>
      </c>
      <c r="S156">
        <f ca="1">IF(ISERROR(IF(SUM($S$157:$S$158) = 0, "", SUM($S$157:$S$158))), "", (IF(SUM($S$157:$S$158) = 0, "", SUM($S$157:$S$158))))</f>
        <v>6.2421972529999996</v>
      </c>
      <c r="T156">
        <f ca="1">IF(ISERROR(IF(SUM($T$157:$T$158) = 0, "", SUM($T$157:$T$158))), "", (IF(SUM($T$157:$T$158) = 0, "", SUM($T$157:$T$158))))</f>
        <v>4.5454545450000001</v>
      </c>
      <c r="U156">
        <f ca="1">IF(ISERROR(IF(SUM($U$157:$U$158) = 0, "", SUM($U$157:$U$158))), "", (IF(SUM($U$157:$U$158) = 0, "", SUM($U$157:$U$158))))</f>
        <v>4.1769041769999999</v>
      </c>
      <c r="V156">
        <f ca="1">IF(ISERROR(IF(SUM($V$157:$V$158) = 0, "", SUM($V$157:$V$158))), "", (IF(SUM($V$157:$V$158) = 0, "", SUM($V$157:$V$158))))</f>
        <v>4.4067796609999998</v>
      </c>
      <c r="W156">
        <f ca="1">IF(ISERROR(IF(SUM($W$157:$W$158) = 0, "", SUM($W$157:$W$158))), "", (IF(SUM($W$157:$W$158) = 0, "", SUM($W$157:$W$158))))</f>
        <v>6.9172932329999997</v>
      </c>
      <c r="X156">
        <f ca="1">IF(ISERROR(IF(SUM($X$157:$X$158) = 0, "", SUM($X$157:$X$158))), "", (IF(SUM($X$157:$X$158) = 0, "", SUM($X$157:$X$158))))</f>
        <v>6.7073170729999996</v>
      </c>
      <c r="Y156">
        <f ca="1">IF(ISERROR(IF(SUM($Y$157:$Y$158) = 0, "", SUM($Y$157:$Y$158))), "", (IF(SUM($Y$157:$Y$158) = 0, "", SUM($Y$157:$Y$158))))</f>
        <v>5.1315789470000004</v>
      </c>
      <c r="Z156">
        <f ca="1">IF(ISERROR(IF(SUM($Z$157:$Z$158) = 0, "", SUM($Z$157:$Z$158))), "", (IF(SUM($Z$157:$Z$158) = 0, "", SUM($Z$157:$Z$158))))</f>
        <v>4.9833887040000002</v>
      </c>
      <c r="AA156">
        <f ca="1">IF(ISERROR(IF(SUM($AA$157:$AA$158) = 0, "", SUM($AA$157:$AA$158))), "", (IF(SUM($AA$157:$AA$158) = 0, "", SUM($AA$157:$AA$158))))</f>
        <v>9.2050209209999991</v>
      </c>
      <c r="AB156">
        <f ca="1">IF(ISERROR(IF(SUM($AB$157:$AB$158) = 0, "", SUM($AB$157:$AB$158))), "", (IF(SUM($AB$157:$AB$158) = 0, "", SUM($AB$157:$AB$158))))</f>
        <v>8.0874316939999993</v>
      </c>
      <c r="AC156">
        <f ca="1">IF(ISERROR(IF(SUM($AC$157:$AC$158) = 0, "", SUM($AC$157:$AC$158))), "", (IF(SUM($AC$157:$AC$158) = 0, "", SUM($AC$157:$AC$158))))</f>
        <v>8.1155433289999994</v>
      </c>
      <c r="AD156">
        <f ca="1">IF(ISERROR(IF(SUM($AD$157:$AD$158) = 0, "", SUM($AD$157:$AD$158))), "", (IF(SUM($AD$157:$AD$158) = 0, "", SUM($AD$157:$AD$158))))</f>
        <v>7.9022988510000003</v>
      </c>
      <c r="AE156">
        <f ca="1">IF(ISERROR(IF(SUM($AE$157:$AE$158) = 0, "", SUM($AE$157:$AE$158))), "", (IF(SUM($AE$157:$AE$158) = 0, "", SUM($AE$157:$AE$158))))</f>
        <v>7.938931298</v>
      </c>
      <c r="AF156">
        <f ca="1">IF(ISERROR(IF(SUM($AF$157:$AF$158) = 0, "", SUM($AF$157:$AF$158))), "", (IF(SUM($AF$157:$AF$158) = 0, "", SUM($AF$157:$AF$158))))</f>
        <v>8.0620155039999997</v>
      </c>
      <c r="AG156">
        <f ca="1">IF(ISERROR(IF(SUM($AG$157:$AG$158) = 0, "", SUM($AG$157:$AG$158))), "", (IF(SUM($AG$157:$AG$158) = 0, "", SUM($AG$157:$AG$158))))</f>
        <v>7.5691411940000002</v>
      </c>
      <c r="AH156">
        <f ca="1">IF(ISERROR(IF(SUM($AH$157:$AH$158) = 0, "", SUM($AH$157:$AH$158))), "", (IF(SUM($AH$157:$AH$158) = 0, "", SUM($AH$157:$AH$158))))</f>
        <v>7.153075823</v>
      </c>
      <c r="AI156">
        <f ca="1">IF(ISERROR(IF(SUM($AI$157:$AI$158) = 0, "", SUM($AI$157:$AI$158))), "", (IF(SUM($AI$157:$AI$158) = 0, "", SUM($AI$157:$AI$158))))</f>
        <v>8</v>
      </c>
      <c r="AJ156">
        <f ca="1">IF(ISERROR(IF(SUM($AJ$157:$AJ$158) = 0, "", SUM($AJ$157:$AJ$158))), "", (IF(SUM($AJ$157:$AJ$158) = 0, "", SUM($AJ$157:$AJ$158))))</f>
        <v>5.6555269920000004</v>
      </c>
      <c r="AK156">
        <f ca="1">IF(ISERROR(IF(SUM($AK$157:$AK$158) = 0, "", SUM($AK$157:$AK$158))), "", (IF(SUM($AK$157:$AK$158) = 0, "", SUM($AK$157:$AK$158))))</f>
        <v>9.7602739730000003</v>
      </c>
      <c r="AL156">
        <f ca="1">IF(ISERROR(IF(SUM($AL$157:$AL$158) = 0, "", SUM($AL$157:$AL$158))), "", (IF(SUM($AL$157:$AL$158) = 0, "", SUM($AL$157:$AL$158))))</f>
        <v>8.9108910889999997</v>
      </c>
      <c r="AM156">
        <f ca="1">IF(ISERROR(IF(SUM($AM$157:$AM$158) = 0, "", SUM($AM$157:$AM$158))), "", (IF(SUM($AM$157:$AM$158) = 0, "", SUM($AM$157:$AM$158))))</f>
        <v>9.4214876029999992</v>
      </c>
      <c r="AN156">
        <f ca="1">IF(ISERROR(IF(SUM($AN$157:$AN$158) = 0, "", SUM($AN$157:$AN$158))), "", (IF(SUM($AN$157:$AN$158) = 0, "", SUM($AN$157:$AN$158))))</f>
        <v>9.3908629440000002</v>
      </c>
      <c r="AO156">
        <f ca="1">IF(ISERROR(IF(SUM($AO$157:$AO$158) = 0, "", SUM($AO$157:$AO$158))), "", (IF(SUM($AO$157:$AO$158) = 0, "", SUM($AO$157:$AO$158))))</f>
        <v>9.9173553719999994</v>
      </c>
      <c r="AP156">
        <f ca="1">IF(ISERROR(IF(SUM($AP$157:$AP$158) = 0, "", SUM($AP$157:$AP$158))), "", (IF(SUM($AP$157:$AP$158) = 0, "", SUM($AP$157:$AP$158))))</f>
        <v>10.2319236</v>
      </c>
      <c r="AQ156">
        <f ca="1">IF(ISERROR(IF(SUM($AQ$157:$AQ$158) = 0, "", SUM($AQ$157:$AQ$158))), "", (IF(SUM($AQ$157:$AQ$158) = 0, "", SUM($AQ$157:$AQ$158))))</f>
        <v>4.835924007</v>
      </c>
      <c r="AR156">
        <f ca="1">IF(ISERROR(IF(SUM($AR$157:$AR$158) = 0, "", SUM($AR$157:$AR$158))), "", (IF(SUM($AR$157:$AR$158) = 0, "", SUM($AR$157:$AR$158))))</f>
        <v>4.1733547350000002</v>
      </c>
      <c r="AS156">
        <f ca="1">IF(ISERROR(IF(SUM($AS$157:$AS$158) = 0, "", SUM($AS$157:$AS$158))), "", (IF(SUM($AS$157:$AS$158) = 0, "", SUM($AS$157:$AS$158))))</f>
        <v>3.315881326</v>
      </c>
      <c r="AT156" t="str">
        <f>""</f>
        <v/>
      </c>
      <c r="AU156" t="str">
        <f>""</f>
        <v/>
      </c>
      <c r="AV156" t="str">
        <f>""</f>
        <v/>
      </c>
      <c r="AW156" t="str">
        <f>""</f>
        <v/>
      </c>
      <c r="AX156" t="str">
        <f>""</f>
        <v/>
      </c>
      <c r="AY156" t="str">
        <f>""</f>
        <v/>
      </c>
      <c r="AZ156" t="str">
        <f>""</f>
        <v/>
      </c>
      <c r="BA156" t="str">
        <f>""</f>
        <v/>
      </c>
      <c r="BB156" t="str">
        <f>""</f>
        <v/>
      </c>
      <c r="BC156" t="str">
        <f>""</f>
        <v/>
      </c>
      <c r="BD156">
        <f>7.859358842</f>
        <v>7.8593588419999998</v>
      </c>
      <c r="BE156">
        <f>7.421875</f>
        <v>7.421875</v>
      </c>
      <c r="BF156">
        <f>7.558139535</f>
        <v>7.5581395349999996</v>
      </c>
      <c r="BG156">
        <f>6.242197253</f>
        <v>6.2421972529999996</v>
      </c>
      <c r="BH156">
        <f>4.545454545</f>
        <v>4.5454545450000001</v>
      </c>
      <c r="BI156">
        <f>4.176904177</f>
        <v>4.1769041769999999</v>
      </c>
      <c r="BJ156">
        <f>4.406779661</f>
        <v>4.4067796609999998</v>
      </c>
      <c r="BK156">
        <f>6.917293233</f>
        <v>6.9172932329999997</v>
      </c>
      <c r="BL156">
        <f>6.707317073</f>
        <v>6.7073170729999996</v>
      </c>
      <c r="BM156">
        <f>5.131578947</f>
        <v>5.1315789470000004</v>
      </c>
      <c r="BN156">
        <f>4.983388704</f>
        <v>4.9833887040000002</v>
      </c>
      <c r="BO156">
        <f>9.205020921</f>
        <v>9.2050209209999991</v>
      </c>
      <c r="BP156">
        <f>8.087431694</f>
        <v>8.0874316939999993</v>
      </c>
      <c r="BQ156">
        <f>8.115543329</f>
        <v>8.1155433289999994</v>
      </c>
      <c r="BR156">
        <f>7.902298851</f>
        <v>7.9022988510000003</v>
      </c>
      <c r="BS156">
        <f>7.938931298</f>
        <v>7.938931298</v>
      </c>
      <c r="BT156">
        <f>8.062015504</f>
        <v>8.0620155039999997</v>
      </c>
      <c r="BU156">
        <f>7.569141194</f>
        <v>7.5691411940000002</v>
      </c>
      <c r="BV156">
        <f>7.153075823</f>
        <v>7.153075823</v>
      </c>
      <c r="BW156">
        <f>8</f>
        <v>8</v>
      </c>
      <c r="BX156">
        <f>5.655526992</f>
        <v>5.6555269920000004</v>
      </c>
      <c r="BY156">
        <f>9.760273973</f>
        <v>9.7602739730000003</v>
      </c>
      <c r="BZ156">
        <f>8.910891089</f>
        <v>8.9108910889999997</v>
      </c>
      <c r="CA156">
        <f>9.421487603</f>
        <v>9.4214876029999992</v>
      </c>
      <c r="CB156">
        <f>9.390862944</f>
        <v>9.3908629440000002</v>
      </c>
      <c r="CC156">
        <f>9.917355372</f>
        <v>9.9173553719999994</v>
      </c>
      <c r="CD156">
        <f>10.2319236</f>
        <v>10.2319236</v>
      </c>
      <c r="CE156">
        <f>4.835924007</f>
        <v>4.835924007</v>
      </c>
      <c r="CF156">
        <f>4.173354735</f>
        <v>4.1733547350000002</v>
      </c>
      <c r="CG156">
        <f>3.315881326</f>
        <v>3.315881326</v>
      </c>
    </row>
    <row r="157" spans="1:85" x14ac:dyDescent="0.25">
      <c r="A157" t="str">
        <f>"        MAN"</f>
        <v xml:space="preserve">        MAN</v>
      </c>
      <c r="B157" t="str">
        <f>"VOW GR Equity"</f>
        <v>VOW GR Equity</v>
      </c>
      <c r="E157" t="str">
        <f>"Expression"</f>
        <v>Expression</v>
      </c>
      <c r="F157" t="str">
        <f ca="1">IF(AND($B$294=1,LEN($F$275) * LEN($F$264)&gt;0),$F$275/$F$264*100,HLOOKUP(INDIRECT(ADDRESS(2,COLUMN())),OFFSET($AT$2,0,0,ROW()-1,40),ROW()-1,FALSE))</f>
        <v/>
      </c>
      <c r="G157" t="str">
        <f ca="1">IF(AND($B$294=1,LEN($G$275) * LEN($G$264)&gt;0),$G$275/$G$264*100,HLOOKUP(INDIRECT(ADDRESS(2,COLUMN())),OFFSET($AT$2,0,0,ROW()-1,40),ROW()-1,FALSE))</f>
        <v/>
      </c>
      <c r="H157" t="str">
        <f ca="1">IF(AND($B$294=1,LEN($H$275) * LEN($H$264)&gt;0),$H$275/$H$264*100,HLOOKUP(INDIRECT(ADDRESS(2,COLUMN())),OFFSET($AT$2,0,0,ROW()-1,40),ROW()-1,FALSE))</f>
        <v/>
      </c>
      <c r="I157" t="str">
        <f ca="1">IF(AND($B$294=1,LEN($I$275) * LEN($I$264)&gt;0),$I$275/$I$264*100,HLOOKUP(INDIRECT(ADDRESS(2,COLUMN())),OFFSET($AT$2,0,0,ROW()-1,40),ROW()-1,FALSE))</f>
        <v/>
      </c>
      <c r="J157" t="str">
        <f ca="1">IF(AND($B$294=1,LEN($J$275) * LEN($J$264)&gt;0),$J$275/$J$264*100,HLOOKUP(INDIRECT(ADDRESS(2,COLUMN())),OFFSET($AT$2,0,0,ROW()-1,40),ROW()-1,FALSE))</f>
        <v/>
      </c>
      <c r="K157" t="str">
        <f ca="1">IF(AND($B$294=1,LEN($K$275) * LEN($K$264)&gt;0),$K$275/$K$264*100,HLOOKUP(INDIRECT(ADDRESS(2,COLUMN())),OFFSET($AT$2,0,0,ROW()-1,40),ROW()-1,FALSE))</f>
        <v/>
      </c>
      <c r="L157" t="str">
        <f ca="1">IF(AND($B$294=1,LEN($L$275) * LEN($L$264)&gt;0),$L$275/$L$264*100,HLOOKUP(INDIRECT(ADDRESS(2,COLUMN())),OFFSET($AT$2,0,0,ROW()-1,40),ROW()-1,FALSE))</f>
        <v/>
      </c>
      <c r="M157" t="str">
        <f ca="1">IF(AND($B$294=1,LEN($M$275) * LEN($M$264)&gt;0),$M$275/$M$264*100,HLOOKUP(INDIRECT(ADDRESS(2,COLUMN())),OFFSET($AT$2,0,0,ROW()-1,40),ROW()-1,FALSE))</f>
        <v/>
      </c>
      <c r="N157" t="str">
        <f ca="1">IF(AND($B$294=1,LEN($N$275) * LEN($N$264)&gt;0),$N$275/$N$264*100,HLOOKUP(INDIRECT(ADDRESS(2,COLUMN())),OFFSET($AT$2,0,0,ROW()-1,40),ROW()-1,FALSE))</f>
        <v/>
      </c>
      <c r="O157" t="str">
        <f ca="1">IF(AND($B$294=1,LEN($O$275) * LEN($O$264)&gt;0),$O$275/$O$264*100,HLOOKUP(INDIRECT(ADDRESS(2,COLUMN())),OFFSET($AT$2,0,0,ROW()-1,40),ROW()-1,FALSE))</f>
        <v/>
      </c>
      <c r="P157" t="str">
        <f ca="1">IF(AND($B$294=1,LEN($P$275) * LEN($P$264)&gt;0),$P$275/$P$264*100,HLOOKUP(INDIRECT(ADDRESS(2,COLUMN())),OFFSET($AT$2,0,0,ROW()-1,40),ROW()-1,FALSE))</f>
        <v/>
      </c>
      <c r="Q157" t="str">
        <f ca="1">IF(AND($B$294=1,LEN($Q$275) * LEN($Q$264)&gt;0),$Q$275/$Q$264*100,HLOOKUP(INDIRECT(ADDRESS(2,COLUMN())),OFFSET($AT$2,0,0,ROW()-1,40),ROW()-1,FALSE))</f>
        <v/>
      </c>
      <c r="R157" t="str">
        <f ca="1">IF(AND($B$294=1,LEN($R$275) * LEN($R$264)&gt;0),$R$275/$R$264*100,HLOOKUP(INDIRECT(ADDRESS(2,COLUMN())),OFFSET($AT$2,0,0,ROW()-1,40),ROW()-1,FALSE))</f>
        <v/>
      </c>
      <c r="S157" t="str">
        <f ca="1">IF(AND($B$294=1,LEN($S$275) * LEN($S$264)&gt;0),$S$275/$S$264*100,HLOOKUP(INDIRECT(ADDRESS(2,COLUMN())),OFFSET($AT$2,0,0,ROW()-1,40),ROW()-1,FALSE))</f>
        <v/>
      </c>
      <c r="T157" t="str">
        <f ca="1">IF(AND($B$294=1,LEN($T$275) * LEN($T$264)&gt;0),$T$275/$T$264*100,HLOOKUP(INDIRECT(ADDRESS(2,COLUMN())),OFFSET($AT$2,0,0,ROW()-1,40),ROW()-1,FALSE))</f>
        <v/>
      </c>
      <c r="U157" t="str">
        <f ca="1">IF(AND($B$294=1,LEN($U$275) * LEN($U$264)&gt;0),$U$275/$U$264*100,HLOOKUP(INDIRECT(ADDRESS(2,COLUMN())),OFFSET($AT$2,0,0,ROW()-1,40),ROW()-1,FALSE))</f>
        <v/>
      </c>
      <c r="V157" t="str">
        <f ca="1">IF(AND($B$294=1,LEN($V$275) * LEN($V$264)&gt;0),$V$275/$V$264*100,HLOOKUP(INDIRECT(ADDRESS(2,COLUMN())),OFFSET($AT$2,0,0,ROW()-1,40),ROW()-1,FALSE))</f>
        <v/>
      </c>
      <c r="W157" t="str">
        <f ca="1">IF(AND($B$294=1,LEN($W$275) * LEN($W$264)&gt;0),$W$275/$W$264*100,HLOOKUP(INDIRECT(ADDRESS(2,COLUMN())),OFFSET($AT$2,0,0,ROW()-1,40),ROW()-1,FALSE))</f>
        <v/>
      </c>
      <c r="X157" t="str">
        <f ca="1">IF(AND($B$294=1,LEN($X$275) * LEN($X$264)&gt;0),$X$275/$X$264*100,HLOOKUP(INDIRECT(ADDRESS(2,COLUMN())),OFFSET($AT$2,0,0,ROW()-1,40),ROW()-1,FALSE))</f>
        <v/>
      </c>
      <c r="Y157" t="str">
        <f ca="1">IF(AND($B$294=1,LEN($Y$275) * LEN($Y$264)&gt;0),$Y$275/$Y$264*100,HLOOKUP(INDIRECT(ADDRESS(2,COLUMN())),OFFSET($AT$2,0,0,ROW()-1,40),ROW()-1,FALSE))</f>
        <v/>
      </c>
      <c r="Z157" t="str">
        <f ca="1">IF(AND($B$294=1,LEN($Z$275) * LEN($Z$264)&gt;0),$Z$275/$Z$264*100,HLOOKUP(INDIRECT(ADDRESS(2,COLUMN())),OFFSET($AT$2,0,0,ROW()-1,40),ROW()-1,FALSE))</f>
        <v/>
      </c>
      <c r="AA157" t="str">
        <f ca="1">IF(AND($B$294=1,LEN($AA$275) * LEN($AA$264)&gt;0),$AA$275/$AA$264*100,HLOOKUP(INDIRECT(ADDRESS(2,COLUMN())),OFFSET($AT$2,0,0,ROW()-1,40),ROW()-1,FALSE))</f>
        <v/>
      </c>
      <c r="AB157" t="str">
        <f ca="1">IF(AND($B$294=1,LEN($AB$275) * LEN($AB$264)&gt;0),$AB$275/$AB$264*100,HLOOKUP(INDIRECT(ADDRESS(2,COLUMN())),OFFSET($AT$2,0,0,ROW()-1,40),ROW()-1,FALSE))</f>
        <v/>
      </c>
      <c r="AC157" t="str">
        <f ca="1">IF(AND($B$294=1,LEN($AC$275) * LEN($AC$264)&gt;0),$AC$275/$AC$264*100,HLOOKUP(INDIRECT(ADDRESS(2,COLUMN())),OFFSET($AT$2,0,0,ROW()-1,40),ROW()-1,FALSE))</f>
        <v/>
      </c>
      <c r="AD157" t="str">
        <f ca="1">IF(AND($B$294=1,LEN($AD$275) * LEN($AD$264)&gt;0),$AD$275/$AD$264*100,HLOOKUP(INDIRECT(ADDRESS(2,COLUMN())),OFFSET($AT$2,0,0,ROW()-1,40),ROW()-1,FALSE))</f>
        <v/>
      </c>
      <c r="AE157" t="str">
        <f ca="1">IF(AND($B$294=1,LEN($AE$275) * LEN($AE$264)&gt;0),$AE$275/$AE$264*100,HLOOKUP(INDIRECT(ADDRESS(2,COLUMN())),OFFSET($AT$2,0,0,ROW()-1,40),ROW()-1,FALSE))</f>
        <v/>
      </c>
      <c r="AF157" t="str">
        <f ca="1">IF(AND($B$294=1,LEN($AF$275) * LEN($AF$264)&gt;0),$AF$275/$AF$264*100,HLOOKUP(INDIRECT(ADDRESS(2,COLUMN())),OFFSET($AT$2,0,0,ROW()-1,40),ROW()-1,FALSE))</f>
        <v/>
      </c>
      <c r="AG157" t="str">
        <f ca="1">IF(AND($B$294=1,LEN($AG$275) * LEN($AG$264)&gt;0),$AG$275/$AG$264*100,HLOOKUP(INDIRECT(ADDRESS(2,COLUMN())),OFFSET($AT$2,0,0,ROW()-1,40),ROW()-1,FALSE))</f>
        <v/>
      </c>
      <c r="AH157" t="str">
        <f ca="1">IF(AND($B$294=1,LEN($AH$275) * LEN($AH$264)&gt;0),$AH$275/$AH$264*100,HLOOKUP(INDIRECT(ADDRESS(2,COLUMN())),OFFSET($AT$2,0,0,ROW()-1,40),ROW()-1,FALSE))</f>
        <v/>
      </c>
      <c r="AI157" t="str">
        <f ca="1">IF(AND($B$294=1,LEN($AI$275) * LEN($AI$264)&gt;0),$AI$275/$AI$264*100,HLOOKUP(INDIRECT(ADDRESS(2,COLUMN())),OFFSET($AT$2,0,0,ROW()-1,40),ROW()-1,FALSE))</f>
        <v/>
      </c>
      <c r="AJ157" t="str">
        <f ca="1">IF(AND($B$294=1,LEN($AJ$275) * LEN($AJ$264)&gt;0),$AJ$275/$AJ$264*100,HLOOKUP(INDIRECT(ADDRESS(2,COLUMN())),OFFSET($AT$2,0,0,ROW()-1,40),ROW()-1,FALSE))</f>
        <v/>
      </c>
      <c r="AK157" t="str">
        <f ca="1">IF(AND($B$294=1,LEN($AK$275) * LEN($AK$264)&gt;0),$AK$275/$AK$264*100,HLOOKUP(INDIRECT(ADDRESS(2,COLUMN())),OFFSET($AT$2,0,0,ROW()-1,40),ROW()-1,FALSE))</f>
        <v/>
      </c>
      <c r="AL157" t="str">
        <f ca="1">IF(AND($B$294=1,LEN($AL$275) * LEN($AL$264)&gt;0),$AL$275/$AL$264*100,HLOOKUP(INDIRECT(ADDRESS(2,COLUMN())),OFFSET($AT$2,0,0,ROW()-1,40),ROW()-1,FALSE))</f>
        <v/>
      </c>
      <c r="AM157" t="str">
        <f ca="1">IF(AND($B$294=1,LEN($AM$275) * LEN($AM$264)&gt;0),$AM$275/$AM$264*100,HLOOKUP(INDIRECT(ADDRESS(2,COLUMN())),OFFSET($AT$2,0,0,ROW()-1,40),ROW()-1,FALSE))</f>
        <v/>
      </c>
      <c r="AN157" t="str">
        <f ca="1">IF(AND($B$294=1,LEN($AN$275) * LEN($AN$264)&gt;0),$AN$275/$AN$264*100,HLOOKUP(INDIRECT(ADDRESS(2,COLUMN())),OFFSET($AT$2,0,0,ROW()-1,40),ROW()-1,FALSE))</f>
        <v/>
      </c>
      <c r="AO157" t="str">
        <f ca="1">IF(AND($B$294=1,LEN($AO$275) * LEN($AO$264)&gt;0),$AO$275/$AO$264*100,HLOOKUP(INDIRECT(ADDRESS(2,COLUMN())),OFFSET($AT$2,0,0,ROW()-1,40),ROW()-1,FALSE))</f>
        <v/>
      </c>
      <c r="AP157" t="str">
        <f ca="1">IF(AND($B$294=1,LEN($AP$275) * LEN($AP$264)&gt;0),$AP$275/$AP$264*100,HLOOKUP(INDIRECT(ADDRESS(2,COLUMN())),OFFSET($AT$2,0,0,ROW()-1,40),ROW()-1,FALSE))</f>
        <v/>
      </c>
      <c r="AQ157" t="str">
        <f ca="1">IF(AND($B$294=1,LEN($AQ$275) * LEN($AQ$264)&gt;0),$AQ$275/$AQ$264*100,HLOOKUP(INDIRECT(ADDRESS(2,COLUMN())),OFFSET($AT$2,0,0,ROW()-1,40),ROW()-1,FALSE))</f>
        <v/>
      </c>
      <c r="AR157" t="str">
        <f ca="1">IF(AND($B$294=1,LEN($AR$275) * LEN($AR$264)&gt;0),$AR$275/$AR$264*100,HLOOKUP(INDIRECT(ADDRESS(2,COLUMN())),OFFSET($AT$2,0,0,ROW()-1,40),ROW()-1,FALSE))</f>
        <v/>
      </c>
      <c r="AS157" t="str">
        <f ca="1">IF(AND($B$294=1,LEN($AS$275) * LEN($AS$264)&gt;0),$AS$275/$AS$264*100,HLOOKUP(INDIRECT(ADDRESS(2,COLUMN())),OFFSET($AT$2,0,0,ROW()-1,40),ROW()-1,FALSE))</f>
        <v/>
      </c>
      <c r="AT157" t="str">
        <f>""</f>
        <v/>
      </c>
      <c r="AU157" t="str">
        <f>""</f>
        <v/>
      </c>
      <c r="AV157" t="str">
        <f>""</f>
        <v/>
      </c>
      <c r="AW157" t="str">
        <f>""</f>
        <v/>
      </c>
      <c r="AX157" t="str">
        <f>""</f>
        <v/>
      </c>
      <c r="AY157" t="str">
        <f>""</f>
        <v/>
      </c>
      <c r="AZ157" t="str">
        <f>""</f>
        <v/>
      </c>
      <c r="BA157" t="str">
        <f>""</f>
        <v/>
      </c>
      <c r="BB157" t="str">
        <f>""</f>
        <v/>
      </c>
      <c r="BC157" t="str">
        <f>""</f>
        <v/>
      </c>
      <c r="BD157" t="str">
        <f>""</f>
        <v/>
      </c>
      <c r="BE157" t="str">
        <f>""</f>
        <v/>
      </c>
      <c r="BF157" t="str">
        <f>""</f>
        <v/>
      </c>
      <c r="BG157" t="str">
        <f>""</f>
        <v/>
      </c>
      <c r="BH157" t="str">
        <f>""</f>
        <v/>
      </c>
      <c r="BI157" t="str">
        <f>""</f>
        <v/>
      </c>
      <c r="BJ157" t="str">
        <f>""</f>
        <v/>
      </c>
      <c r="BK157" t="str">
        <f>""</f>
        <v/>
      </c>
      <c r="BL157" t="str">
        <f>""</f>
        <v/>
      </c>
      <c r="BM157" t="str">
        <f>""</f>
        <v/>
      </c>
      <c r="BN157" t="str">
        <f>""</f>
        <v/>
      </c>
      <c r="BO157" t="str">
        <f>""</f>
        <v/>
      </c>
      <c r="BP157" t="str">
        <f>""</f>
        <v/>
      </c>
      <c r="BQ157" t="str">
        <f>""</f>
        <v/>
      </c>
      <c r="BR157" t="str">
        <f>""</f>
        <v/>
      </c>
      <c r="BS157" t="str">
        <f>""</f>
        <v/>
      </c>
      <c r="BT157" t="str">
        <f>""</f>
        <v/>
      </c>
      <c r="BU157" t="str">
        <f>""</f>
        <v/>
      </c>
      <c r="BV157" t="str">
        <f>""</f>
        <v/>
      </c>
      <c r="BW157" t="str">
        <f>""</f>
        <v/>
      </c>
      <c r="BX157" t="str">
        <f>""</f>
        <v/>
      </c>
      <c r="BY157" t="str">
        <f>""</f>
        <v/>
      </c>
      <c r="BZ157" t="str">
        <f>""</f>
        <v/>
      </c>
      <c r="CA157" t="str">
        <f>""</f>
        <v/>
      </c>
      <c r="CB157" t="str">
        <f>""</f>
        <v/>
      </c>
      <c r="CC157" t="str">
        <f>""</f>
        <v/>
      </c>
      <c r="CD157" t="str">
        <f>""</f>
        <v/>
      </c>
      <c r="CE157" t="str">
        <f>""</f>
        <v/>
      </c>
      <c r="CF157" t="str">
        <f>""</f>
        <v/>
      </c>
      <c r="CG157" t="str">
        <f>""</f>
        <v/>
      </c>
    </row>
    <row r="158" spans="1:85" x14ac:dyDescent="0.25">
      <c r="A158" t="str">
        <f>"        Volkswagen Truck &amp; Bus"</f>
        <v xml:space="preserve">        Volkswagen Truck &amp; Bus</v>
      </c>
      <c r="B158" t="str">
        <f>"VOW GR Equity"</f>
        <v>VOW GR Equity</v>
      </c>
      <c r="E158" t="str">
        <f>"Expression"</f>
        <v>Expression</v>
      </c>
      <c r="F158" t="str">
        <f ca="1">IF(AND($B$294=1,LEN($F$276) * LEN($F$264)&gt;0),$F$276/$F$264*100,HLOOKUP(INDIRECT(ADDRESS(2,COLUMN())),OFFSET($AT$2,0,0,ROW()-1,40),ROW()-1,FALSE))</f>
        <v/>
      </c>
      <c r="G158" t="str">
        <f ca="1">IF(AND($B$294=1,LEN($G$276) * LEN($G$264)&gt;0),$G$276/$G$264*100,HLOOKUP(INDIRECT(ADDRESS(2,COLUMN())),OFFSET($AT$2,0,0,ROW()-1,40),ROW()-1,FALSE))</f>
        <v/>
      </c>
      <c r="H158" t="str">
        <f ca="1">IF(AND($B$294=1,LEN($H$276) * LEN($H$264)&gt;0),$H$276/$H$264*100,HLOOKUP(INDIRECT(ADDRESS(2,COLUMN())),OFFSET($AT$2,0,0,ROW()-1,40),ROW()-1,FALSE))</f>
        <v/>
      </c>
      <c r="I158" t="str">
        <f ca="1">IF(AND($B$294=1,LEN($I$276) * LEN($I$264)&gt;0),$I$276/$I$264*100,HLOOKUP(INDIRECT(ADDRESS(2,COLUMN())),OFFSET($AT$2,0,0,ROW()-1,40),ROW()-1,FALSE))</f>
        <v/>
      </c>
      <c r="J158" t="str">
        <f ca="1">IF(AND($B$294=1,LEN($J$276) * LEN($J$264)&gt;0),$J$276/$J$264*100,HLOOKUP(INDIRECT(ADDRESS(2,COLUMN())),OFFSET($AT$2,0,0,ROW()-1,40),ROW()-1,FALSE))</f>
        <v/>
      </c>
      <c r="K158" t="str">
        <f ca="1">IF(AND($B$294=1,LEN($K$276) * LEN($K$264)&gt;0),$K$276/$K$264*100,HLOOKUP(INDIRECT(ADDRESS(2,COLUMN())),OFFSET($AT$2,0,0,ROW()-1,40),ROW()-1,FALSE))</f>
        <v/>
      </c>
      <c r="L158" t="str">
        <f ca="1">IF(AND($B$294=1,LEN($L$276) * LEN($L$264)&gt;0),$L$276/$L$264*100,HLOOKUP(INDIRECT(ADDRESS(2,COLUMN())),OFFSET($AT$2,0,0,ROW()-1,40),ROW()-1,FALSE))</f>
        <v/>
      </c>
      <c r="M158" t="str">
        <f ca="1">IF(AND($B$294=1,LEN($M$276) * LEN($M$264)&gt;0),$M$276/$M$264*100,HLOOKUP(INDIRECT(ADDRESS(2,COLUMN())),OFFSET($AT$2,0,0,ROW()-1,40),ROW()-1,FALSE))</f>
        <v/>
      </c>
      <c r="N158" t="str">
        <f ca="1">IF(AND($B$294=1,LEN($N$276) * LEN($N$264)&gt;0),$N$276/$N$264*100,HLOOKUP(INDIRECT(ADDRESS(2,COLUMN())),OFFSET($AT$2,0,0,ROW()-1,40),ROW()-1,FALSE))</f>
        <v/>
      </c>
      <c r="O158" t="str">
        <f ca="1">IF(AND($B$294=1,LEN($O$276) * LEN($O$264)&gt;0),$O$276/$O$264*100,HLOOKUP(INDIRECT(ADDRESS(2,COLUMN())),OFFSET($AT$2,0,0,ROW()-1,40),ROW()-1,FALSE))</f>
        <v/>
      </c>
      <c r="P158">
        <f ca="1">IF(AND($B$294=1,LEN($P$276) * LEN($P$264)&gt;0),$P$276/$P$264*100,HLOOKUP(INDIRECT(ADDRESS(2,COLUMN())),OFFSET($AT$2,0,0,ROW()-1,40),ROW()-1,FALSE))</f>
        <v>7.8593588419999998</v>
      </c>
      <c r="Q158">
        <f ca="1">IF(AND($B$294=1,LEN($Q$276) * LEN($Q$264)&gt;0),$Q$276/$Q$264*100,HLOOKUP(INDIRECT(ADDRESS(2,COLUMN())),OFFSET($AT$2,0,0,ROW()-1,40),ROW()-1,FALSE))</f>
        <v>7.421875</v>
      </c>
      <c r="R158">
        <f ca="1">IF(AND($B$294=1,LEN($R$276) * LEN($R$264)&gt;0),$R$276/$R$264*100,HLOOKUP(INDIRECT(ADDRESS(2,COLUMN())),OFFSET($AT$2,0,0,ROW()-1,40),ROW()-1,FALSE))</f>
        <v>7.5581395349999996</v>
      </c>
      <c r="S158">
        <f ca="1">IF(AND($B$294=1,LEN($S$276) * LEN($S$264)&gt;0),$S$276/$S$264*100,HLOOKUP(INDIRECT(ADDRESS(2,COLUMN())),OFFSET($AT$2,0,0,ROW()-1,40),ROW()-1,FALSE))</f>
        <v>6.2421972529999996</v>
      </c>
      <c r="T158">
        <f ca="1">IF(AND($B$294=1,LEN($T$276) * LEN($T$264)&gt;0),$T$276/$T$264*100,HLOOKUP(INDIRECT(ADDRESS(2,COLUMN())),OFFSET($AT$2,0,0,ROW()-1,40),ROW()-1,FALSE))</f>
        <v>4.5454545450000001</v>
      </c>
      <c r="U158">
        <f ca="1">IF(AND($B$294=1,LEN($U$276) * LEN($U$264)&gt;0),$U$276/$U$264*100,HLOOKUP(INDIRECT(ADDRESS(2,COLUMN())),OFFSET($AT$2,0,0,ROW()-1,40),ROW()-1,FALSE))</f>
        <v>4.1769041769999999</v>
      </c>
      <c r="V158">
        <f ca="1">IF(AND($B$294=1,LEN($V$276) * LEN($V$264)&gt;0),$V$276/$V$264*100,HLOOKUP(INDIRECT(ADDRESS(2,COLUMN())),OFFSET($AT$2,0,0,ROW()-1,40),ROW()-1,FALSE))</f>
        <v>4.4067796609999998</v>
      </c>
      <c r="W158">
        <f ca="1">IF(AND($B$294=1,LEN($W$276) * LEN($W$264)&gt;0),$W$276/$W$264*100,HLOOKUP(INDIRECT(ADDRESS(2,COLUMN())),OFFSET($AT$2,0,0,ROW()-1,40),ROW()-1,FALSE))</f>
        <v>6.9172932329999997</v>
      </c>
      <c r="X158">
        <f ca="1">IF(AND($B$294=1,LEN($X$276) * LEN($X$264)&gt;0),$X$276/$X$264*100,HLOOKUP(INDIRECT(ADDRESS(2,COLUMN())),OFFSET($AT$2,0,0,ROW()-1,40),ROW()-1,FALSE))</f>
        <v>6.7073170729999996</v>
      </c>
      <c r="Y158">
        <f ca="1">IF(AND($B$294=1,LEN($Y$276) * LEN($Y$264)&gt;0),$Y$276/$Y$264*100,HLOOKUP(INDIRECT(ADDRESS(2,COLUMN())),OFFSET($AT$2,0,0,ROW()-1,40),ROW()-1,FALSE))</f>
        <v>5.1315789470000004</v>
      </c>
      <c r="Z158">
        <f ca="1">IF(AND($B$294=1,LEN($Z$276) * LEN($Z$264)&gt;0),$Z$276/$Z$264*100,HLOOKUP(INDIRECT(ADDRESS(2,COLUMN())),OFFSET($AT$2,0,0,ROW()-1,40),ROW()-1,FALSE))</f>
        <v>4.9833887040000002</v>
      </c>
      <c r="AA158">
        <f ca="1">IF(AND($B$294=1,LEN($AA$276) * LEN($AA$264)&gt;0),$AA$276/$AA$264*100,HLOOKUP(INDIRECT(ADDRESS(2,COLUMN())),OFFSET($AT$2,0,0,ROW()-1,40),ROW()-1,FALSE))</f>
        <v>9.2050209209999991</v>
      </c>
      <c r="AB158">
        <f ca="1">IF(AND($B$294=1,LEN($AB$276) * LEN($AB$264)&gt;0),$AB$276/$AB$264*100,HLOOKUP(INDIRECT(ADDRESS(2,COLUMN())),OFFSET($AT$2,0,0,ROW()-1,40),ROW()-1,FALSE))</f>
        <v>8.0874316939999993</v>
      </c>
      <c r="AC158">
        <f ca="1">IF(AND($B$294=1,LEN($AC$276) * LEN($AC$264)&gt;0),$AC$276/$AC$264*100,HLOOKUP(INDIRECT(ADDRESS(2,COLUMN())),OFFSET($AT$2,0,0,ROW()-1,40),ROW()-1,FALSE))</f>
        <v>8.1155433289999994</v>
      </c>
      <c r="AD158">
        <f ca="1">IF(AND($B$294=1,LEN($AD$276) * LEN($AD$264)&gt;0),$AD$276/$AD$264*100,HLOOKUP(INDIRECT(ADDRESS(2,COLUMN())),OFFSET($AT$2,0,0,ROW()-1,40),ROW()-1,FALSE))</f>
        <v>7.9022988510000003</v>
      </c>
      <c r="AE158">
        <f ca="1">IF(AND($B$294=1,LEN($AE$276) * LEN($AE$264)&gt;0),$AE$276/$AE$264*100,HLOOKUP(INDIRECT(ADDRESS(2,COLUMN())),OFFSET($AT$2,0,0,ROW()-1,40),ROW()-1,FALSE))</f>
        <v>7.938931298</v>
      </c>
      <c r="AF158">
        <f ca="1">IF(AND($B$294=1,LEN($AF$276) * LEN($AF$264)&gt;0),$AF$276/$AF$264*100,HLOOKUP(INDIRECT(ADDRESS(2,COLUMN())),OFFSET($AT$2,0,0,ROW()-1,40),ROW()-1,FALSE))</f>
        <v>8.0620155039999997</v>
      </c>
      <c r="AG158">
        <f ca="1">IF(AND($B$294=1,LEN($AG$276) * LEN($AG$264)&gt;0),$AG$276/$AG$264*100,HLOOKUP(INDIRECT(ADDRESS(2,COLUMN())),OFFSET($AT$2,0,0,ROW()-1,40),ROW()-1,FALSE))</f>
        <v>7.5691411940000002</v>
      </c>
      <c r="AH158">
        <f ca="1">IF(AND($B$294=1,LEN($AH$276) * LEN($AH$264)&gt;0),$AH$276/$AH$264*100,HLOOKUP(INDIRECT(ADDRESS(2,COLUMN())),OFFSET($AT$2,0,0,ROW()-1,40),ROW()-1,FALSE))</f>
        <v>7.153075823</v>
      </c>
      <c r="AI158">
        <f ca="1">IF(AND($B$294=1,LEN($AI$276) * LEN($AI$264)&gt;0),$AI$276/$AI$264*100,HLOOKUP(INDIRECT(ADDRESS(2,COLUMN())),OFFSET($AT$2,0,0,ROW()-1,40),ROW()-1,FALSE))</f>
        <v>8</v>
      </c>
      <c r="AJ158">
        <f ca="1">IF(AND($B$294=1,LEN($AJ$276) * LEN($AJ$264)&gt;0),$AJ$276/$AJ$264*100,HLOOKUP(INDIRECT(ADDRESS(2,COLUMN())),OFFSET($AT$2,0,0,ROW()-1,40),ROW()-1,FALSE))</f>
        <v>5.6555269920000004</v>
      </c>
      <c r="AK158">
        <f ca="1">IF(AND($B$294=1,LEN($AK$276) * LEN($AK$264)&gt;0),$AK$276/$AK$264*100,HLOOKUP(INDIRECT(ADDRESS(2,COLUMN())),OFFSET($AT$2,0,0,ROW()-1,40),ROW()-1,FALSE))</f>
        <v>9.7602739730000003</v>
      </c>
      <c r="AL158">
        <f ca="1">IF(AND($B$294=1,LEN($AL$276) * LEN($AL$264)&gt;0),$AL$276/$AL$264*100,HLOOKUP(INDIRECT(ADDRESS(2,COLUMN())),OFFSET($AT$2,0,0,ROW()-1,40),ROW()-1,FALSE))</f>
        <v>8.9108910889999997</v>
      </c>
      <c r="AM158">
        <f ca="1">IF(AND($B$294=1,LEN($AM$276) * LEN($AM$264)&gt;0),$AM$276/$AM$264*100,HLOOKUP(INDIRECT(ADDRESS(2,COLUMN())),OFFSET($AT$2,0,0,ROW()-1,40),ROW()-1,FALSE))</f>
        <v>9.4214876029999992</v>
      </c>
      <c r="AN158">
        <f ca="1">IF(AND($B$294=1,LEN($AN$276) * LEN($AN$264)&gt;0),$AN$276/$AN$264*100,HLOOKUP(INDIRECT(ADDRESS(2,COLUMN())),OFFSET($AT$2,0,0,ROW()-1,40),ROW()-1,FALSE))</f>
        <v>9.3908629440000002</v>
      </c>
      <c r="AO158">
        <f ca="1">IF(AND($B$294=1,LEN($AO$276) * LEN($AO$264)&gt;0),$AO$276/$AO$264*100,HLOOKUP(INDIRECT(ADDRESS(2,COLUMN())),OFFSET($AT$2,0,0,ROW()-1,40),ROW()-1,FALSE))</f>
        <v>9.9173553719999994</v>
      </c>
      <c r="AP158">
        <f ca="1">IF(AND($B$294=1,LEN($AP$276) * LEN($AP$264)&gt;0),$AP$276/$AP$264*100,HLOOKUP(INDIRECT(ADDRESS(2,COLUMN())),OFFSET($AT$2,0,0,ROW()-1,40),ROW()-1,FALSE))</f>
        <v>10.2319236</v>
      </c>
      <c r="AQ158">
        <f ca="1">IF(AND($B$294=1,LEN($AQ$276) * LEN($AQ$264)&gt;0),$AQ$276/$AQ$264*100,HLOOKUP(INDIRECT(ADDRESS(2,COLUMN())),OFFSET($AT$2,0,0,ROW()-1,40),ROW()-1,FALSE))</f>
        <v>4.835924007</v>
      </c>
      <c r="AR158">
        <f ca="1">IF(AND($B$294=1,LEN($AR$276) * LEN($AR$264)&gt;0),$AR$276/$AR$264*100,HLOOKUP(INDIRECT(ADDRESS(2,COLUMN())),OFFSET($AT$2,0,0,ROW()-1,40),ROW()-1,FALSE))</f>
        <v>4.1733547350000002</v>
      </c>
      <c r="AS158">
        <f ca="1">IF(AND($B$294=1,LEN($AS$276) * LEN($AS$264)&gt;0),$AS$276/$AS$264*100,HLOOKUP(INDIRECT(ADDRESS(2,COLUMN())),OFFSET($AT$2,0,0,ROW()-1,40),ROW()-1,FALSE))</f>
        <v>3.315881326</v>
      </c>
      <c r="AT158" t="str">
        <f>""</f>
        <v/>
      </c>
      <c r="AU158" t="str">
        <f>""</f>
        <v/>
      </c>
      <c r="AV158" t="str">
        <f>""</f>
        <v/>
      </c>
      <c r="AW158" t="str">
        <f>""</f>
        <v/>
      </c>
      <c r="AX158" t="str">
        <f>""</f>
        <v/>
      </c>
      <c r="AY158" t="str">
        <f>""</f>
        <v/>
      </c>
      <c r="AZ158" t="str">
        <f>""</f>
        <v/>
      </c>
      <c r="BA158" t="str">
        <f>""</f>
        <v/>
      </c>
      <c r="BB158" t="str">
        <f>""</f>
        <v/>
      </c>
      <c r="BC158" t="str">
        <f>""</f>
        <v/>
      </c>
      <c r="BD158">
        <f>7.859358842</f>
        <v>7.8593588419999998</v>
      </c>
      <c r="BE158">
        <f>7.421875</f>
        <v>7.421875</v>
      </c>
      <c r="BF158">
        <f>7.558139535</f>
        <v>7.5581395349999996</v>
      </c>
      <c r="BG158">
        <f>6.242197253</f>
        <v>6.2421972529999996</v>
      </c>
      <c r="BH158">
        <f>4.545454545</f>
        <v>4.5454545450000001</v>
      </c>
      <c r="BI158">
        <f>4.176904177</f>
        <v>4.1769041769999999</v>
      </c>
      <c r="BJ158">
        <f>4.406779661</f>
        <v>4.4067796609999998</v>
      </c>
      <c r="BK158">
        <f>6.917293233</f>
        <v>6.9172932329999997</v>
      </c>
      <c r="BL158">
        <f>6.707317073</f>
        <v>6.7073170729999996</v>
      </c>
      <c r="BM158">
        <f>5.131578947</f>
        <v>5.1315789470000004</v>
      </c>
      <c r="BN158">
        <f>4.983388704</f>
        <v>4.9833887040000002</v>
      </c>
      <c r="BO158">
        <f>9.205020921</f>
        <v>9.2050209209999991</v>
      </c>
      <c r="BP158">
        <f>8.087431694</f>
        <v>8.0874316939999993</v>
      </c>
      <c r="BQ158">
        <f>8.115543329</f>
        <v>8.1155433289999994</v>
      </c>
      <c r="BR158">
        <f>7.902298851</f>
        <v>7.9022988510000003</v>
      </c>
      <c r="BS158">
        <f>7.938931298</f>
        <v>7.938931298</v>
      </c>
      <c r="BT158">
        <f>8.062015504</f>
        <v>8.0620155039999997</v>
      </c>
      <c r="BU158">
        <f>7.569141194</f>
        <v>7.5691411940000002</v>
      </c>
      <c r="BV158">
        <f>7.153075823</f>
        <v>7.153075823</v>
      </c>
      <c r="BW158">
        <f>8</f>
        <v>8</v>
      </c>
      <c r="BX158">
        <f>5.655526992</f>
        <v>5.6555269920000004</v>
      </c>
      <c r="BY158">
        <f>9.760273973</f>
        <v>9.7602739730000003</v>
      </c>
      <c r="BZ158">
        <f>8.910891089</f>
        <v>8.9108910889999997</v>
      </c>
      <c r="CA158">
        <f>9.421487603</f>
        <v>9.4214876029999992</v>
      </c>
      <c r="CB158">
        <f>9.390862944</f>
        <v>9.3908629440000002</v>
      </c>
      <c r="CC158">
        <f>9.917355372</f>
        <v>9.9173553719999994</v>
      </c>
      <c r="CD158">
        <f>10.2319236</f>
        <v>10.2319236</v>
      </c>
      <c r="CE158">
        <f>4.835924007</f>
        <v>4.835924007</v>
      </c>
      <c r="CF158">
        <f>4.173354735</f>
        <v>4.1733547350000002</v>
      </c>
      <c r="CG158">
        <f>3.315881326</f>
        <v>3.315881326</v>
      </c>
    </row>
    <row r="159" spans="1:85" x14ac:dyDescent="0.25">
      <c r="A159" t="str">
        <f>"    Other"</f>
        <v xml:space="preserve">    Other</v>
      </c>
      <c r="B159" t="str">
        <f>"SCVB SS Equity"</f>
        <v>SCVB SS Equity</v>
      </c>
      <c r="E159" t="str">
        <f>"Expression"</f>
        <v>Expression</v>
      </c>
      <c r="F159" t="str">
        <f t="shared" ref="F159:AS159" ca="1" si="3">HLOOKUP(INDIRECT(ADDRESS(2,COLUMN())),OFFSET($AT$2,0,0,ROW()-1,40),ROW()-1,FALSE)</f>
        <v/>
      </c>
      <c r="G159" t="str">
        <f t="shared" ca="1" si="3"/>
        <v/>
      </c>
      <c r="H159" t="str">
        <f t="shared" ca="1" si="3"/>
        <v/>
      </c>
      <c r="I159" t="str">
        <f t="shared" ca="1" si="3"/>
        <v/>
      </c>
      <c r="J159" t="str">
        <f t="shared" ca="1" si="3"/>
        <v/>
      </c>
      <c r="K159" t="str">
        <f t="shared" ca="1" si="3"/>
        <v/>
      </c>
      <c r="L159" t="str">
        <f t="shared" ca="1" si="3"/>
        <v/>
      </c>
      <c r="M159" t="str">
        <f t="shared" ca="1" si="3"/>
        <v/>
      </c>
      <c r="N159" t="str">
        <f t="shared" ca="1" si="3"/>
        <v/>
      </c>
      <c r="O159" t="str">
        <f t="shared" ca="1" si="3"/>
        <v/>
      </c>
      <c r="P159" t="str">
        <f t="shared" ca="1" si="3"/>
        <v/>
      </c>
      <c r="Q159" t="str">
        <f t="shared" ca="1" si="3"/>
        <v/>
      </c>
      <c r="R159" t="str">
        <f t="shared" ca="1" si="3"/>
        <v/>
      </c>
      <c r="S159" t="str">
        <f t="shared" ca="1" si="3"/>
        <v/>
      </c>
      <c r="T159" t="str">
        <f t="shared" ca="1" si="3"/>
        <v/>
      </c>
      <c r="U159" t="str">
        <f t="shared" ca="1" si="3"/>
        <v/>
      </c>
      <c r="V159" t="str">
        <f t="shared" ca="1" si="3"/>
        <v/>
      </c>
      <c r="W159" t="str">
        <f t="shared" ca="1" si="3"/>
        <v/>
      </c>
      <c r="X159" t="str">
        <f t="shared" ca="1" si="3"/>
        <v/>
      </c>
      <c r="Y159" t="str">
        <f t="shared" ca="1" si="3"/>
        <v/>
      </c>
      <c r="Z159" t="str">
        <f t="shared" ca="1" si="3"/>
        <v/>
      </c>
      <c r="AA159" t="str">
        <f t="shared" ca="1" si="3"/>
        <v/>
      </c>
      <c r="AB159" t="str">
        <f t="shared" ca="1" si="3"/>
        <v/>
      </c>
      <c r="AC159" t="str">
        <f t="shared" ca="1" si="3"/>
        <v/>
      </c>
      <c r="AD159" t="str">
        <f t="shared" ca="1" si="3"/>
        <v/>
      </c>
      <c r="AE159" t="str">
        <f t="shared" ca="1" si="3"/>
        <v/>
      </c>
      <c r="AF159" t="str">
        <f t="shared" ca="1" si="3"/>
        <v/>
      </c>
      <c r="AG159" t="str">
        <f t="shared" ca="1" si="3"/>
        <v/>
      </c>
      <c r="AH159" t="str">
        <f t="shared" ca="1" si="3"/>
        <v/>
      </c>
      <c r="AI159" t="str">
        <f t="shared" ca="1" si="3"/>
        <v/>
      </c>
      <c r="AJ159" t="str">
        <f t="shared" ca="1" si="3"/>
        <v/>
      </c>
      <c r="AK159" t="str">
        <f t="shared" ca="1" si="3"/>
        <v/>
      </c>
      <c r="AL159" t="str">
        <f t="shared" ca="1" si="3"/>
        <v/>
      </c>
      <c r="AM159" t="str">
        <f t="shared" ca="1" si="3"/>
        <v/>
      </c>
      <c r="AN159" t="str">
        <f t="shared" ca="1" si="3"/>
        <v/>
      </c>
      <c r="AO159" t="str">
        <f t="shared" ca="1" si="3"/>
        <v/>
      </c>
      <c r="AP159" t="str">
        <f t="shared" ca="1" si="3"/>
        <v/>
      </c>
      <c r="AQ159" t="str">
        <f t="shared" ca="1" si="3"/>
        <v/>
      </c>
      <c r="AR159" t="str">
        <f t="shared" ca="1" si="3"/>
        <v/>
      </c>
      <c r="AS159" t="str">
        <f t="shared" ca="1" si="3"/>
        <v/>
      </c>
      <c r="AT159" t="str">
        <f>""</f>
        <v/>
      </c>
      <c r="AU159" t="str">
        <f>""</f>
        <v/>
      </c>
      <c r="AV159" t="str">
        <f>""</f>
        <v/>
      </c>
      <c r="AW159" t="str">
        <f>""</f>
        <v/>
      </c>
      <c r="AX159" t="str">
        <f>""</f>
        <v/>
      </c>
      <c r="AY159" t="str">
        <f>""</f>
        <v/>
      </c>
      <c r="AZ159" t="str">
        <f>""</f>
        <v/>
      </c>
      <c r="BA159" t="str">
        <f>""</f>
        <v/>
      </c>
      <c r="BB159" t="str">
        <f>""</f>
        <v/>
      </c>
      <c r="BC159" t="str">
        <f>""</f>
        <v/>
      </c>
      <c r="BD159" t="str">
        <f>""</f>
        <v/>
      </c>
      <c r="BE159" t="str">
        <f>""</f>
        <v/>
      </c>
      <c r="BF159" t="str">
        <f>""</f>
        <v/>
      </c>
      <c r="BG159" t="str">
        <f>""</f>
        <v/>
      </c>
      <c r="BH159" t="str">
        <f>""</f>
        <v/>
      </c>
      <c r="BI159" t="str">
        <f>""</f>
        <v/>
      </c>
      <c r="BJ159" t="str">
        <f>""</f>
        <v/>
      </c>
      <c r="BK159" t="str">
        <f>""</f>
        <v/>
      </c>
      <c r="BL159" t="str">
        <f>""</f>
        <v/>
      </c>
      <c r="BM159" t="str">
        <f>""</f>
        <v/>
      </c>
      <c r="BN159" t="str">
        <f>""</f>
        <v/>
      </c>
      <c r="BO159" t="str">
        <f>""</f>
        <v/>
      </c>
      <c r="BP159" t="str">
        <f>""</f>
        <v/>
      </c>
      <c r="BQ159" t="str">
        <f>""</f>
        <v/>
      </c>
      <c r="BR159" t="str">
        <f>""</f>
        <v/>
      </c>
      <c r="BS159" t="str">
        <f>""</f>
        <v/>
      </c>
      <c r="BT159" t="str">
        <f>""</f>
        <v/>
      </c>
      <c r="BU159" t="str">
        <f>""</f>
        <v/>
      </c>
      <c r="BV159" t="str">
        <f>""</f>
        <v/>
      </c>
      <c r="BW159" t="str">
        <f>""</f>
        <v/>
      </c>
      <c r="BX159" t="str">
        <f>""</f>
        <v/>
      </c>
      <c r="BY159" t="str">
        <f>""</f>
        <v/>
      </c>
      <c r="BZ159" t="str">
        <f>""</f>
        <v/>
      </c>
      <c r="CA159" t="str">
        <f>""</f>
        <v/>
      </c>
      <c r="CB159" t="str">
        <f>""</f>
        <v/>
      </c>
      <c r="CC159" t="str">
        <f>""</f>
        <v/>
      </c>
      <c r="CD159" t="str">
        <f>""</f>
        <v/>
      </c>
      <c r="CE159" t="str">
        <f>""</f>
        <v/>
      </c>
      <c r="CF159" t="str">
        <f>""</f>
        <v/>
      </c>
      <c r="CG159" t="str">
        <f>""</f>
        <v/>
      </c>
    </row>
    <row r="160" spans="1:85" x14ac:dyDescent="0.25">
      <c r="A160" t="str">
        <f>"    Unspecified"</f>
        <v xml:space="preserve">    Unspecified</v>
      </c>
      <c r="B160" t="str">
        <f>"SCVB SS Equity"</f>
        <v>SCVB SS Equity</v>
      </c>
      <c r="E160" t="str">
        <f>"Expression"</f>
        <v>Expression</v>
      </c>
      <c r="F160">
        <f ca="1">IF(AND($B$294=1,LEN($F$278) * LEN($F$264)&gt;0),$F$278/$F$264*100,HLOOKUP(INDIRECT(ADDRESS(2,COLUMN())),OFFSET($AT$2,0,0,ROW()-1,40),ROW()-1,FALSE))</f>
        <v>63.881401619999998</v>
      </c>
      <c r="G160">
        <f ca="1">IF(AND($B$294=1,LEN($G$278) * LEN($G$264)&gt;0),$G$278/$G$264*100,HLOOKUP(INDIRECT(ADDRESS(2,COLUMN())),OFFSET($AT$2,0,0,ROW()-1,40),ROW()-1,FALSE))</f>
        <v>69.359331479999994</v>
      </c>
      <c r="H160">
        <f ca="1">IF(AND($B$294=1,LEN($H$278) * LEN($H$264)&gt;0),$H$278/$H$264*100,HLOOKUP(INDIRECT(ADDRESS(2,COLUMN())),OFFSET($AT$2,0,0,ROW()-1,40),ROW()-1,FALSE))</f>
        <v>64.134495639999997</v>
      </c>
      <c r="I160">
        <f ca="1">IF(AND($B$294=1,LEN($I$278) * LEN($I$264)&gt;0),$I$278/$I$264*100,HLOOKUP(INDIRECT(ADDRESS(2,COLUMN())),OFFSET($AT$2,0,0,ROW()-1,40),ROW()-1,FALSE))</f>
        <v>68.023255809999995</v>
      </c>
      <c r="J160">
        <f ca="1">IF(AND($B$294=1,LEN($J$278) * LEN($J$264)&gt;0),$J$278/$J$264*100,HLOOKUP(INDIRECT(ADDRESS(2,COLUMN())),OFFSET($AT$2,0,0,ROW()-1,40),ROW()-1,FALSE))</f>
        <v>69.530201340000005</v>
      </c>
      <c r="K160">
        <f ca="1">IF(AND($B$294=1,LEN($K$278) * LEN($K$264)&gt;0),$K$278/$K$264*100,HLOOKUP(INDIRECT(ADDRESS(2,COLUMN())),OFFSET($AT$2,0,0,ROW()-1,40),ROW()-1,FALSE))</f>
        <v>66.873065019999999</v>
      </c>
      <c r="L160">
        <f ca="1">IF(AND($B$294=1,LEN($L$278) * LEN($L$264)&gt;0),$L$278/$L$264*100,HLOOKUP(INDIRECT(ADDRESS(2,COLUMN())),OFFSET($AT$2,0,0,ROW()-1,40),ROW()-1,FALSE))</f>
        <v>67.751937979999994</v>
      </c>
      <c r="M160">
        <f ca="1">IF(AND($B$294=1,LEN($M$278) * LEN($M$264)&gt;0),$M$278/$M$264*100,HLOOKUP(INDIRECT(ADDRESS(2,COLUMN())),OFFSET($AT$2,0,0,ROW()-1,40),ROW()-1,FALSE))</f>
        <v>67.842605160000005</v>
      </c>
      <c r="N160">
        <f ca="1">IF(AND($B$294=1,LEN($N$278) * LEN($N$264)&gt;0),$N$278/$N$264*100,HLOOKUP(INDIRECT(ADDRESS(2,COLUMN())),OFFSET($AT$2,0,0,ROW()-1,40),ROW()-1,FALSE))</f>
        <v>62.936046509999997</v>
      </c>
      <c r="O160">
        <f ca="1">IF(AND($B$294=1,LEN($O$278) * LEN($O$264)&gt;0),$O$278/$O$264*100,HLOOKUP(INDIRECT(ADDRESS(2,COLUMN())),OFFSET($AT$2,0,0,ROW()-1,40),ROW()-1,FALSE))</f>
        <v>62.13592233</v>
      </c>
      <c r="P160">
        <f ca="1">IF(AND($B$294=1,LEN($P$278) * LEN($P$264)&gt;0),$P$278/$P$264*100,HLOOKUP(INDIRECT(ADDRESS(2,COLUMN())),OFFSET($AT$2,0,0,ROW()-1,40),ROW()-1,FALSE))</f>
        <v>0</v>
      </c>
      <c r="Q160">
        <f ca="1">IF(AND($B$294=1,LEN($Q$278) * LEN($Q$264)&gt;0),$Q$278/$Q$264*100,HLOOKUP(INDIRECT(ADDRESS(2,COLUMN())),OFFSET($AT$2,0,0,ROW()-1,40),ROW()-1,FALSE))</f>
        <v>0</v>
      </c>
      <c r="R160">
        <f ca="1">IF(AND($B$294=1,LEN($R$278) * LEN($R$264)&gt;0),$R$278/$R$264*100,HLOOKUP(INDIRECT(ADDRESS(2,COLUMN())),OFFSET($AT$2,0,0,ROW()-1,40),ROW()-1,FALSE))</f>
        <v>0</v>
      </c>
      <c r="S160">
        <f ca="1">IF(AND($B$294=1,LEN($S$278) * LEN($S$264)&gt;0),$S$278/$S$264*100,HLOOKUP(INDIRECT(ADDRESS(2,COLUMN())),OFFSET($AT$2,0,0,ROW()-1,40),ROW()-1,FALSE))</f>
        <v>0</v>
      </c>
      <c r="T160">
        <f ca="1">IF(AND($B$294=1,LEN($T$278) * LEN($T$264)&gt;0),$T$278/$T$264*100,HLOOKUP(INDIRECT(ADDRESS(2,COLUMN())),OFFSET($AT$2,0,0,ROW()-1,40),ROW()-1,FALSE))</f>
        <v>0</v>
      </c>
      <c r="U160">
        <f ca="1">IF(AND($B$294=1,LEN($U$278) * LEN($U$264)&gt;0),$U$278/$U$264*100,HLOOKUP(INDIRECT(ADDRESS(2,COLUMN())),OFFSET($AT$2,0,0,ROW()-1,40),ROW()-1,FALSE))</f>
        <v>0</v>
      </c>
      <c r="V160">
        <f ca="1">IF(AND($B$294=1,LEN($V$278) * LEN($V$264)&gt;0),$V$278/$V$264*100,HLOOKUP(INDIRECT(ADDRESS(2,COLUMN())),OFFSET($AT$2,0,0,ROW()-1,40),ROW()-1,FALSE))</f>
        <v>0</v>
      </c>
      <c r="W160">
        <f ca="1">IF(AND($B$294=1,LEN($W$278) * LEN($W$264)&gt;0),$W$278/$W$264*100,HLOOKUP(INDIRECT(ADDRESS(2,COLUMN())),OFFSET($AT$2,0,0,ROW()-1,40),ROW()-1,FALSE))</f>
        <v>0</v>
      </c>
      <c r="X160">
        <f ca="1">IF(AND($B$294=1,LEN($X$278) * LEN($X$264)&gt;0),$X$278/$X$264*100,HLOOKUP(INDIRECT(ADDRESS(2,COLUMN())),OFFSET($AT$2,0,0,ROW()-1,40),ROW()-1,FALSE))</f>
        <v>0</v>
      </c>
      <c r="Y160">
        <f ca="1">IF(AND($B$294=1,LEN($Y$278) * LEN($Y$264)&gt;0),$Y$278/$Y$264*100,HLOOKUP(INDIRECT(ADDRESS(2,COLUMN())),OFFSET($AT$2,0,0,ROW()-1,40),ROW()-1,FALSE))</f>
        <v>0</v>
      </c>
      <c r="Z160">
        <f ca="1">IF(AND($B$294=1,LEN($Z$278) * LEN($Z$264)&gt;0),$Z$278/$Z$264*100,HLOOKUP(INDIRECT(ADDRESS(2,COLUMN())),OFFSET($AT$2,0,0,ROW()-1,40),ROW()-1,FALSE))</f>
        <v>0</v>
      </c>
      <c r="AA160">
        <f ca="1">IF(AND($B$294=1,LEN($AA$278) * LEN($AA$264)&gt;0),$AA$278/$AA$264*100,HLOOKUP(INDIRECT(ADDRESS(2,COLUMN())),OFFSET($AT$2,0,0,ROW()-1,40),ROW()-1,FALSE))</f>
        <v>0</v>
      </c>
      <c r="AB160">
        <f ca="1">IF(AND($B$294=1,LEN($AB$278) * LEN($AB$264)&gt;0),$AB$278/$AB$264*100,HLOOKUP(INDIRECT(ADDRESS(2,COLUMN())),OFFSET($AT$2,0,0,ROW()-1,40),ROW()-1,FALSE))</f>
        <v>0</v>
      </c>
      <c r="AC160">
        <f ca="1">IF(AND($B$294=1,LEN($AC$278) * LEN($AC$264)&gt;0),$AC$278/$AC$264*100,HLOOKUP(INDIRECT(ADDRESS(2,COLUMN())),OFFSET($AT$2,0,0,ROW()-1,40),ROW()-1,FALSE))</f>
        <v>0</v>
      </c>
      <c r="AD160">
        <f ca="1">IF(AND($B$294=1,LEN($AD$278) * LEN($AD$264)&gt;0),$AD$278/$AD$264*100,HLOOKUP(INDIRECT(ADDRESS(2,COLUMN())),OFFSET($AT$2,0,0,ROW()-1,40),ROW()-1,FALSE))</f>
        <v>0</v>
      </c>
      <c r="AE160">
        <f ca="1">IF(AND($B$294=1,LEN($AE$278) * LEN($AE$264)&gt;0),$AE$278/$AE$264*100,HLOOKUP(INDIRECT(ADDRESS(2,COLUMN())),OFFSET($AT$2,0,0,ROW()-1,40),ROW()-1,FALSE))</f>
        <v>0</v>
      </c>
      <c r="AF160">
        <f ca="1">IF(AND($B$294=1,LEN($AF$278) * LEN($AF$264)&gt;0),$AF$278/$AF$264*100,HLOOKUP(INDIRECT(ADDRESS(2,COLUMN())),OFFSET($AT$2,0,0,ROW()-1,40),ROW()-1,FALSE))</f>
        <v>0</v>
      </c>
      <c r="AG160">
        <f ca="1">IF(AND($B$294=1,LEN($AG$278) * LEN($AG$264)&gt;0),$AG$278/$AG$264*100,HLOOKUP(INDIRECT(ADDRESS(2,COLUMN())),OFFSET($AT$2,0,0,ROW()-1,40),ROW()-1,FALSE))</f>
        <v>0</v>
      </c>
      <c r="AH160">
        <f ca="1">IF(AND($B$294=1,LEN($AH$278) * LEN($AH$264)&gt;0),$AH$278/$AH$264*100,HLOOKUP(INDIRECT(ADDRESS(2,COLUMN())),OFFSET($AT$2,0,0,ROW()-1,40),ROW()-1,FALSE))</f>
        <v>0</v>
      </c>
      <c r="AI160">
        <f ca="1">IF(AND($B$294=1,LEN($AI$278) * LEN($AI$264)&gt;0),$AI$278/$AI$264*100,HLOOKUP(INDIRECT(ADDRESS(2,COLUMN())),OFFSET($AT$2,0,0,ROW()-1,40),ROW()-1,FALSE))</f>
        <v>0</v>
      </c>
      <c r="AJ160">
        <f ca="1">IF(AND($B$294=1,LEN($AJ$278) * LEN($AJ$264)&gt;0),$AJ$278/$AJ$264*100,HLOOKUP(INDIRECT(ADDRESS(2,COLUMN())),OFFSET($AT$2,0,0,ROW()-1,40),ROW()-1,FALSE))</f>
        <v>0</v>
      </c>
      <c r="AK160">
        <f ca="1">IF(AND($B$294=1,LEN($AK$278) * LEN($AK$264)&gt;0),$AK$278/$AK$264*100,HLOOKUP(INDIRECT(ADDRESS(2,COLUMN())),OFFSET($AT$2,0,0,ROW()-1,40),ROW()-1,FALSE))</f>
        <v>0</v>
      </c>
      <c r="AL160">
        <f ca="1">IF(AND($B$294=1,LEN($AL$278) * LEN($AL$264)&gt;0),$AL$278/$AL$264*100,HLOOKUP(INDIRECT(ADDRESS(2,COLUMN())),OFFSET($AT$2,0,0,ROW()-1,40),ROW()-1,FALSE))</f>
        <v>0</v>
      </c>
      <c r="AM160">
        <f ca="1">IF(AND($B$294=1,LEN($AM$278) * LEN($AM$264)&gt;0),$AM$278/$AM$264*100,HLOOKUP(INDIRECT(ADDRESS(2,COLUMN())),OFFSET($AT$2,0,0,ROW()-1,40),ROW()-1,FALSE))</f>
        <v>0</v>
      </c>
      <c r="AN160">
        <f ca="1">IF(AND($B$294=1,LEN($AN$278) * LEN($AN$264)&gt;0),$AN$278/$AN$264*100,HLOOKUP(INDIRECT(ADDRESS(2,COLUMN())),OFFSET($AT$2,0,0,ROW()-1,40),ROW()-1,FALSE))</f>
        <v>0</v>
      </c>
      <c r="AO160">
        <f ca="1">IF(AND($B$294=1,LEN($AO$278) * LEN($AO$264)&gt;0),$AO$278/$AO$264*100,HLOOKUP(INDIRECT(ADDRESS(2,COLUMN())),OFFSET($AT$2,0,0,ROW()-1,40),ROW()-1,FALSE))</f>
        <v>0</v>
      </c>
      <c r="AP160">
        <f ca="1">IF(AND($B$294=1,LEN($AP$278) * LEN($AP$264)&gt;0),$AP$278/$AP$264*100,HLOOKUP(INDIRECT(ADDRESS(2,COLUMN())),OFFSET($AT$2,0,0,ROW()-1,40),ROW()-1,FALSE))</f>
        <v>0</v>
      </c>
      <c r="AQ160">
        <f ca="1">IF(AND($B$294=1,LEN($AQ$278) * LEN($AQ$264)&gt;0),$AQ$278/$AQ$264*100,HLOOKUP(INDIRECT(ADDRESS(2,COLUMN())),OFFSET($AT$2,0,0,ROW()-1,40),ROW()-1,FALSE))</f>
        <v>0</v>
      </c>
      <c r="AR160">
        <f ca="1">IF(AND($B$294=1,LEN($AR$278) * LEN($AR$264)&gt;0),$AR$278/$AR$264*100,HLOOKUP(INDIRECT(ADDRESS(2,COLUMN())),OFFSET($AT$2,0,0,ROW()-1,40),ROW()-1,FALSE))</f>
        <v>0</v>
      </c>
      <c r="AS160">
        <f ca="1">IF(AND($B$294=1,LEN($AS$278) * LEN($AS$264)&gt;0),$AS$278/$AS$264*100,HLOOKUP(INDIRECT(ADDRESS(2,COLUMN())),OFFSET($AT$2,0,0,ROW()-1,40),ROW()-1,FALSE))</f>
        <v>0</v>
      </c>
      <c r="AT160">
        <f>63.88140162</f>
        <v>63.881401619999998</v>
      </c>
      <c r="AU160">
        <f>69.35933148</f>
        <v>69.359331479999994</v>
      </c>
      <c r="AV160">
        <f>64.13449564</f>
        <v>64.134495639999997</v>
      </c>
      <c r="AW160">
        <f>68.02325581</f>
        <v>68.023255809999995</v>
      </c>
      <c r="AX160">
        <f>69.53020134</f>
        <v>69.530201340000005</v>
      </c>
      <c r="AY160">
        <f>66.87306502</f>
        <v>66.873065019999999</v>
      </c>
      <c r="AZ160">
        <f>67.75193798</f>
        <v>67.751937979999994</v>
      </c>
      <c r="BA160">
        <f>67.84260516</f>
        <v>67.842605160000005</v>
      </c>
      <c r="BB160">
        <f>62.93604651</f>
        <v>62.936046509999997</v>
      </c>
      <c r="BC160">
        <f>62.13592233</f>
        <v>62.13592233</v>
      </c>
      <c r="BD160">
        <f>0</f>
        <v>0</v>
      </c>
      <c r="BE160">
        <f>0</f>
        <v>0</v>
      </c>
      <c r="BF160">
        <f>0</f>
        <v>0</v>
      </c>
      <c r="BG160">
        <f>0</f>
        <v>0</v>
      </c>
      <c r="BH160">
        <f>0</f>
        <v>0</v>
      </c>
      <c r="BI160">
        <f>0</f>
        <v>0</v>
      </c>
      <c r="BJ160">
        <f>0</f>
        <v>0</v>
      </c>
      <c r="BK160">
        <f>0</f>
        <v>0</v>
      </c>
      <c r="BL160">
        <f>0</f>
        <v>0</v>
      </c>
      <c r="BM160">
        <f>0</f>
        <v>0</v>
      </c>
      <c r="BN160">
        <f>0</f>
        <v>0</v>
      </c>
      <c r="BO160">
        <f>0</f>
        <v>0</v>
      </c>
      <c r="BP160">
        <f>0</f>
        <v>0</v>
      </c>
      <c r="BQ160">
        <f>0</f>
        <v>0</v>
      </c>
      <c r="BR160">
        <f>0</f>
        <v>0</v>
      </c>
      <c r="BS160">
        <f>0</f>
        <v>0</v>
      </c>
      <c r="BT160">
        <f>0</f>
        <v>0</v>
      </c>
      <c r="BU160">
        <f>0</f>
        <v>0</v>
      </c>
      <c r="BV160">
        <f>0</f>
        <v>0</v>
      </c>
      <c r="BW160">
        <f>0</f>
        <v>0</v>
      </c>
      <c r="BX160">
        <f>0</f>
        <v>0</v>
      </c>
      <c r="BY160">
        <f>0</f>
        <v>0</v>
      </c>
      <c r="BZ160">
        <f>0</f>
        <v>0</v>
      </c>
      <c r="CA160">
        <f>0</f>
        <v>0</v>
      </c>
      <c r="CB160">
        <f>0</f>
        <v>0</v>
      </c>
      <c r="CC160">
        <f>0</f>
        <v>0</v>
      </c>
      <c r="CD160">
        <f>0</f>
        <v>0</v>
      </c>
      <c r="CE160">
        <f>0</f>
        <v>0</v>
      </c>
      <c r="CF160">
        <f>0</f>
        <v>0</v>
      </c>
      <c r="CG160">
        <f>0</f>
        <v>0</v>
      </c>
    </row>
    <row r="161" spans="1:85" x14ac:dyDescent="0.25">
      <c r="A161" t="str">
        <f>""</f>
        <v/>
      </c>
      <c r="B161" t="str">
        <f>""</f>
        <v/>
      </c>
      <c r="E161" t="str">
        <f>"Static"</f>
        <v>Static</v>
      </c>
      <c r="F161" t="str">
        <f t="shared" ref="F161:AS161" ca="1" si="4">HLOOKUP(INDIRECT(ADDRESS(2,COLUMN())),OFFSET($AT$2,0,0,ROW()-1,40),ROW()-1,FALSE)</f>
        <v/>
      </c>
      <c r="G161" t="str">
        <f t="shared" ca="1" si="4"/>
        <v/>
      </c>
      <c r="H161" t="str">
        <f t="shared" ca="1" si="4"/>
        <v/>
      </c>
      <c r="I161" t="str">
        <f t="shared" ca="1" si="4"/>
        <v/>
      </c>
      <c r="J161" t="str">
        <f t="shared" ca="1" si="4"/>
        <v/>
      </c>
      <c r="K161" t="str">
        <f t="shared" ca="1" si="4"/>
        <v/>
      </c>
      <c r="L161" t="str">
        <f t="shared" ca="1" si="4"/>
        <v/>
      </c>
      <c r="M161" t="str">
        <f t="shared" ca="1" si="4"/>
        <v/>
      </c>
      <c r="N161" t="str">
        <f t="shared" ca="1" si="4"/>
        <v/>
      </c>
      <c r="O161" t="str">
        <f t="shared" ca="1" si="4"/>
        <v/>
      </c>
      <c r="P161" t="str">
        <f t="shared" ca="1" si="4"/>
        <v/>
      </c>
      <c r="Q161" t="str">
        <f t="shared" ca="1" si="4"/>
        <v/>
      </c>
      <c r="R161" t="str">
        <f t="shared" ca="1" si="4"/>
        <v/>
      </c>
      <c r="S161" t="str">
        <f t="shared" ca="1" si="4"/>
        <v/>
      </c>
      <c r="T161" t="str">
        <f t="shared" ca="1" si="4"/>
        <v/>
      </c>
      <c r="U161" t="str">
        <f t="shared" ca="1" si="4"/>
        <v/>
      </c>
      <c r="V161" t="str">
        <f t="shared" ca="1" si="4"/>
        <v/>
      </c>
      <c r="W161" t="str">
        <f t="shared" ca="1" si="4"/>
        <v/>
      </c>
      <c r="X161" t="str">
        <f t="shared" ca="1" si="4"/>
        <v/>
      </c>
      <c r="Y161" t="str">
        <f t="shared" ca="1" si="4"/>
        <v/>
      </c>
      <c r="Z161" t="str">
        <f t="shared" ca="1" si="4"/>
        <v/>
      </c>
      <c r="AA161" t="str">
        <f t="shared" ca="1" si="4"/>
        <v/>
      </c>
      <c r="AB161" t="str">
        <f t="shared" ca="1" si="4"/>
        <v/>
      </c>
      <c r="AC161" t="str">
        <f t="shared" ca="1" si="4"/>
        <v/>
      </c>
      <c r="AD161" t="str">
        <f t="shared" ca="1" si="4"/>
        <v/>
      </c>
      <c r="AE161" t="str">
        <f t="shared" ca="1" si="4"/>
        <v/>
      </c>
      <c r="AF161" t="str">
        <f t="shared" ca="1" si="4"/>
        <v/>
      </c>
      <c r="AG161" t="str">
        <f t="shared" ca="1" si="4"/>
        <v/>
      </c>
      <c r="AH161" t="str">
        <f t="shared" ca="1" si="4"/>
        <v/>
      </c>
      <c r="AI161" t="str">
        <f t="shared" ca="1" si="4"/>
        <v/>
      </c>
      <c r="AJ161" t="str">
        <f t="shared" ca="1" si="4"/>
        <v/>
      </c>
      <c r="AK161" t="str">
        <f t="shared" ca="1" si="4"/>
        <v/>
      </c>
      <c r="AL161" t="str">
        <f t="shared" ca="1" si="4"/>
        <v/>
      </c>
      <c r="AM161" t="str">
        <f t="shared" ca="1" si="4"/>
        <v/>
      </c>
      <c r="AN161" t="str">
        <f t="shared" ca="1" si="4"/>
        <v/>
      </c>
      <c r="AO161" t="str">
        <f t="shared" ca="1" si="4"/>
        <v/>
      </c>
      <c r="AP161" t="str">
        <f t="shared" ca="1" si="4"/>
        <v/>
      </c>
      <c r="AQ161" t="str">
        <f t="shared" ca="1" si="4"/>
        <v/>
      </c>
      <c r="AR161" t="str">
        <f t="shared" ca="1" si="4"/>
        <v/>
      </c>
      <c r="AS161" t="str">
        <f t="shared" ca="1" si="4"/>
        <v/>
      </c>
      <c r="AT161" t="str">
        <f>""</f>
        <v/>
      </c>
      <c r="AU161" t="str">
        <f>""</f>
        <v/>
      </c>
      <c r="AV161" t="str">
        <f>""</f>
        <v/>
      </c>
      <c r="AW161" t="str">
        <f>""</f>
        <v/>
      </c>
      <c r="AX161" t="str">
        <f>""</f>
        <v/>
      </c>
      <c r="AY161" t="str">
        <f>""</f>
        <v/>
      </c>
      <c r="AZ161" t="str">
        <f>""</f>
        <v/>
      </c>
      <c r="BA161" t="str">
        <f>""</f>
        <v/>
      </c>
      <c r="BB161" t="str">
        <f>""</f>
        <v/>
      </c>
      <c r="BC161" t="str">
        <f>""</f>
        <v/>
      </c>
      <c r="BD161" t="str">
        <f>""</f>
        <v/>
      </c>
      <c r="BE161" t="str">
        <f>""</f>
        <v/>
      </c>
      <c r="BF161" t="str">
        <f>""</f>
        <v/>
      </c>
      <c r="BG161" t="str">
        <f>""</f>
        <v/>
      </c>
      <c r="BH161" t="str">
        <f>""</f>
        <v/>
      </c>
      <c r="BI161" t="str">
        <f>""</f>
        <v/>
      </c>
      <c r="BJ161" t="str">
        <f>""</f>
        <v/>
      </c>
      <c r="BK161" t="str">
        <f>""</f>
        <v/>
      </c>
      <c r="BL161" t="str">
        <f>""</f>
        <v/>
      </c>
      <c r="BM161" t="str">
        <f>""</f>
        <v/>
      </c>
      <c r="BN161" t="str">
        <f>""</f>
        <v/>
      </c>
      <c r="BO161" t="str">
        <f>""</f>
        <v/>
      </c>
      <c r="BP161" t="str">
        <f>""</f>
        <v/>
      </c>
      <c r="BQ161" t="str">
        <f>""</f>
        <v/>
      </c>
      <c r="BR161" t="str">
        <f>""</f>
        <v/>
      </c>
      <c r="BS161" t="str">
        <f>""</f>
        <v/>
      </c>
      <c r="BT161" t="str">
        <f>""</f>
        <v/>
      </c>
      <c r="BU161" t="str">
        <f>""</f>
        <v/>
      </c>
      <c r="BV161" t="str">
        <f>""</f>
        <v/>
      </c>
      <c r="BW161" t="str">
        <f>""</f>
        <v/>
      </c>
      <c r="BX161" t="str">
        <f>""</f>
        <v/>
      </c>
      <c r="BY161" t="str">
        <f>""</f>
        <v/>
      </c>
      <c r="BZ161" t="str">
        <f>""</f>
        <v/>
      </c>
      <c r="CA161" t="str">
        <f>""</f>
        <v/>
      </c>
      <c r="CB161" t="str">
        <f>""</f>
        <v/>
      </c>
      <c r="CC161" t="str">
        <f>""</f>
        <v/>
      </c>
      <c r="CD161" t="str">
        <f>""</f>
        <v/>
      </c>
      <c r="CE161" t="str">
        <f>""</f>
        <v/>
      </c>
      <c r="CF161" t="str">
        <f>""</f>
        <v/>
      </c>
      <c r="CG161" t="str">
        <f>""</f>
        <v/>
      </c>
    </row>
    <row r="162" spans="1:85" x14ac:dyDescent="0.25">
      <c r="A162" t="str">
        <f>"Total North America (Class 8)"</f>
        <v>Total North America (Class 8)</v>
      </c>
      <c r="B162" t="str">
        <f>"TRCKNA8S Index"</f>
        <v>TRCKNA8S Index</v>
      </c>
      <c r="C162" t="str">
        <f>"PR005"</f>
        <v>PR005</v>
      </c>
      <c r="D162" t="str">
        <f>"PX_LAST"</f>
        <v>PX_LAST</v>
      </c>
      <c r="E162" t="str">
        <f>"Dynamic"</f>
        <v>Dynamic</v>
      </c>
      <c r="F162">
        <f ca="1">IF(AND(ISNUMBER($F$296),$B$294=1),$F$296,HLOOKUP(INDIRECT(ADDRESS(2,COLUMN())),OFFSET($AT$2,0,0,ROW()-1,40),ROW()-1,FALSE))</f>
        <v>23156</v>
      </c>
      <c r="G162">
        <f ca="1">IF(AND(ISNUMBER($G$296),$B$294=1),$G$296,HLOOKUP(INDIRECT(ADDRESS(2,COLUMN())),OFFSET($AT$2,0,0,ROW()-1,40),ROW()-1,FALSE))</f>
        <v>22487</v>
      </c>
      <c r="H162">
        <f ca="1">IF(AND(ISNUMBER($H$296),$B$294=1),$H$296,HLOOKUP(INDIRECT(ADDRESS(2,COLUMN())),OFFSET($AT$2,0,0,ROW()-1,40),ROW()-1,FALSE))</f>
        <v>21659</v>
      </c>
      <c r="I162">
        <f ca="1">IF(AND(ISNUMBER($I$296),$B$294=1),$I$296,HLOOKUP(INDIRECT(ADDRESS(2,COLUMN())),OFFSET($AT$2,0,0,ROW()-1,40),ROW()-1,FALSE))</f>
        <v>19665</v>
      </c>
      <c r="J162">
        <f ca="1">IF(AND(ISNUMBER($J$296),$B$294=1),$J$296,HLOOKUP(INDIRECT(ADDRESS(2,COLUMN())),OFFSET($AT$2,0,0,ROW()-1,40),ROW()-1,FALSE))</f>
        <v>22164</v>
      </c>
      <c r="K162">
        <f ca="1">IF(AND(ISNUMBER($K$296),$B$294=1),$K$296,HLOOKUP(INDIRECT(ADDRESS(2,COLUMN())),OFFSET($AT$2,0,0,ROW()-1,40),ROW()-1,FALSE))</f>
        <v>20944</v>
      </c>
      <c r="L162">
        <f ca="1">IF(AND(ISNUMBER($L$296),$B$294=1),$L$296,HLOOKUP(INDIRECT(ADDRESS(2,COLUMN())),OFFSET($AT$2,0,0,ROW()-1,40),ROW()-1,FALSE))</f>
        <v>17952</v>
      </c>
      <c r="M162">
        <f ca="1">IF(AND(ISNUMBER($M$296),$B$294=1),$M$296,HLOOKUP(INDIRECT(ADDRESS(2,COLUMN())),OFFSET($AT$2,0,0,ROW()-1,40),ROW()-1,FALSE))</f>
        <v>19393</v>
      </c>
      <c r="N162">
        <f ca="1">IF(AND(ISNUMBER($N$296),$B$294=1),$N$296,HLOOKUP(INDIRECT(ADDRESS(2,COLUMN())),OFFSET($AT$2,0,0,ROW()-1,40),ROW()-1,FALSE))</f>
        <v>14629</v>
      </c>
      <c r="O162">
        <f ca="1">IF(AND(ISNUMBER($O$296),$B$294=1),$O$296,HLOOKUP(INDIRECT(ADDRESS(2,COLUMN())),OFFSET($AT$2,0,0,ROW()-1,40),ROW()-1,FALSE))</f>
        <v>14271</v>
      </c>
      <c r="P162">
        <f ca="1">IF(AND(ISNUMBER($P$296),$B$294=1),$P$296,HLOOKUP(INDIRECT(ADDRESS(2,COLUMN())),OFFSET($AT$2,0,0,ROW()-1,40),ROW()-1,FALSE))</f>
        <v>21679</v>
      </c>
      <c r="Q162">
        <f ca="1">IF(AND(ISNUMBER($Q$296),$B$294=1),$Q$296,HLOOKUP(INDIRECT(ADDRESS(2,COLUMN())),OFFSET($AT$2,0,0,ROW()-1,40),ROW()-1,FALSE))</f>
        <v>19143</v>
      </c>
      <c r="R162">
        <f ca="1">IF(AND(ISNUMBER($R$296),$B$294=1),$R$296,HLOOKUP(INDIRECT(ADDRESS(2,COLUMN())),OFFSET($AT$2,0,0,ROW()-1,40),ROW()-1,FALSE))</f>
        <v>18449</v>
      </c>
      <c r="S162">
        <f ca="1">IF(AND(ISNUMBER($S$296),$B$294=1),$S$296,HLOOKUP(INDIRECT(ADDRESS(2,COLUMN())),OFFSET($AT$2,0,0,ROW()-1,40),ROW()-1,FALSE))</f>
        <v>19789</v>
      </c>
      <c r="T162">
        <f ca="1">IF(AND(ISNUMBER($T$296),$B$294=1),$T$296,HLOOKUP(INDIRECT(ADDRESS(2,COLUMN())),OFFSET($AT$2,0,0,ROW()-1,40),ROW()-1,FALSE))</f>
        <v>20439</v>
      </c>
      <c r="U162">
        <f ca="1">IF(AND(ISNUMBER($U$296),$B$294=1),$U$296,HLOOKUP(INDIRECT(ADDRESS(2,COLUMN())),OFFSET($AT$2,0,0,ROW()-1,40),ROW()-1,FALSE))</f>
        <v>17631</v>
      </c>
      <c r="V162">
        <f ca="1">IF(AND(ISNUMBER($V$296),$B$294=1),$V$296,HLOOKUP(INDIRECT(ADDRESS(2,COLUMN())),OFFSET($AT$2,0,0,ROW()-1,40),ROW()-1,FALSE))</f>
        <v>22619</v>
      </c>
      <c r="W162">
        <f ca="1">IF(AND(ISNUMBER($W$296),$B$294=1),$W$296,HLOOKUP(INDIRECT(ADDRESS(2,COLUMN())),OFFSET($AT$2,0,0,ROW()-1,40),ROW()-1,FALSE))</f>
        <v>21848</v>
      </c>
      <c r="X162">
        <f ca="1">IF(AND(ISNUMBER($X$296),$B$294=1),$X$296,HLOOKUP(INDIRECT(ADDRESS(2,COLUMN())),OFFSET($AT$2,0,0,ROW()-1,40),ROW()-1,FALSE))</f>
        <v>20898</v>
      </c>
      <c r="Y162">
        <f ca="1">IF(AND(ISNUMBER($Y$296),$B$294=1),$Y$296,HLOOKUP(INDIRECT(ADDRESS(2,COLUMN())),OFFSET($AT$2,0,0,ROW()-1,40),ROW()-1,FALSE))</f>
        <v>24108</v>
      </c>
      <c r="Z162">
        <f ca="1">IF(AND(ISNUMBER($Z$296),$B$294=1),$Z$296,HLOOKUP(INDIRECT(ADDRESS(2,COLUMN())),OFFSET($AT$2,0,0,ROW()-1,40),ROW()-1,FALSE))</f>
        <v>19685</v>
      </c>
      <c r="AA162">
        <f ca="1">IF(AND(ISNUMBER($AA$296),$B$294=1),$AA$296,HLOOKUP(INDIRECT(ADDRESS(2,COLUMN())),OFFSET($AT$2,0,0,ROW()-1,40),ROW()-1,FALSE))</f>
        <v>19395</v>
      </c>
      <c r="AB162">
        <f ca="1">IF(AND(ISNUMBER($AB$296),$B$294=1),$AB$296,HLOOKUP(INDIRECT(ADDRESS(2,COLUMN())),OFFSET($AT$2,0,0,ROW()-1,40),ROW()-1,FALSE))</f>
        <v>25767</v>
      </c>
      <c r="AC162">
        <f ca="1">IF(AND(ISNUMBER($AC$296),$B$294=1),$AC$296,HLOOKUP(INDIRECT(ADDRESS(2,COLUMN())),OFFSET($AT$2,0,0,ROW()-1,40),ROW()-1,FALSE))</f>
        <v>23362</v>
      </c>
      <c r="AD162">
        <f ca="1">IF(AND(ISNUMBER($AD$296),$B$294=1),$AD$296,HLOOKUP(INDIRECT(ADDRESS(2,COLUMN())),OFFSET($AT$2,0,0,ROW()-1,40),ROW()-1,FALSE))</f>
        <v>24031</v>
      </c>
      <c r="AE162">
        <f ca="1">IF(AND(ISNUMBER($AE$296),$B$294=1),$AE$296,HLOOKUP(INDIRECT(ADDRESS(2,COLUMN())),OFFSET($AT$2,0,0,ROW()-1,40),ROW()-1,FALSE))</f>
        <v>25808</v>
      </c>
      <c r="AF162">
        <f ca="1">IF(AND(ISNUMBER($AF$296),$B$294=1),$AF$296,HLOOKUP(INDIRECT(ADDRESS(2,COLUMN())),OFFSET($AT$2,0,0,ROW()-1,40),ROW()-1,FALSE))</f>
        <v>26349</v>
      </c>
      <c r="AG162">
        <f ca="1">IF(AND(ISNUMBER($AG$296),$B$294=1),$AG$296,HLOOKUP(INDIRECT(ADDRESS(2,COLUMN())),OFFSET($AT$2,0,0,ROW()-1,40),ROW()-1,FALSE))</f>
        <v>28082</v>
      </c>
      <c r="AH162">
        <f ca="1">IF(AND(ISNUMBER($AH$296),$B$294=1),$AH$296,HLOOKUP(INDIRECT(ADDRESS(2,COLUMN())),OFFSET($AT$2,0,0,ROW()-1,40),ROW()-1,FALSE))</f>
        <v>29906</v>
      </c>
      <c r="AI162">
        <f ca="1">IF(AND(ISNUMBER($AI$296),$B$294=1),$AI$296,HLOOKUP(INDIRECT(ADDRESS(2,COLUMN())),OFFSET($AT$2,0,0,ROW()-1,40),ROW()-1,FALSE))</f>
        <v>25874</v>
      </c>
      <c r="AJ162">
        <f ca="1">IF(AND(ISNUMBER($AJ$296),$B$294=1),$AJ$296,HLOOKUP(INDIRECT(ADDRESS(2,COLUMN())),OFFSET($AT$2,0,0,ROW()-1,40),ROW()-1,FALSE))</f>
        <v>25050</v>
      </c>
      <c r="AK162">
        <f ca="1">IF(AND(ISNUMBER($AK$296),$B$294=1),$AK$296,HLOOKUP(INDIRECT(ADDRESS(2,COLUMN())),OFFSET($AT$2,0,0,ROW()-1,40),ROW()-1,FALSE))</f>
        <v>25206</v>
      </c>
      <c r="AL162">
        <f ca="1">IF(AND(ISNUMBER($AL$296),$B$294=1),$AL$296,HLOOKUP(INDIRECT(ADDRESS(2,COLUMN())),OFFSET($AT$2,0,0,ROW()-1,40),ROW()-1,FALSE))</f>
        <v>21673</v>
      </c>
      <c r="AM162">
        <f ca="1">IF(AND(ISNUMBER($AM$296),$B$294=1),$AM$296,HLOOKUP(INDIRECT(ADDRESS(2,COLUMN())),OFFSET($AT$2,0,0,ROW()-1,40),ROW()-1,FALSE))</f>
        <v>21180</v>
      </c>
      <c r="AN162">
        <f ca="1">IF(AND(ISNUMBER($AN$296),$B$294=1),$AN$296,HLOOKUP(INDIRECT(ADDRESS(2,COLUMN())),OFFSET($AT$2,0,0,ROW()-1,40),ROW()-1,FALSE))</f>
        <v>28502</v>
      </c>
      <c r="AO162">
        <f ca="1">IF(AND(ISNUMBER($AO$296),$B$294=1),$AO$296,HLOOKUP(INDIRECT(ADDRESS(2,COLUMN())),OFFSET($AT$2,0,0,ROW()-1,40),ROW()-1,FALSE))</f>
        <v>21371</v>
      </c>
      <c r="AP162">
        <f ca="1">IF(AND(ISNUMBER($AP$296),$B$294=1),$AP$296,HLOOKUP(INDIRECT(ADDRESS(2,COLUMN())),OFFSET($AT$2,0,0,ROW()-1,40),ROW()-1,FALSE))</f>
        <v>27237</v>
      </c>
      <c r="AQ162">
        <f ca="1">IF(AND(ISNUMBER($AQ$296),$B$294=1),$AQ$296,HLOOKUP(INDIRECT(ADDRESS(2,COLUMN())),OFFSET($AT$2,0,0,ROW()-1,40),ROW()-1,FALSE))</f>
        <v>24427</v>
      </c>
      <c r="AR162">
        <f ca="1">IF(AND(ISNUMBER($AR$296),$B$294=1),$AR$296,HLOOKUP(INDIRECT(ADDRESS(2,COLUMN())),OFFSET($AT$2,0,0,ROW()-1,40),ROW()-1,FALSE))</f>
        <v>23903</v>
      </c>
      <c r="AS162">
        <f ca="1">IF(AND(ISNUMBER($AS$296),$B$294=1),$AS$296,HLOOKUP(INDIRECT(ADDRESS(2,COLUMN())),OFFSET($AT$2,0,0,ROW()-1,40),ROW()-1,FALSE))</f>
        <v>23461</v>
      </c>
      <c r="AT162">
        <f>23156</f>
        <v>23156</v>
      </c>
      <c r="AU162">
        <f>22487</f>
        <v>22487</v>
      </c>
      <c r="AV162">
        <f>21659</f>
        <v>21659</v>
      </c>
      <c r="AW162">
        <f>19665</f>
        <v>19665</v>
      </c>
      <c r="AX162">
        <f>22164</f>
        <v>22164</v>
      </c>
      <c r="AY162">
        <f>20944</f>
        <v>20944</v>
      </c>
      <c r="AZ162">
        <f>17952</f>
        <v>17952</v>
      </c>
      <c r="BA162">
        <f>19393</f>
        <v>19393</v>
      </c>
      <c r="BB162">
        <f>14629</f>
        <v>14629</v>
      </c>
      <c r="BC162">
        <f>14271</f>
        <v>14271</v>
      </c>
      <c r="BD162">
        <f>21679</f>
        <v>21679</v>
      </c>
      <c r="BE162">
        <f>19143</f>
        <v>19143</v>
      </c>
      <c r="BF162">
        <f>18449</f>
        <v>18449</v>
      </c>
      <c r="BG162">
        <f>19789</f>
        <v>19789</v>
      </c>
      <c r="BH162">
        <f>20439</f>
        <v>20439</v>
      </c>
      <c r="BI162">
        <f>17631</f>
        <v>17631</v>
      </c>
      <c r="BJ162">
        <f>22619</f>
        <v>22619</v>
      </c>
      <c r="BK162">
        <f>21848</f>
        <v>21848</v>
      </c>
      <c r="BL162">
        <f>20898</f>
        <v>20898</v>
      </c>
      <c r="BM162">
        <f>24108</f>
        <v>24108</v>
      </c>
      <c r="BN162">
        <f>19685</f>
        <v>19685</v>
      </c>
      <c r="BO162">
        <f>19395</f>
        <v>19395</v>
      </c>
      <c r="BP162">
        <f>25767</f>
        <v>25767</v>
      </c>
      <c r="BQ162">
        <f>23362</f>
        <v>23362</v>
      </c>
      <c r="BR162">
        <f>24031</f>
        <v>24031</v>
      </c>
      <c r="BS162">
        <f>25808</f>
        <v>25808</v>
      </c>
      <c r="BT162">
        <f>26349</f>
        <v>26349</v>
      </c>
      <c r="BU162">
        <f>28082</f>
        <v>28082</v>
      </c>
      <c r="BV162">
        <f>29906</f>
        <v>29906</v>
      </c>
      <c r="BW162">
        <f>25874</f>
        <v>25874</v>
      </c>
      <c r="BX162">
        <f>25050</f>
        <v>25050</v>
      </c>
      <c r="BY162">
        <f>25206</f>
        <v>25206</v>
      </c>
      <c r="BZ162">
        <f>21673</f>
        <v>21673</v>
      </c>
      <c r="CA162">
        <f>21180</f>
        <v>21180</v>
      </c>
      <c r="CB162">
        <f>28502</f>
        <v>28502</v>
      </c>
      <c r="CC162">
        <f>21371</f>
        <v>21371</v>
      </c>
      <c r="CD162">
        <f>27237</f>
        <v>27237</v>
      </c>
      <c r="CE162">
        <f>24427</f>
        <v>24427</v>
      </c>
      <c r="CF162">
        <f>23903</f>
        <v>23903</v>
      </c>
      <c r="CG162">
        <f>23461</f>
        <v>23461</v>
      </c>
    </row>
    <row r="163" spans="1:85" x14ac:dyDescent="0.25">
      <c r="A163" t="str">
        <f>"    Daimler - Freightliner"</f>
        <v xml:space="preserve">    Daimler - Freightliner</v>
      </c>
      <c r="B163" t="str">
        <f>"DAI GR Equity"</f>
        <v>DAI GR Equity</v>
      </c>
      <c r="E163" t="str">
        <f t="shared" ref="E163:E176" si="5">"Expression"</f>
        <v>Expression</v>
      </c>
      <c r="F163">
        <f ca="1">IF(AND($B$294=1,LEN($F$178) * LEN($F$188) * LEN($F$199)&gt;0),$F$178+$F$188+$F$199,HLOOKUP(INDIRECT(ADDRESS(2,COLUMN())),OFFSET($AT$2,0,0,ROW()-1,40),ROW()-1,FALSE))</f>
        <v>7766</v>
      </c>
      <c r="G163">
        <f ca="1">IF(AND($B$294=1,LEN($G$178) * LEN($G$188) * LEN($G$199)&gt;0),$G$178+$G$188+$G$199,HLOOKUP(INDIRECT(ADDRESS(2,COLUMN())),OFFSET($AT$2,0,0,ROW()-1,40),ROW()-1,FALSE))</f>
        <v>8577</v>
      </c>
      <c r="H163">
        <f ca="1">IF(AND($B$294=1,LEN($H$178) * LEN($H$188) * LEN($H$199)&gt;0),$H$178+$H$188+$H$199,HLOOKUP(INDIRECT(ADDRESS(2,COLUMN())),OFFSET($AT$2,0,0,ROW()-1,40),ROW()-1,FALSE))</f>
        <v>7071</v>
      </c>
      <c r="I163">
        <f ca="1">IF(AND($B$294=1,LEN($I$178) * LEN($I$188) * LEN($I$199)&gt;0),$I$178+$I$188+$I$199,HLOOKUP(INDIRECT(ADDRESS(2,COLUMN())),OFFSET($AT$2,0,0,ROW()-1,40),ROW()-1,FALSE))</f>
        <v>6981</v>
      </c>
      <c r="J163">
        <f ca="1">IF(AND($B$294=1,LEN($J$178) * LEN($J$188) * LEN($J$199)&gt;0),$J$178+$J$188+$J$199,HLOOKUP(INDIRECT(ADDRESS(2,COLUMN())),OFFSET($AT$2,0,0,ROW()-1,40),ROW()-1,FALSE))</f>
        <v>7713</v>
      </c>
      <c r="K163">
        <f ca="1">IF(AND($B$294=1,LEN($K$178) * LEN($K$188) * LEN($K$199)&gt;0),$K$178+$K$188+$K$199,HLOOKUP(INDIRECT(ADDRESS(2,COLUMN())),OFFSET($AT$2,0,0,ROW()-1,40),ROW()-1,FALSE))</f>
        <v>8295</v>
      </c>
      <c r="L163">
        <f ca="1">IF(AND($B$294=1,LEN($L$178) * LEN($L$188) * LEN($L$199)&gt;0),$L$178+$L$188+$L$199,HLOOKUP(INDIRECT(ADDRESS(2,COLUMN())),OFFSET($AT$2,0,0,ROW()-1,40),ROW()-1,FALSE))</f>
        <v>6228</v>
      </c>
      <c r="M163">
        <f ca="1">IF(AND($B$294=1,LEN($M$178) * LEN($M$188) * LEN($M$199)&gt;0),$M$178+$M$188+$M$199,HLOOKUP(INDIRECT(ADDRESS(2,COLUMN())),OFFSET($AT$2,0,0,ROW()-1,40),ROW()-1,FALSE))</f>
        <v>6654</v>
      </c>
      <c r="N163">
        <f ca="1">IF(AND($B$294=1,LEN($N$178) * LEN($N$188) * LEN($N$199)&gt;0),$N$178+$N$188+$N$199,HLOOKUP(INDIRECT(ADDRESS(2,COLUMN())),OFFSET($AT$2,0,0,ROW()-1,40),ROW()-1,FALSE))</f>
        <v>5431</v>
      </c>
      <c r="O163">
        <f ca="1">IF(AND($B$294=1,LEN($O$178) * LEN($O$188) * LEN($O$199)&gt;0),$O$178+$O$188+$O$199,HLOOKUP(INDIRECT(ADDRESS(2,COLUMN())),OFFSET($AT$2,0,0,ROW()-1,40),ROW()-1,FALSE))</f>
        <v>5275</v>
      </c>
      <c r="P163">
        <f ca="1">IF(AND($B$294=1,LEN($P$178) * LEN($P$188) * LEN($P$199)&gt;0),$P$178+$P$188+$P$199,HLOOKUP(INDIRECT(ADDRESS(2,COLUMN())),OFFSET($AT$2,0,0,ROW()-1,40),ROW()-1,FALSE))</f>
        <v>6219</v>
      </c>
      <c r="Q163">
        <f ca="1">IF(AND($B$294=1,LEN($Q$178) * LEN($Q$188) * LEN($Q$199)&gt;0),$Q$178+$Q$188+$Q$199,HLOOKUP(INDIRECT(ADDRESS(2,COLUMN())),OFFSET($AT$2,0,0,ROW()-1,40),ROW()-1,FALSE))</f>
        <v>7191</v>
      </c>
      <c r="R163">
        <f ca="1">IF(AND($B$294=1,LEN($R$178) * LEN($R$188) * LEN($R$199)&gt;0),$R$178+$R$188+$R$199,HLOOKUP(INDIRECT(ADDRESS(2,COLUMN())),OFFSET($AT$2,0,0,ROW()-1,40),ROW()-1,FALSE))</f>
        <v>5784</v>
      </c>
      <c r="S163">
        <f ca="1">IF(AND($B$294=1,LEN($S$178) * LEN($S$188) * LEN($S$199)&gt;0),$S$178+$S$188+$S$199,HLOOKUP(INDIRECT(ADDRESS(2,COLUMN())),OFFSET($AT$2,0,0,ROW()-1,40),ROW()-1,FALSE))</f>
        <v>6645</v>
      </c>
      <c r="T163">
        <f ca="1">IF(AND($B$294=1,LEN($T$178) * LEN($T$188) * LEN($T$199)&gt;0),$T$178+$T$188+$T$199,HLOOKUP(INDIRECT(ADDRESS(2,COLUMN())),OFFSET($AT$2,0,0,ROW()-1,40),ROW()-1,FALSE))</f>
        <v>7371</v>
      </c>
      <c r="U163">
        <f ca="1">IF(AND($B$294=1,LEN($U$178) * LEN($U$188) * LEN($U$199)&gt;0),$U$178+$U$188+$U$199,HLOOKUP(INDIRECT(ADDRESS(2,COLUMN())),OFFSET($AT$2,0,0,ROW()-1,40),ROW()-1,FALSE))</f>
        <v>6068</v>
      </c>
      <c r="V163">
        <f ca="1">IF(AND($B$294=1,LEN($V$178) * LEN($V$188) * LEN($V$199)&gt;0),$V$178+$V$188+$V$199,HLOOKUP(INDIRECT(ADDRESS(2,COLUMN())),OFFSET($AT$2,0,0,ROW()-1,40),ROW()-1,FALSE))</f>
        <v>8000</v>
      </c>
      <c r="W163">
        <f ca="1">IF(AND($B$294=1,LEN($W$178) * LEN($W$188) * LEN($W$199)&gt;0),$W$178+$W$188+$W$199,HLOOKUP(INDIRECT(ADDRESS(2,COLUMN())),OFFSET($AT$2,0,0,ROW()-1,40),ROW()-1,FALSE))</f>
        <v>8598</v>
      </c>
      <c r="X163">
        <f ca="1">IF(AND($B$294=1,LEN($X$178) * LEN($X$188) * LEN($X$199)&gt;0),$X$178+$X$188+$X$199,HLOOKUP(INDIRECT(ADDRESS(2,COLUMN())),OFFSET($AT$2,0,0,ROW()-1,40),ROW()-1,FALSE))</f>
        <v>7727</v>
      </c>
      <c r="Y163">
        <f ca="1">IF(AND($B$294=1,LEN($Y$178) * LEN($Y$188) * LEN($Y$199)&gt;0),$Y$178+$Y$188+$Y$199,HLOOKUP(INDIRECT(ADDRESS(2,COLUMN())),OFFSET($AT$2,0,0,ROW()-1,40),ROW()-1,FALSE))</f>
        <v>9982</v>
      </c>
      <c r="Z163">
        <f ca="1">IF(AND($B$294=1,LEN($Z$178) * LEN($Z$188) * LEN($Z$199)&gt;0),$Z$178+$Z$188+$Z$199,HLOOKUP(INDIRECT(ADDRESS(2,COLUMN())),OFFSET($AT$2,0,0,ROW()-1,40),ROW()-1,FALSE))</f>
        <v>7757</v>
      </c>
      <c r="AA163">
        <f ca="1">IF(AND($B$294=1,LEN($AA$178) * LEN($AA$188) * LEN($AA$199)&gt;0),$AA$178+$AA$188+$AA$199,HLOOKUP(INDIRECT(ADDRESS(2,COLUMN())),OFFSET($AT$2,0,0,ROW()-1,40),ROW()-1,FALSE))</f>
        <v>8201</v>
      </c>
      <c r="AB163">
        <f ca="1">IF(AND($B$294=1,LEN($AB$178) * LEN($AB$188) * LEN($AB$199)&gt;0),$AB$178+$AB$188+$AB$199,HLOOKUP(INDIRECT(ADDRESS(2,COLUMN())),OFFSET($AT$2,0,0,ROW()-1,40),ROW()-1,FALSE))</f>
        <v>8114</v>
      </c>
      <c r="AC163">
        <f ca="1">IF(AND($B$294=1,LEN($AC$178) * LEN($AC$188) * LEN($AC$199)&gt;0),$AC$178+$AC$188+$AC$199,HLOOKUP(INDIRECT(ADDRESS(2,COLUMN())),OFFSET($AT$2,0,0,ROW()-1,40),ROW()-1,FALSE))</f>
        <v>10351</v>
      </c>
      <c r="AD163">
        <f ca="1">IF(AND($B$294=1,LEN($AD$178) * LEN($AD$188) * LEN($AD$199)&gt;0),$AD$178+$AD$188+$AD$199,HLOOKUP(INDIRECT(ADDRESS(2,COLUMN())),OFFSET($AT$2,0,0,ROW()-1,40),ROW()-1,FALSE))</f>
        <v>9322</v>
      </c>
      <c r="AE163">
        <f ca="1">IF(AND($B$294=1,LEN($AE$178) * LEN($AE$188) * LEN($AE$199)&gt;0),$AE$178+$AE$188+$AE$199,HLOOKUP(INDIRECT(ADDRESS(2,COLUMN())),OFFSET($AT$2,0,0,ROW()-1,40),ROW()-1,FALSE))</f>
        <v>9462</v>
      </c>
      <c r="AF163">
        <f ca="1">IF(AND($B$294=1,LEN($AF$178) * LEN($AF$188) * LEN($AF$199)&gt;0),$AF$178+$AF$188+$AF$199,HLOOKUP(INDIRECT(ADDRESS(2,COLUMN())),OFFSET($AT$2,0,0,ROW()-1,40),ROW()-1,FALSE))</f>
        <v>9217</v>
      </c>
      <c r="AG163">
        <f ca="1">IF(AND($B$294=1,LEN($AG$178) * LEN($AG$188) * LEN($AG$199)&gt;0),$AG$178+$AG$188+$AG$199,HLOOKUP(INDIRECT(ADDRESS(2,COLUMN())),OFFSET($AT$2,0,0,ROW()-1,40),ROW()-1,FALSE))</f>
        <v>10387</v>
      </c>
      <c r="AH163">
        <f ca="1">IF(AND($B$294=1,LEN($AH$178) * LEN($AH$188) * LEN($AH$199)&gt;0),$AH$178+$AH$188+$AH$199,HLOOKUP(INDIRECT(ADDRESS(2,COLUMN())),OFFSET($AT$2,0,0,ROW()-1,40),ROW()-1,FALSE))</f>
        <v>10564</v>
      </c>
      <c r="AI163">
        <f ca="1">IF(AND($B$294=1,LEN($AI$178) * LEN($AI$188) * LEN($AI$199)&gt;0),$AI$178+$AI$188+$AI$199,HLOOKUP(INDIRECT(ADDRESS(2,COLUMN())),OFFSET($AT$2,0,0,ROW()-1,40),ROW()-1,FALSE))</f>
        <v>9262</v>
      </c>
      <c r="AJ163">
        <f ca="1">IF(AND($B$294=1,LEN($AJ$178) * LEN($AJ$188) * LEN($AJ$199)&gt;0),$AJ$178+$AJ$188+$AJ$199,HLOOKUP(INDIRECT(ADDRESS(2,COLUMN())),OFFSET($AT$2,0,0,ROW()-1,40),ROW()-1,FALSE))</f>
        <v>7984</v>
      </c>
      <c r="AK163">
        <f ca="1">IF(AND($B$294=1,LEN($AK$178) * LEN($AK$188) * LEN($AK$199)&gt;0),$AK$178+$AK$188+$AK$199,HLOOKUP(INDIRECT(ADDRESS(2,COLUMN())),OFFSET($AT$2,0,0,ROW()-1,40),ROW()-1,FALSE))</f>
        <v>8140</v>
      </c>
      <c r="AL163">
        <f ca="1">IF(AND($B$294=1,LEN($AL$178) * LEN($AL$188) * LEN($AL$199)&gt;0),$AL$178+$AL$188+$AL$199,HLOOKUP(INDIRECT(ADDRESS(2,COLUMN())),OFFSET($AT$2,0,0,ROW()-1,40),ROW()-1,FALSE))</f>
        <v>7982</v>
      </c>
      <c r="AM163">
        <f ca="1">IF(AND($B$294=1,LEN($AM$178) * LEN($AM$188) * LEN($AM$199)&gt;0),$AM$178+$AM$188+$AM$199,HLOOKUP(INDIRECT(ADDRESS(2,COLUMN())),OFFSET($AT$2,0,0,ROW()-1,40),ROW()-1,FALSE))</f>
        <v>8641</v>
      </c>
      <c r="AN163">
        <f ca="1">IF(AND($B$294=1,LEN($AN$178) * LEN($AN$188) * LEN($AN$199)&gt;0),$AN$178+$AN$188+$AN$199,HLOOKUP(INDIRECT(ADDRESS(2,COLUMN())),OFFSET($AT$2,0,0,ROW()-1,40),ROW()-1,FALSE))</f>
        <v>9397</v>
      </c>
      <c r="AO163">
        <f ca="1">IF(AND($B$294=1,LEN($AO$178) * LEN($AO$188) * LEN($AO$199)&gt;0),$AO$178+$AO$188+$AO$199,HLOOKUP(INDIRECT(ADDRESS(2,COLUMN())),OFFSET($AT$2,0,0,ROW()-1,40),ROW()-1,FALSE))</f>
        <v>6750</v>
      </c>
      <c r="AP163">
        <f ca="1">IF(AND($B$294=1,LEN($AP$178) * LEN($AP$188) * LEN($AP$199)&gt;0),$AP$178+$AP$188+$AP$199,HLOOKUP(INDIRECT(ADDRESS(2,COLUMN())),OFFSET($AT$2,0,0,ROW()-1,40),ROW()-1,FALSE))</f>
        <v>9462</v>
      </c>
      <c r="AQ163">
        <f ca="1">IF(AND($B$294=1,LEN($AQ$178) * LEN($AQ$188) * LEN($AQ$199)&gt;0),$AQ$178+$AQ$188+$AQ$199,HLOOKUP(INDIRECT(ADDRESS(2,COLUMN())),OFFSET($AT$2,0,0,ROW()-1,40),ROW()-1,FALSE))</f>
        <v>8137</v>
      </c>
      <c r="AR163">
        <f ca="1">IF(AND($B$294=1,LEN($AR$178) * LEN($AR$188) * LEN($AR$199)&gt;0),$AR$178+$AR$188+$AR$199,HLOOKUP(INDIRECT(ADDRESS(2,COLUMN())),OFFSET($AT$2,0,0,ROW()-1,40),ROW()-1,FALSE))</f>
        <v>8070</v>
      </c>
      <c r="AS163">
        <f ca="1">IF(AND($B$294=1,LEN($AS$178) * LEN($AS$188) * LEN($AS$199)&gt;0),$AS$178+$AS$188+$AS$199,HLOOKUP(INDIRECT(ADDRESS(2,COLUMN())),OFFSET($AT$2,0,0,ROW()-1,40),ROW()-1,FALSE))</f>
        <v>7567</v>
      </c>
      <c r="AT163">
        <f>7766</f>
        <v>7766</v>
      </c>
      <c r="AU163">
        <f>8577</f>
        <v>8577</v>
      </c>
      <c r="AV163">
        <f>7071</f>
        <v>7071</v>
      </c>
      <c r="AW163">
        <f>6981</f>
        <v>6981</v>
      </c>
      <c r="AX163">
        <f>7713</f>
        <v>7713</v>
      </c>
      <c r="AY163">
        <f>8295</f>
        <v>8295</v>
      </c>
      <c r="AZ163">
        <f>6228</f>
        <v>6228</v>
      </c>
      <c r="BA163">
        <f>6654</f>
        <v>6654</v>
      </c>
      <c r="BB163">
        <f>5431</f>
        <v>5431</v>
      </c>
      <c r="BC163">
        <f>5275</f>
        <v>5275</v>
      </c>
      <c r="BD163">
        <f>6219</f>
        <v>6219</v>
      </c>
      <c r="BE163">
        <f>7191</f>
        <v>7191</v>
      </c>
      <c r="BF163">
        <f>5784</f>
        <v>5784</v>
      </c>
      <c r="BG163">
        <f>6645</f>
        <v>6645</v>
      </c>
      <c r="BH163">
        <f>7371</f>
        <v>7371</v>
      </c>
      <c r="BI163">
        <f>6068</f>
        <v>6068</v>
      </c>
      <c r="BJ163">
        <f>8000</f>
        <v>8000</v>
      </c>
      <c r="BK163">
        <f>8598</f>
        <v>8598</v>
      </c>
      <c r="BL163">
        <f>7727</f>
        <v>7727</v>
      </c>
      <c r="BM163">
        <f>9982</f>
        <v>9982</v>
      </c>
      <c r="BN163">
        <f>7757</f>
        <v>7757</v>
      </c>
      <c r="BO163">
        <f>8201</f>
        <v>8201</v>
      </c>
      <c r="BP163">
        <f>8114</f>
        <v>8114</v>
      </c>
      <c r="BQ163">
        <f>10351</f>
        <v>10351</v>
      </c>
      <c r="BR163">
        <f>9322</f>
        <v>9322</v>
      </c>
      <c r="BS163">
        <f>9462</f>
        <v>9462</v>
      </c>
      <c r="BT163">
        <f>9217</f>
        <v>9217</v>
      </c>
      <c r="BU163">
        <f>10387</f>
        <v>10387</v>
      </c>
      <c r="BV163">
        <f>10564</f>
        <v>10564</v>
      </c>
      <c r="BW163">
        <f>9262</f>
        <v>9262</v>
      </c>
      <c r="BX163">
        <f>7984</f>
        <v>7984</v>
      </c>
      <c r="BY163">
        <f>8140</f>
        <v>8140</v>
      </c>
      <c r="BZ163">
        <f>7982</f>
        <v>7982</v>
      </c>
      <c r="CA163">
        <f>8641</f>
        <v>8641</v>
      </c>
      <c r="CB163">
        <f>9397</f>
        <v>9397</v>
      </c>
      <c r="CC163">
        <f>6750</f>
        <v>6750</v>
      </c>
      <c r="CD163">
        <f>9462</f>
        <v>9462</v>
      </c>
      <c r="CE163">
        <f>8137</f>
        <v>8137</v>
      </c>
      <c r="CF163">
        <f>8070</f>
        <v>8070</v>
      </c>
      <c r="CG163">
        <f>7567</f>
        <v>7567</v>
      </c>
    </row>
    <row r="164" spans="1:85" x14ac:dyDescent="0.25">
      <c r="A164" t="str">
        <f>"    Daimler - Western Star"</f>
        <v xml:space="preserve">    Daimler - Western Star</v>
      </c>
      <c r="B164" t="str">
        <f>"DAI GR Equity"</f>
        <v>DAI GR Equity</v>
      </c>
      <c r="E164" t="str">
        <f t="shared" si="5"/>
        <v>Expression</v>
      </c>
      <c r="F164">
        <f ca="1">IF(AND($B$294=1,LEN($F$179) * LEN($F$189)&gt;0),$F$179+$F$189,HLOOKUP(INDIRECT(ADDRESS(2,COLUMN())),OFFSET($AT$2,0,0,ROW()-1,40),ROW()-1,FALSE))</f>
        <v>602</v>
      </c>
      <c r="G164">
        <f ca="1">IF(AND($B$294=1,LEN($G$179) * LEN($G$189)&gt;0),$G$179+$G$189,HLOOKUP(INDIRECT(ADDRESS(2,COLUMN())),OFFSET($AT$2,0,0,ROW()-1,40),ROW()-1,FALSE))</f>
        <v>646</v>
      </c>
      <c r="H164">
        <f ca="1">IF(AND($B$294=1,LEN($H$179) * LEN($H$189)&gt;0),$H$179+$H$189,HLOOKUP(INDIRECT(ADDRESS(2,COLUMN())),OFFSET($AT$2,0,0,ROW()-1,40),ROW()-1,FALSE))</f>
        <v>697</v>
      </c>
      <c r="I164">
        <f ca="1">IF(AND($B$294=1,LEN($I$179) * LEN($I$189)&gt;0),$I$179+$I$189,HLOOKUP(INDIRECT(ADDRESS(2,COLUMN())),OFFSET($AT$2,0,0,ROW()-1,40),ROW()-1,FALSE))</f>
        <v>669</v>
      </c>
      <c r="J164">
        <f ca="1">IF(AND($B$294=1,LEN($J$179) * LEN($J$189)&gt;0),$J$179+$J$189,HLOOKUP(INDIRECT(ADDRESS(2,COLUMN())),OFFSET($AT$2,0,0,ROW()-1,40),ROW()-1,FALSE))</f>
        <v>793</v>
      </c>
      <c r="K164">
        <f ca="1">IF(AND($B$294=1,LEN($K$179) * LEN($K$189)&gt;0),$K$179+$K$189,HLOOKUP(INDIRECT(ADDRESS(2,COLUMN())),OFFSET($AT$2,0,0,ROW()-1,40),ROW()-1,FALSE))</f>
        <v>617</v>
      </c>
      <c r="L164">
        <f ca="1">IF(AND($B$294=1,LEN($L$179) * LEN($L$189)&gt;0),$L$179+$L$189,HLOOKUP(INDIRECT(ADDRESS(2,COLUMN())),OFFSET($AT$2,0,0,ROW()-1,40),ROW()-1,FALSE))</f>
        <v>618</v>
      </c>
      <c r="M164">
        <f ca="1">IF(AND($B$294=1,LEN($M$179) * LEN($M$189)&gt;0),$M$179+$M$189,HLOOKUP(INDIRECT(ADDRESS(2,COLUMN())),OFFSET($AT$2,0,0,ROW()-1,40),ROW()-1,FALSE))</f>
        <v>638</v>
      </c>
      <c r="N164">
        <f ca="1">IF(AND($B$294=1,LEN($N$179) * LEN($N$189)&gt;0),$N$179+$N$189,HLOOKUP(INDIRECT(ADDRESS(2,COLUMN())),OFFSET($AT$2,0,0,ROW()-1,40),ROW()-1,FALSE))</f>
        <v>410</v>
      </c>
      <c r="O164">
        <f ca="1">IF(AND($B$294=1,LEN($O$179) * LEN($O$189)&gt;0),$O$179+$O$189,HLOOKUP(INDIRECT(ADDRESS(2,COLUMN())),OFFSET($AT$2,0,0,ROW()-1,40),ROW()-1,FALSE))</f>
        <v>390</v>
      </c>
      <c r="P164">
        <f ca="1">IF(AND($B$294=1,LEN($P$179) * LEN($P$189)&gt;0),$P$179+$P$189,HLOOKUP(INDIRECT(ADDRESS(2,COLUMN())),OFFSET($AT$2,0,0,ROW()-1,40),ROW()-1,FALSE))</f>
        <v>708</v>
      </c>
      <c r="Q164">
        <f ca="1">IF(AND($B$294=1,LEN($Q$179) * LEN($Q$189)&gt;0),$Q$179+$Q$189,HLOOKUP(INDIRECT(ADDRESS(2,COLUMN())),OFFSET($AT$2,0,0,ROW()-1,40),ROW()-1,FALSE))</f>
        <v>601</v>
      </c>
      <c r="R164">
        <f ca="1">IF(AND($B$294=1,LEN($R$179) * LEN($R$189)&gt;0),$R$179+$R$189,HLOOKUP(INDIRECT(ADDRESS(2,COLUMN())),OFFSET($AT$2,0,0,ROW()-1,40),ROW()-1,FALSE))</f>
        <v>469</v>
      </c>
      <c r="S164">
        <f ca="1">IF(AND($B$294=1,LEN($S$179) * LEN($S$189)&gt;0),$S$179+$S$189,HLOOKUP(INDIRECT(ADDRESS(2,COLUMN())),OFFSET($AT$2,0,0,ROW()-1,40),ROW()-1,FALSE))</f>
        <v>563</v>
      </c>
      <c r="T164">
        <f ca="1">IF(AND($B$294=1,LEN($T$179) * LEN($T$189)&gt;0),$T$179+$T$189,HLOOKUP(INDIRECT(ADDRESS(2,COLUMN())),OFFSET($AT$2,0,0,ROW()-1,40),ROW()-1,FALSE))</f>
        <v>565</v>
      </c>
      <c r="U164">
        <f ca="1">IF(AND($B$294=1,LEN($U$179) * LEN($U$189)&gt;0),$U$179+$U$189,HLOOKUP(INDIRECT(ADDRESS(2,COLUMN())),OFFSET($AT$2,0,0,ROW()-1,40),ROW()-1,FALSE))</f>
        <v>560</v>
      </c>
      <c r="V164">
        <f ca="1">IF(AND($B$294=1,LEN($V$179) * LEN($V$189)&gt;0),$V$179+$V$189,HLOOKUP(INDIRECT(ADDRESS(2,COLUMN())),OFFSET($AT$2,0,0,ROW()-1,40),ROW()-1,FALSE))</f>
        <v>730</v>
      </c>
      <c r="W164">
        <f ca="1">IF(AND($B$294=1,LEN($W$179) * LEN($W$189)&gt;0),$W$179+$W$189,HLOOKUP(INDIRECT(ADDRESS(2,COLUMN())),OFFSET($AT$2,0,0,ROW()-1,40),ROW()-1,FALSE))</f>
        <v>729</v>
      </c>
      <c r="X164">
        <f ca="1">IF(AND($B$294=1,LEN($X$179) * LEN($X$189)&gt;0),$X$179+$X$189,HLOOKUP(INDIRECT(ADDRESS(2,COLUMN())),OFFSET($AT$2,0,0,ROW()-1,40),ROW()-1,FALSE))</f>
        <v>690</v>
      </c>
      <c r="Y164">
        <f ca="1">IF(AND($B$294=1,LEN($Y$179) * LEN($Y$189)&gt;0),$Y$179+$Y$189,HLOOKUP(INDIRECT(ADDRESS(2,COLUMN())),OFFSET($AT$2,0,0,ROW()-1,40),ROW()-1,FALSE))</f>
        <v>644</v>
      </c>
      <c r="Z164">
        <f ca="1">IF(AND($B$294=1,LEN($Z$179) * LEN($Z$189)&gt;0),$Z$179+$Z$189,HLOOKUP(INDIRECT(ADDRESS(2,COLUMN())),OFFSET($AT$2,0,0,ROW()-1,40),ROW()-1,FALSE))</f>
        <v>545</v>
      </c>
      <c r="AA164">
        <f ca="1">IF(AND($B$294=1,LEN($AA$179) * LEN($AA$189)&gt;0),$AA$179+$AA$189,HLOOKUP(INDIRECT(ADDRESS(2,COLUMN())),OFFSET($AT$2,0,0,ROW()-1,40),ROW()-1,FALSE))</f>
        <v>519</v>
      </c>
      <c r="AB164">
        <f ca="1">IF(AND($B$294=1,LEN($AB$179) * LEN($AB$189)&gt;0),$AB$179+$AB$189,HLOOKUP(INDIRECT(ADDRESS(2,COLUMN())),OFFSET($AT$2,0,0,ROW()-1,40),ROW()-1,FALSE))</f>
        <v>812</v>
      </c>
      <c r="AC164">
        <f ca="1">IF(AND($B$294=1,LEN($AC$179) * LEN($AC$189)&gt;0),$AC$179+$AC$189,HLOOKUP(INDIRECT(ADDRESS(2,COLUMN())),OFFSET($AT$2,0,0,ROW()-1,40),ROW()-1,FALSE))</f>
        <v>603</v>
      </c>
      <c r="AD164">
        <f ca="1">IF(AND($B$294=1,LEN($AD$179) * LEN($AD$189)&gt;0),$AD$179+$AD$189,HLOOKUP(INDIRECT(ADDRESS(2,COLUMN())),OFFSET($AT$2,0,0,ROW()-1,40),ROW()-1,FALSE))</f>
        <v>611</v>
      </c>
      <c r="AE164">
        <f ca="1">IF(AND($B$294=1,LEN($AE$179) * LEN($AE$189)&gt;0),$AE$179+$AE$189,HLOOKUP(INDIRECT(ADDRESS(2,COLUMN())),OFFSET($AT$2,0,0,ROW()-1,40),ROW()-1,FALSE))</f>
        <v>655</v>
      </c>
      <c r="AF164">
        <f ca="1">IF(AND($B$294=1,LEN($AF$179) * LEN($AF$189)&gt;0),$AF$179+$AF$189,HLOOKUP(INDIRECT(ADDRESS(2,COLUMN())),OFFSET($AT$2,0,0,ROW()-1,40),ROW()-1,FALSE))</f>
        <v>545</v>
      </c>
      <c r="AG164">
        <f ca="1">IF(AND($B$294=1,LEN($AG$179) * LEN($AG$189)&gt;0),$AG$179+$AG$189,HLOOKUP(INDIRECT(ADDRESS(2,COLUMN())),OFFSET($AT$2,0,0,ROW()-1,40),ROW()-1,FALSE))</f>
        <v>537</v>
      </c>
      <c r="AH164">
        <f ca="1">IF(AND($B$294=1,LEN($AH$179) * LEN($AH$189)&gt;0),$AH$179+$AH$189,HLOOKUP(INDIRECT(ADDRESS(2,COLUMN())),OFFSET($AT$2,0,0,ROW()-1,40),ROW()-1,FALSE))</f>
        <v>797</v>
      </c>
      <c r="AI164">
        <f ca="1">IF(AND($B$294=1,LEN($AI$179) * LEN($AI$189)&gt;0),$AI$179+$AI$189,HLOOKUP(INDIRECT(ADDRESS(2,COLUMN())),OFFSET($AT$2,0,0,ROW()-1,40),ROW()-1,FALSE))</f>
        <v>605</v>
      </c>
      <c r="AJ164">
        <f ca="1">IF(AND($B$294=1,LEN($AJ$179) * LEN($AJ$189)&gt;0),$AJ$179+$AJ$189,HLOOKUP(INDIRECT(ADDRESS(2,COLUMN())),OFFSET($AT$2,0,0,ROW()-1,40),ROW()-1,FALSE))</f>
        <v>559</v>
      </c>
      <c r="AK164">
        <f ca="1">IF(AND($B$294=1,LEN($AK$179) * LEN($AK$189)&gt;0),$AK$179+$AK$189,HLOOKUP(INDIRECT(ADDRESS(2,COLUMN())),OFFSET($AT$2,0,0,ROW()-1,40),ROW()-1,FALSE))</f>
        <v>609</v>
      </c>
      <c r="AL164">
        <f ca="1">IF(AND($B$294=1,LEN($AL$179) * LEN($AL$189)&gt;0),$AL$179+$AL$189,HLOOKUP(INDIRECT(ADDRESS(2,COLUMN())),OFFSET($AT$2,0,0,ROW()-1,40),ROW()-1,FALSE))</f>
        <v>481</v>
      </c>
      <c r="AM164">
        <f ca="1">IF(AND($B$294=1,LEN($AM$179) * LEN($AM$189)&gt;0),$AM$179+$AM$189,HLOOKUP(INDIRECT(ADDRESS(2,COLUMN())),OFFSET($AT$2,0,0,ROW()-1,40),ROW()-1,FALSE))</f>
        <v>500</v>
      </c>
      <c r="AN164">
        <f ca="1">IF(AND($B$294=1,LEN($AN$179) * LEN($AN$189)&gt;0),$AN$179+$AN$189,HLOOKUP(INDIRECT(ADDRESS(2,COLUMN())),OFFSET($AT$2,0,0,ROW()-1,40),ROW()-1,FALSE))</f>
        <v>925</v>
      </c>
      <c r="AO164">
        <f ca="1">IF(AND($B$294=1,LEN($AO$179) * LEN($AO$189)&gt;0),$AO$179+$AO$189,HLOOKUP(INDIRECT(ADDRESS(2,COLUMN())),OFFSET($AT$2,0,0,ROW()-1,40),ROW()-1,FALSE))</f>
        <v>516</v>
      </c>
      <c r="AP164">
        <f ca="1">IF(AND($B$294=1,LEN($AP$179) * LEN($AP$189)&gt;0),$AP$179+$AP$189,HLOOKUP(INDIRECT(ADDRESS(2,COLUMN())),OFFSET($AT$2,0,0,ROW()-1,40),ROW()-1,FALSE))</f>
        <v>600</v>
      </c>
      <c r="AQ164">
        <f ca="1">IF(AND($B$294=1,LEN($AQ$179) * LEN($AQ$189)&gt;0),$AQ$179+$AQ$189,HLOOKUP(INDIRECT(ADDRESS(2,COLUMN())),OFFSET($AT$2,0,0,ROW()-1,40),ROW()-1,FALSE))</f>
        <v>472</v>
      </c>
      <c r="AR164">
        <f ca="1">IF(AND($B$294=1,LEN($AR$179) * LEN($AR$189)&gt;0),$AR$179+$AR$189,HLOOKUP(INDIRECT(ADDRESS(2,COLUMN())),OFFSET($AT$2,0,0,ROW()-1,40),ROW()-1,FALSE))</f>
        <v>561</v>
      </c>
      <c r="AS164">
        <f ca="1">IF(AND($B$294=1,LEN($AS$179) * LEN($AS$189)&gt;0),$AS$179+$AS$189,HLOOKUP(INDIRECT(ADDRESS(2,COLUMN())),OFFSET($AT$2,0,0,ROW()-1,40),ROW()-1,FALSE))</f>
        <v>426</v>
      </c>
      <c r="AT164">
        <f>602</f>
        <v>602</v>
      </c>
      <c r="AU164">
        <f>646</f>
        <v>646</v>
      </c>
      <c r="AV164">
        <f>697</f>
        <v>697</v>
      </c>
      <c r="AW164">
        <f>669</f>
        <v>669</v>
      </c>
      <c r="AX164">
        <f>793</f>
        <v>793</v>
      </c>
      <c r="AY164">
        <f>617</f>
        <v>617</v>
      </c>
      <c r="AZ164">
        <f>618</f>
        <v>618</v>
      </c>
      <c r="BA164">
        <f>638</f>
        <v>638</v>
      </c>
      <c r="BB164">
        <f>410</f>
        <v>410</v>
      </c>
      <c r="BC164">
        <f>390</f>
        <v>390</v>
      </c>
      <c r="BD164">
        <f>708</f>
        <v>708</v>
      </c>
      <c r="BE164">
        <f>601</f>
        <v>601</v>
      </c>
      <c r="BF164">
        <f>469</f>
        <v>469</v>
      </c>
      <c r="BG164">
        <f>563</f>
        <v>563</v>
      </c>
      <c r="BH164">
        <f>565</f>
        <v>565</v>
      </c>
      <c r="BI164">
        <f>560</f>
        <v>560</v>
      </c>
      <c r="BJ164">
        <f>730</f>
        <v>730</v>
      </c>
      <c r="BK164">
        <f>729</f>
        <v>729</v>
      </c>
      <c r="BL164">
        <f>690</f>
        <v>690</v>
      </c>
      <c r="BM164">
        <f>644</f>
        <v>644</v>
      </c>
      <c r="BN164">
        <f>545</f>
        <v>545</v>
      </c>
      <c r="BO164">
        <f>519</f>
        <v>519</v>
      </c>
      <c r="BP164">
        <f>812</f>
        <v>812</v>
      </c>
      <c r="BQ164">
        <f>603</f>
        <v>603</v>
      </c>
      <c r="BR164">
        <f>611</f>
        <v>611</v>
      </c>
      <c r="BS164">
        <f>655</f>
        <v>655</v>
      </c>
      <c r="BT164">
        <f>545</f>
        <v>545</v>
      </c>
      <c r="BU164">
        <f>537</f>
        <v>537</v>
      </c>
      <c r="BV164">
        <f>797</f>
        <v>797</v>
      </c>
      <c r="BW164">
        <f>605</f>
        <v>605</v>
      </c>
      <c r="BX164">
        <f>559</f>
        <v>559</v>
      </c>
      <c r="BY164">
        <f>609</f>
        <v>609</v>
      </c>
      <c r="BZ164">
        <f>481</f>
        <v>481</v>
      </c>
      <c r="CA164">
        <f>500</f>
        <v>500</v>
      </c>
      <c r="CB164">
        <f>925</f>
        <v>925</v>
      </c>
      <c r="CC164">
        <f>516</f>
        <v>516</v>
      </c>
      <c r="CD164">
        <f>600</f>
        <v>600</v>
      </c>
      <c r="CE164">
        <f>472</f>
        <v>472</v>
      </c>
      <c r="CF164">
        <f>561</f>
        <v>561</v>
      </c>
      <c r="CG164">
        <f>426</f>
        <v>426</v>
      </c>
    </row>
    <row r="165" spans="1:85" x14ac:dyDescent="0.25">
      <c r="A165" t="str">
        <f>"    Daimler - Sterling"</f>
        <v xml:space="preserve">    Daimler - Sterling</v>
      </c>
      <c r="B165" t="str">
        <f>""</f>
        <v/>
      </c>
      <c r="E165" t="str">
        <f t="shared" si="5"/>
        <v>Expression</v>
      </c>
      <c r="F165" t="str">
        <f ca="1">IF(AND($B$294=1,LEN($F$180) * LEN($F$190) * LEN($F$201)&gt;0),$F$180+$F$190+$F$201,HLOOKUP(INDIRECT(ADDRESS(2,COLUMN())),OFFSET($AT$2,0,0,ROW()-1,40),ROW()-1,FALSE))</f>
        <v/>
      </c>
      <c r="G165" t="str">
        <f ca="1">IF(AND($B$294=1,LEN($G$180) * LEN($G$190) * LEN($G$201)&gt;0),$G$180+$G$190+$G$201,HLOOKUP(INDIRECT(ADDRESS(2,COLUMN())),OFFSET($AT$2,0,0,ROW()-1,40),ROW()-1,FALSE))</f>
        <v/>
      </c>
      <c r="H165" t="str">
        <f ca="1">IF(AND($B$294=1,LEN($H$180) * LEN($H$190) * LEN($H$201)&gt;0),$H$180+$H$190+$H$201,HLOOKUP(INDIRECT(ADDRESS(2,COLUMN())),OFFSET($AT$2,0,0,ROW()-1,40),ROW()-1,FALSE))</f>
        <v/>
      </c>
      <c r="I165" t="str">
        <f ca="1">IF(AND($B$294=1,LEN($I$180) * LEN($I$190) * LEN($I$201)&gt;0),$I$180+$I$190+$I$201,HLOOKUP(INDIRECT(ADDRESS(2,COLUMN())),OFFSET($AT$2,0,0,ROW()-1,40),ROW()-1,FALSE))</f>
        <v/>
      </c>
      <c r="J165" t="str">
        <f ca="1">IF(AND($B$294=1,LEN($J$180) * LEN($J$190) * LEN($J$201)&gt;0),$J$180+$J$190+$J$201,HLOOKUP(INDIRECT(ADDRESS(2,COLUMN())),OFFSET($AT$2,0,0,ROW()-1,40),ROW()-1,FALSE))</f>
        <v/>
      </c>
      <c r="K165" t="str">
        <f ca="1">IF(AND($B$294=1,LEN($K$180) * LEN($K$190) * LEN($K$201)&gt;0),$K$180+$K$190+$K$201,HLOOKUP(INDIRECT(ADDRESS(2,COLUMN())),OFFSET($AT$2,0,0,ROW()-1,40),ROW()-1,FALSE))</f>
        <v/>
      </c>
      <c r="L165" t="str">
        <f ca="1">IF(AND($B$294=1,LEN($L$180) * LEN($L$190) * LEN($L$201)&gt;0),$L$180+$L$190+$L$201,HLOOKUP(INDIRECT(ADDRESS(2,COLUMN())),OFFSET($AT$2,0,0,ROW()-1,40),ROW()-1,FALSE))</f>
        <v/>
      </c>
      <c r="M165" t="str">
        <f ca="1">IF(AND($B$294=1,LEN($M$180) * LEN($M$190) * LEN($M$201)&gt;0),$M$180+$M$190+$M$201,HLOOKUP(INDIRECT(ADDRESS(2,COLUMN())),OFFSET($AT$2,0,0,ROW()-1,40),ROW()-1,FALSE))</f>
        <v/>
      </c>
      <c r="N165" t="str">
        <f ca="1">IF(AND($B$294=1,LEN($N$180) * LEN($N$190) * LEN($N$201)&gt;0),$N$180+$N$190+$N$201,HLOOKUP(INDIRECT(ADDRESS(2,COLUMN())),OFFSET($AT$2,0,0,ROW()-1,40),ROW()-1,FALSE))</f>
        <v/>
      </c>
      <c r="O165" t="str">
        <f ca="1">IF(AND($B$294=1,LEN($O$180) * LEN($O$190) * LEN($O$201)&gt;0),$O$180+$O$190+$O$201,HLOOKUP(INDIRECT(ADDRESS(2,COLUMN())),OFFSET($AT$2,0,0,ROW()-1,40),ROW()-1,FALSE))</f>
        <v/>
      </c>
      <c r="P165" t="str">
        <f ca="1">IF(AND($B$294=1,LEN($P$180) * LEN($P$190) * LEN($P$201)&gt;0),$P$180+$P$190+$P$201,HLOOKUP(INDIRECT(ADDRESS(2,COLUMN())),OFFSET($AT$2,0,0,ROW()-1,40),ROW()-1,FALSE))</f>
        <v/>
      </c>
      <c r="Q165" t="str">
        <f ca="1">IF(AND($B$294=1,LEN($Q$180) * LEN($Q$190) * LEN($Q$201)&gt;0),$Q$180+$Q$190+$Q$201,HLOOKUP(INDIRECT(ADDRESS(2,COLUMN())),OFFSET($AT$2,0,0,ROW()-1,40),ROW()-1,FALSE))</f>
        <v/>
      </c>
      <c r="R165" t="str">
        <f ca="1">IF(AND($B$294=1,LEN($R$180) * LEN($R$190) * LEN($R$201)&gt;0),$R$180+$R$190+$R$201,HLOOKUP(INDIRECT(ADDRESS(2,COLUMN())),OFFSET($AT$2,0,0,ROW()-1,40),ROW()-1,FALSE))</f>
        <v/>
      </c>
      <c r="S165" t="str">
        <f ca="1">IF(AND($B$294=1,LEN($S$180) * LEN($S$190) * LEN($S$201)&gt;0),$S$180+$S$190+$S$201,HLOOKUP(INDIRECT(ADDRESS(2,COLUMN())),OFFSET($AT$2,0,0,ROW()-1,40),ROW()-1,FALSE))</f>
        <v/>
      </c>
      <c r="T165" t="str">
        <f ca="1">IF(AND($B$294=1,LEN($T$180) * LEN($T$190) * LEN($T$201)&gt;0),$T$180+$T$190+$T$201,HLOOKUP(INDIRECT(ADDRESS(2,COLUMN())),OFFSET($AT$2,0,0,ROW()-1,40),ROW()-1,FALSE))</f>
        <v/>
      </c>
      <c r="U165" t="str">
        <f ca="1">IF(AND($B$294=1,LEN($U$180) * LEN($U$190) * LEN($U$201)&gt;0),$U$180+$U$190+$U$201,HLOOKUP(INDIRECT(ADDRESS(2,COLUMN())),OFFSET($AT$2,0,0,ROW()-1,40),ROW()-1,FALSE))</f>
        <v/>
      </c>
      <c r="V165" t="str">
        <f ca="1">IF(AND($B$294=1,LEN($V$180) * LEN($V$190) * LEN($V$201)&gt;0),$V$180+$V$190+$V$201,HLOOKUP(INDIRECT(ADDRESS(2,COLUMN())),OFFSET($AT$2,0,0,ROW()-1,40),ROW()-1,FALSE))</f>
        <v/>
      </c>
      <c r="W165" t="str">
        <f ca="1">IF(AND($B$294=1,LEN($W$180) * LEN($W$190) * LEN($W$201)&gt;0),$W$180+$W$190+$W$201,HLOOKUP(INDIRECT(ADDRESS(2,COLUMN())),OFFSET($AT$2,0,0,ROW()-1,40),ROW()-1,FALSE))</f>
        <v/>
      </c>
      <c r="X165" t="str">
        <f ca="1">IF(AND($B$294=1,LEN($X$180) * LEN($X$190) * LEN($X$201)&gt;0),$X$180+$X$190+$X$201,HLOOKUP(INDIRECT(ADDRESS(2,COLUMN())),OFFSET($AT$2,0,0,ROW()-1,40),ROW()-1,FALSE))</f>
        <v/>
      </c>
      <c r="Y165" t="str">
        <f ca="1">IF(AND($B$294=1,LEN($Y$180) * LEN($Y$190) * LEN($Y$201)&gt;0),$Y$180+$Y$190+$Y$201,HLOOKUP(INDIRECT(ADDRESS(2,COLUMN())),OFFSET($AT$2,0,0,ROW()-1,40),ROW()-1,FALSE))</f>
        <v/>
      </c>
      <c r="Z165" t="str">
        <f ca="1">IF(AND($B$294=1,LEN($Z$180) * LEN($Z$190) * LEN($Z$201)&gt;0),$Z$180+$Z$190+$Z$201,HLOOKUP(INDIRECT(ADDRESS(2,COLUMN())),OFFSET($AT$2,0,0,ROW()-1,40),ROW()-1,FALSE))</f>
        <v/>
      </c>
      <c r="AA165" t="str">
        <f ca="1">IF(AND($B$294=1,LEN($AA$180) * LEN($AA$190) * LEN($AA$201)&gt;0),$AA$180+$AA$190+$AA$201,HLOOKUP(INDIRECT(ADDRESS(2,COLUMN())),OFFSET($AT$2,0,0,ROW()-1,40),ROW()-1,FALSE))</f>
        <v/>
      </c>
      <c r="AB165" t="str">
        <f ca="1">IF(AND($B$294=1,LEN($AB$180) * LEN($AB$190) * LEN($AB$201)&gt;0),$AB$180+$AB$190+$AB$201,HLOOKUP(INDIRECT(ADDRESS(2,COLUMN())),OFFSET($AT$2,0,0,ROW()-1,40),ROW()-1,FALSE))</f>
        <v/>
      </c>
      <c r="AC165" t="str">
        <f ca="1">IF(AND($B$294=1,LEN($AC$180) * LEN($AC$190) * LEN($AC$201)&gt;0),$AC$180+$AC$190+$AC$201,HLOOKUP(INDIRECT(ADDRESS(2,COLUMN())),OFFSET($AT$2,0,0,ROW()-1,40),ROW()-1,FALSE))</f>
        <v/>
      </c>
      <c r="AD165" t="str">
        <f ca="1">IF(AND($B$294=1,LEN($AD$180) * LEN($AD$190) * LEN($AD$201)&gt;0),$AD$180+$AD$190+$AD$201,HLOOKUP(INDIRECT(ADDRESS(2,COLUMN())),OFFSET($AT$2,0,0,ROW()-1,40),ROW()-1,FALSE))</f>
        <v/>
      </c>
      <c r="AE165" t="str">
        <f ca="1">IF(AND($B$294=1,LEN($AE$180) * LEN($AE$190) * LEN($AE$201)&gt;0),$AE$180+$AE$190+$AE$201,HLOOKUP(INDIRECT(ADDRESS(2,COLUMN())),OFFSET($AT$2,0,0,ROW()-1,40),ROW()-1,FALSE))</f>
        <v/>
      </c>
      <c r="AF165" t="str">
        <f ca="1">IF(AND($B$294=1,LEN($AF$180) * LEN($AF$190) * LEN($AF$201)&gt;0),$AF$180+$AF$190+$AF$201,HLOOKUP(INDIRECT(ADDRESS(2,COLUMN())),OFFSET($AT$2,0,0,ROW()-1,40),ROW()-1,FALSE))</f>
        <v/>
      </c>
      <c r="AG165" t="str">
        <f ca="1">IF(AND($B$294=1,LEN($AG$180) * LEN($AG$190) * LEN($AG$201)&gt;0),$AG$180+$AG$190+$AG$201,HLOOKUP(INDIRECT(ADDRESS(2,COLUMN())),OFFSET($AT$2,0,0,ROW()-1,40),ROW()-1,FALSE))</f>
        <v/>
      </c>
      <c r="AH165" t="str">
        <f ca="1">IF(AND($B$294=1,LEN($AH$180) * LEN($AH$190) * LEN($AH$201)&gt;0),$AH$180+$AH$190+$AH$201,HLOOKUP(INDIRECT(ADDRESS(2,COLUMN())),OFFSET($AT$2,0,0,ROW()-1,40),ROW()-1,FALSE))</f>
        <v/>
      </c>
      <c r="AI165" t="str">
        <f ca="1">IF(AND($B$294=1,LEN($AI$180) * LEN($AI$190) * LEN($AI$201)&gt;0),$AI$180+$AI$190+$AI$201,HLOOKUP(INDIRECT(ADDRESS(2,COLUMN())),OFFSET($AT$2,0,0,ROW()-1,40),ROW()-1,FALSE))</f>
        <v/>
      </c>
      <c r="AJ165" t="str">
        <f ca="1">IF(AND($B$294=1,LEN($AJ$180) * LEN($AJ$190) * LEN($AJ$201)&gt;0),$AJ$180+$AJ$190+$AJ$201,HLOOKUP(INDIRECT(ADDRESS(2,COLUMN())),OFFSET($AT$2,0,0,ROW()-1,40),ROW()-1,FALSE))</f>
        <v/>
      </c>
      <c r="AK165" t="str">
        <f ca="1">IF(AND($B$294=1,LEN($AK$180) * LEN($AK$190) * LEN($AK$201)&gt;0),$AK$180+$AK$190+$AK$201,HLOOKUP(INDIRECT(ADDRESS(2,COLUMN())),OFFSET($AT$2,0,0,ROW()-1,40),ROW()-1,FALSE))</f>
        <v/>
      </c>
      <c r="AL165" t="str">
        <f ca="1">IF(AND($B$294=1,LEN($AL$180) * LEN($AL$190) * LEN($AL$201)&gt;0),$AL$180+$AL$190+$AL$201,HLOOKUP(INDIRECT(ADDRESS(2,COLUMN())),OFFSET($AT$2,0,0,ROW()-1,40),ROW()-1,FALSE))</f>
        <v/>
      </c>
      <c r="AM165" t="str">
        <f ca="1">IF(AND($B$294=1,LEN($AM$180) * LEN($AM$190) * LEN($AM$201)&gt;0),$AM$180+$AM$190+$AM$201,HLOOKUP(INDIRECT(ADDRESS(2,COLUMN())),OFFSET($AT$2,0,0,ROW()-1,40),ROW()-1,FALSE))</f>
        <v/>
      </c>
      <c r="AN165" t="str">
        <f ca="1">IF(AND($B$294=1,LEN($AN$180) * LEN($AN$190) * LEN($AN$201)&gt;0),$AN$180+$AN$190+$AN$201,HLOOKUP(INDIRECT(ADDRESS(2,COLUMN())),OFFSET($AT$2,0,0,ROW()-1,40),ROW()-1,FALSE))</f>
        <v/>
      </c>
      <c r="AO165" t="str">
        <f ca="1">IF(AND($B$294=1,LEN($AO$180) * LEN($AO$190) * LEN($AO$201)&gt;0),$AO$180+$AO$190+$AO$201,HLOOKUP(INDIRECT(ADDRESS(2,COLUMN())),OFFSET($AT$2,0,0,ROW()-1,40),ROW()-1,FALSE))</f>
        <v/>
      </c>
      <c r="AP165" t="str">
        <f ca="1">IF(AND($B$294=1,LEN($AP$180) * LEN($AP$190) * LEN($AP$201)&gt;0),$AP$180+$AP$190+$AP$201,HLOOKUP(INDIRECT(ADDRESS(2,COLUMN())),OFFSET($AT$2,0,0,ROW()-1,40),ROW()-1,FALSE))</f>
        <v/>
      </c>
      <c r="AQ165" t="str">
        <f ca="1">IF(AND($B$294=1,LEN($AQ$180) * LEN($AQ$190) * LEN($AQ$201)&gt;0),$AQ$180+$AQ$190+$AQ$201,HLOOKUP(INDIRECT(ADDRESS(2,COLUMN())),OFFSET($AT$2,0,0,ROW()-1,40),ROW()-1,FALSE))</f>
        <v/>
      </c>
      <c r="AR165" t="str">
        <f ca="1">IF(AND($B$294=1,LEN($AR$180) * LEN($AR$190) * LEN($AR$201)&gt;0),$AR$180+$AR$190+$AR$201,HLOOKUP(INDIRECT(ADDRESS(2,COLUMN())),OFFSET($AT$2,0,0,ROW()-1,40),ROW()-1,FALSE))</f>
        <v/>
      </c>
      <c r="AS165" t="str">
        <f ca="1">IF(AND($B$294=1,LEN($AS$180) * LEN($AS$190) * LEN($AS$201)&gt;0),$AS$180+$AS$190+$AS$201,HLOOKUP(INDIRECT(ADDRESS(2,COLUMN())),OFFSET($AT$2,0,0,ROW()-1,40),ROW()-1,FALSE))</f>
        <v/>
      </c>
      <c r="AT165" t="str">
        <f>""</f>
        <v/>
      </c>
      <c r="AU165" t="str">
        <f>""</f>
        <v/>
      </c>
      <c r="AV165" t="str">
        <f>""</f>
        <v/>
      </c>
      <c r="AW165" t="str">
        <f>""</f>
        <v/>
      </c>
      <c r="AX165" t="str">
        <f>""</f>
        <v/>
      </c>
      <c r="AY165" t="str">
        <f>""</f>
        <v/>
      </c>
      <c r="AZ165" t="str">
        <f>""</f>
        <v/>
      </c>
      <c r="BA165" t="str">
        <f>""</f>
        <v/>
      </c>
      <c r="BB165" t="str">
        <f>""</f>
        <v/>
      </c>
      <c r="BC165" t="str">
        <f>""</f>
        <v/>
      </c>
      <c r="BD165" t="str">
        <f>""</f>
        <v/>
      </c>
      <c r="BE165" t="str">
        <f>""</f>
        <v/>
      </c>
      <c r="BF165" t="str">
        <f>""</f>
        <v/>
      </c>
      <c r="BG165" t="str">
        <f>""</f>
        <v/>
      </c>
      <c r="BH165" t="str">
        <f>""</f>
        <v/>
      </c>
      <c r="BI165" t="str">
        <f>""</f>
        <v/>
      </c>
      <c r="BJ165" t="str">
        <f>""</f>
        <v/>
      </c>
      <c r="BK165" t="str">
        <f>""</f>
        <v/>
      </c>
      <c r="BL165" t="str">
        <f>""</f>
        <v/>
      </c>
      <c r="BM165" t="str">
        <f>""</f>
        <v/>
      </c>
      <c r="BN165" t="str">
        <f>""</f>
        <v/>
      </c>
      <c r="BO165" t="str">
        <f>""</f>
        <v/>
      </c>
      <c r="BP165" t="str">
        <f>""</f>
        <v/>
      </c>
      <c r="BQ165" t="str">
        <f>""</f>
        <v/>
      </c>
      <c r="BR165" t="str">
        <f>""</f>
        <v/>
      </c>
      <c r="BS165" t="str">
        <f>""</f>
        <v/>
      </c>
      <c r="BT165" t="str">
        <f>""</f>
        <v/>
      </c>
      <c r="BU165" t="str">
        <f>""</f>
        <v/>
      </c>
      <c r="BV165" t="str">
        <f>""</f>
        <v/>
      </c>
      <c r="BW165" t="str">
        <f>""</f>
        <v/>
      </c>
      <c r="BX165" t="str">
        <f>""</f>
        <v/>
      </c>
      <c r="BY165" t="str">
        <f>""</f>
        <v/>
      </c>
      <c r="BZ165" t="str">
        <f>""</f>
        <v/>
      </c>
      <c r="CA165" t="str">
        <f>""</f>
        <v/>
      </c>
      <c r="CB165" t="str">
        <f>""</f>
        <v/>
      </c>
      <c r="CC165" t="str">
        <f>""</f>
        <v/>
      </c>
      <c r="CD165" t="str">
        <f>""</f>
        <v/>
      </c>
      <c r="CE165" t="str">
        <f>""</f>
        <v/>
      </c>
      <c r="CF165" t="str">
        <f>""</f>
        <v/>
      </c>
      <c r="CG165" t="str">
        <f>""</f>
        <v/>
      </c>
    </row>
    <row r="166" spans="1:85" x14ac:dyDescent="0.25">
      <c r="A166" t="str">
        <f>"    Daimler - Mercedes-Benz"</f>
        <v xml:space="preserve">    Daimler - Mercedes-Benz</v>
      </c>
      <c r="B166" t="str">
        <f>""</f>
        <v/>
      </c>
      <c r="E166" t="str">
        <f t="shared" si="5"/>
        <v>Expression</v>
      </c>
      <c r="F166" t="str">
        <f ca="1">IF(AND($B$294=1,LEN($F$200)&gt;0),$F$200,HLOOKUP(INDIRECT(ADDRESS(2,COLUMN())),OFFSET($AT$2,0,0,ROW()-1,40),ROW()-1,FALSE))</f>
        <v/>
      </c>
      <c r="G166" t="str">
        <f ca="1">IF(AND($B$294=1,LEN($G$200)&gt;0),$G$200,HLOOKUP(INDIRECT(ADDRESS(2,COLUMN())),OFFSET($AT$2,0,0,ROW()-1,40),ROW()-1,FALSE))</f>
        <v/>
      </c>
      <c r="H166" t="str">
        <f ca="1">IF(AND($B$294=1,LEN($H$200)&gt;0),$H$200,HLOOKUP(INDIRECT(ADDRESS(2,COLUMN())),OFFSET($AT$2,0,0,ROW()-1,40),ROW()-1,FALSE))</f>
        <v/>
      </c>
      <c r="I166" t="str">
        <f ca="1">IF(AND($B$294=1,LEN($I$200)&gt;0),$I$200,HLOOKUP(INDIRECT(ADDRESS(2,COLUMN())),OFFSET($AT$2,0,0,ROW()-1,40),ROW()-1,FALSE))</f>
        <v/>
      </c>
      <c r="J166" t="str">
        <f ca="1">IF(AND($B$294=1,LEN($J$200)&gt;0),$J$200,HLOOKUP(INDIRECT(ADDRESS(2,COLUMN())),OFFSET($AT$2,0,0,ROW()-1,40),ROW()-1,FALSE))</f>
        <v/>
      </c>
      <c r="K166" t="str">
        <f ca="1">IF(AND($B$294=1,LEN($K$200)&gt;0),$K$200,HLOOKUP(INDIRECT(ADDRESS(2,COLUMN())),OFFSET($AT$2,0,0,ROW()-1,40),ROW()-1,FALSE))</f>
        <v/>
      </c>
      <c r="L166" t="str">
        <f ca="1">IF(AND($B$294=1,LEN($L$200)&gt;0),$L$200,HLOOKUP(INDIRECT(ADDRESS(2,COLUMN())),OFFSET($AT$2,0,0,ROW()-1,40),ROW()-1,FALSE))</f>
        <v/>
      </c>
      <c r="M166" t="str">
        <f ca="1">IF(AND($B$294=1,LEN($M$200)&gt;0),$M$200,HLOOKUP(INDIRECT(ADDRESS(2,COLUMN())),OFFSET($AT$2,0,0,ROW()-1,40),ROW()-1,FALSE))</f>
        <v/>
      </c>
      <c r="N166" t="str">
        <f ca="1">IF(AND($B$294=1,LEN($N$200)&gt;0),$N$200,HLOOKUP(INDIRECT(ADDRESS(2,COLUMN())),OFFSET($AT$2,0,0,ROW()-1,40),ROW()-1,FALSE))</f>
        <v/>
      </c>
      <c r="O166" t="str">
        <f ca="1">IF(AND($B$294=1,LEN($O$200)&gt;0),$O$200,HLOOKUP(INDIRECT(ADDRESS(2,COLUMN())),OFFSET($AT$2,0,0,ROW()-1,40),ROW()-1,FALSE))</f>
        <v/>
      </c>
      <c r="P166">
        <f ca="1">IF(AND($B$294=1,LEN($P$200)&gt;0),$P$200,HLOOKUP(INDIRECT(ADDRESS(2,COLUMN())),OFFSET($AT$2,0,0,ROW()-1,40),ROW()-1,FALSE))</f>
        <v>130</v>
      </c>
      <c r="Q166">
        <f ca="1">IF(AND($B$294=1,LEN($Q$200)&gt;0),$Q$200,HLOOKUP(INDIRECT(ADDRESS(2,COLUMN())),OFFSET($AT$2,0,0,ROW()-1,40),ROW()-1,FALSE))</f>
        <v>97</v>
      </c>
      <c r="R166">
        <f ca="1">IF(AND($B$294=1,LEN($R$200)&gt;0),$R$200,HLOOKUP(INDIRECT(ADDRESS(2,COLUMN())),OFFSET($AT$2,0,0,ROW()-1,40),ROW()-1,FALSE))</f>
        <v>90</v>
      </c>
      <c r="S166">
        <f ca="1">IF(AND($B$294=1,LEN($S$200)&gt;0),$S$200,HLOOKUP(INDIRECT(ADDRESS(2,COLUMN())),OFFSET($AT$2,0,0,ROW()-1,40),ROW()-1,FALSE))</f>
        <v>85</v>
      </c>
      <c r="T166">
        <f ca="1">IF(AND($B$294=1,LEN($T$200)&gt;0),$T$200,HLOOKUP(INDIRECT(ADDRESS(2,COLUMN())),OFFSET($AT$2,0,0,ROW()-1,40),ROW()-1,FALSE))</f>
        <v>70</v>
      </c>
      <c r="U166">
        <f ca="1">IF(AND($B$294=1,LEN($U$200)&gt;0),$U$200,HLOOKUP(INDIRECT(ADDRESS(2,COLUMN())),OFFSET($AT$2,0,0,ROW()-1,40),ROW()-1,FALSE))</f>
        <v>59</v>
      </c>
      <c r="V166">
        <f ca="1">IF(AND($B$294=1,LEN($V$200)&gt;0),$V$200,HLOOKUP(INDIRECT(ADDRESS(2,COLUMN())),OFFSET($AT$2,0,0,ROW()-1,40),ROW()-1,FALSE))</f>
        <v>68</v>
      </c>
      <c r="W166">
        <f ca="1">IF(AND($B$294=1,LEN($W$200)&gt;0),$W$200,HLOOKUP(INDIRECT(ADDRESS(2,COLUMN())),OFFSET($AT$2,0,0,ROW()-1,40),ROW()-1,FALSE))</f>
        <v>79</v>
      </c>
      <c r="X166">
        <f ca="1">IF(AND($B$294=1,LEN($X$200)&gt;0),$X$200,HLOOKUP(INDIRECT(ADDRESS(2,COLUMN())),OFFSET($AT$2,0,0,ROW()-1,40),ROW()-1,FALSE))</f>
        <v>76</v>
      </c>
      <c r="Y166">
        <f ca="1">IF(AND($B$294=1,LEN($Y$200)&gt;0),$Y$200,HLOOKUP(INDIRECT(ADDRESS(2,COLUMN())),OFFSET($AT$2,0,0,ROW()-1,40),ROW()-1,FALSE))</f>
        <v>68</v>
      </c>
      <c r="Z166">
        <f ca="1">IF(AND($B$294=1,LEN($Z$200)&gt;0),$Z$200,HLOOKUP(INDIRECT(ADDRESS(2,COLUMN())),OFFSET($AT$2,0,0,ROW()-1,40),ROW()-1,FALSE))</f>
        <v>52</v>
      </c>
      <c r="AA166">
        <f ca="1">IF(AND($B$294=1,LEN($AA$200)&gt;0),$AA$200,HLOOKUP(INDIRECT(ADDRESS(2,COLUMN())),OFFSET($AT$2,0,0,ROW()-1,40),ROW()-1,FALSE))</f>
        <v>75</v>
      </c>
      <c r="AB166">
        <f ca="1">IF(AND($B$294=1,LEN($AB$200)&gt;0),$AB$200,HLOOKUP(INDIRECT(ADDRESS(2,COLUMN())),OFFSET($AT$2,0,0,ROW()-1,40),ROW()-1,FALSE))</f>
        <v>171</v>
      </c>
      <c r="AC166">
        <f ca="1">IF(AND($B$294=1,LEN($AC$200)&gt;0),$AC$200,HLOOKUP(INDIRECT(ADDRESS(2,COLUMN())),OFFSET($AT$2,0,0,ROW()-1,40),ROW()-1,FALSE))</f>
        <v>137</v>
      </c>
      <c r="AD166">
        <f ca="1">IF(AND($B$294=1,LEN($AD$200)&gt;0),$AD$200,HLOOKUP(INDIRECT(ADDRESS(2,COLUMN())),OFFSET($AT$2,0,0,ROW()-1,40),ROW()-1,FALSE))</f>
        <v>128</v>
      </c>
      <c r="AE166">
        <f ca="1">IF(AND($B$294=1,LEN($AE$200)&gt;0),$AE$200,HLOOKUP(INDIRECT(ADDRESS(2,COLUMN())),OFFSET($AT$2,0,0,ROW()-1,40),ROW()-1,FALSE))</f>
        <v>119</v>
      </c>
      <c r="AF166">
        <f ca="1">IF(AND($B$294=1,LEN($AF$200)&gt;0),$AF$200,HLOOKUP(INDIRECT(ADDRESS(2,COLUMN())),OFFSET($AT$2,0,0,ROW()-1,40),ROW()-1,FALSE))</f>
        <v>119</v>
      </c>
      <c r="AG166">
        <f ca="1">IF(AND($B$294=1,LEN($AG$200)&gt;0),$AG$200,HLOOKUP(INDIRECT(ADDRESS(2,COLUMN())),OFFSET($AT$2,0,0,ROW()-1,40),ROW()-1,FALSE))</f>
        <v>133</v>
      </c>
      <c r="AH166">
        <f ca="1">IF(AND($B$294=1,LEN($AH$200)&gt;0),$AH$200,HLOOKUP(INDIRECT(ADDRESS(2,COLUMN())),OFFSET($AT$2,0,0,ROW()-1,40),ROW()-1,FALSE))</f>
        <v>47</v>
      </c>
      <c r="AI166">
        <f ca="1">IF(AND($B$294=1,LEN($AI$200)&gt;0),$AI$200,HLOOKUP(INDIRECT(ADDRESS(2,COLUMN())),OFFSET($AT$2,0,0,ROW()-1,40),ROW()-1,FALSE))</f>
        <v>27</v>
      </c>
      <c r="AJ166">
        <f ca="1">IF(AND($B$294=1,LEN($AJ$200)&gt;0),$AJ$200,HLOOKUP(INDIRECT(ADDRESS(2,COLUMN())),OFFSET($AT$2,0,0,ROW()-1,40),ROW()-1,FALSE))</f>
        <v>25</v>
      </c>
      <c r="AK166">
        <f ca="1">IF(AND($B$294=1,LEN($AK$200)&gt;0),$AK$200,HLOOKUP(INDIRECT(ADDRESS(2,COLUMN())),OFFSET($AT$2,0,0,ROW()-1,40),ROW()-1,FALSE))</f>
        <v>2</v>
      </c>
      <c r="AL166">
        <f ca="1">IF(AND($B$294=1,LEN($AL$200)&gt;0),$AL$200,HLOOKUP(INDIRECT(ADDRESS(2,COLUMN())),OFFSET($AT$2,0,0,ROW()-1,40),ROW()-1,FALSE))</f>
        <v>6</v>
      </c>
      <c r="AM166">
        <f ca="1">IF(AND($B$294=1,LEN($AM$200)&gt;0),$AM$200,HLOOKUP(INDIRECT(ADDRESS(2,COLUMN())),OFFSET($AT$2,0,0,ROW()-1,40),ROW()-1,FALSE))</f>
        <v>68</v>
      </c>
      <c r="AN166">
        <f ca="1">IF(AND($B$294=1,LEN($AN$200)&gt;0),$AN$200,HLOOKUP(INDIRECT(ADDRESS(2,COLUMN())),OFFSET($AT$2,0,0,ROW()-1,40),ROW()-1,FALSE))</f>
        <v>217</v>
      </c>
      <c r="AO166">
        <f ca="1">IF(AND($B$294=1,LEN($AO$200)&gt;0),$AO$200,HLOOKUP(INDIRECT(ADDRESS(2,COLUMN())),OFFSET($AT$2,0,0,ROW()-1,40),ROW()-1,FALSE))</f>
        <v>204</v>
      </c>
      <c r="AP166">
        <f ca="1">IF(AND($B$294=1,LEN($AP$200)&gt;0),$AP$200,HLOOKUP(INDIRECT(ADDRESS(2,COLUMN())),OFFSET($AT$2,0,0,ROW()-1,40),ROW()-1,FALSE))</f>
        <v>206</v>
      </c>
      <c r="AQ166">
        <f ca="1">IF(AND($B$294=1,LEN($AQ$200)&gt;0),$AQ$200,HLOOKUP(INDIRECT(ADDRESS(2,COLUMN())),OFFSET($AT$2,0,0,ROW()-1,40),ROW()-1,FALSE))</f>
        <v>68</v>
      </c>
      <c r="AR166">
        <f ca="1">IF(AND($B$294=1,LEN($AR$200)&gt;0),$AR$200,HLOOKUP(INDIRECT(ADDRESS(2,COLUMN())),OFFSET($AT$2,0,0,ROW()-1,40),ROW()-1,FALSE))</f>
        <v>92</v>
      </c>
      <c r="AS166">
        <f ca="1">IF(AND($B$294=1,LEN($AS$200)&gt;0),$AS$200,HLOOKUP(INDIRECT(ADDRESS(2,COLUMN())),OFFSET($AT$2,0,0,ROW()-1,40),ROW()-1,FALSE))</f>
        <v>16</v>
      </c>
      <c r="AT166" t="str">
        <f>""</f>
        <v/>
      </c>
      <c r="AU166" t="str">
        <f>""</f>
        <v/>
      </c>
      <c r="AV166" t="str">
        <f>""</f>
        <v/>
      </c>
      <c r="AW166" t="str">
        <f>""</f>
        <v/>
      </c>
      <c r="AX166" t="str">
        <f>""</f>
        <v/>
      </c>
      <c r="AY166" t="str">
        <f>""</f>
        <v/>
      </c>
      <c r="AZ166" t="str">
        <f>""</f>
        <v/>
      </c>
      <c r="BA166" t="str">
        <f>""</f>
        <v/>
      </c>
      <c r="BB166" t="str">
        <f>""</f>
        <v/>
      </c>
      <c r="BC166" t="str">
        <f>""</f>
        <v/>
      </c>
      <c r="BD166">
        <f>130</f>
        <v>130</v>
      </c>
      <c r="BE166">
        <f>97</f>
        <v>97</v>
      </c>
      <c r="BF166">
        <f>90</f>
        <v>90</v>
      </c>
      <c r="BG166">
        <f>85</f>
        <v>85</v>
      </c>
      <c r="BH166">
        <f>70</f>
        <v>70</v>
      </c>
      <c r="BI166">
        <f>59</f>
        <v>59</v>
      </c>
      <c r="BJ166">
        <f>68</f>
        <v>68</v>
      </c>
      <c r="BK166">
        <f>79</f>
        <v>79</v>
      </c>
      <c r="BL166">
        <f>76</f>
        <v>76</v>
      </c>
      <c r="BM166">
        <f>68</f>
        <v>68</v>
      </c>
      <c r="BN166">
        <f>52</f>
        <v>52</v>
      </c>
      <c r="BO166">
        <f>75</f>
        <v>75</v>
      </c>
      <c r="BP166">
        <f>171</f>
        <v>171</v>
      </c>
      <c r="BQ166">
        <f>137</f>
        <v>137</v>
      </c>
      <c r="BR166">
        <f>128</f>
        <v>128</v>
      </c>
      <c r="BS166">
        <f>119</f>
        <v>119</v>
      </c>
      <c r="BT166">
        <f>119</f>
        <v>119</v>
      </c>
      <c r="BU166">
        <f>133</f>
        <v>133</v>
      </c>
      <c r="BV166">
        <f>47</f>
        <v>47</v>
      </c>
      <c r="BW166">
        <f>27</f>
        <v>27</v>
      </c>
      <c r="BX166">
        <f>25</f>
        <v>25</v>
      </c>
      <c r="BY166">
        <f>2</f>
        <v>2</v>
      </c>
      <c r="BZ166">
        <f>6</f>
        <v>6</v>
      </c>
      <c r="CA166">
        <f>68</f>
        <v>68</v>
      </c>
      <c r="CB166">
        <f>217</f>
        <v>217</v>
      </c>
      <c r="CC166">
        <f>204</f>
        <v>204</v>
      </c>
      <c r="CD166">
        <f>206</f>
        <v>206</v>
      </c>
      <c r="CE166">
        <f>68</f>
        <v>68</v>
      </c>
      <c r="CF166">
        <f>92</f>
        <v>92</v>
      </c>
      <c r="CG166">
        <f>16</f>
        <v>16</v>
      </c>
    </row>
    <row r="167" spans="1:85" x14ac:dyDescent="0.25">
      <c r="A167" t="str">
        <f>"    PACCAR - Kenworth"</f>
        <v xml:space="preserve">    PACCAR - Kenworth</v>
      </c>
      <c r="B167" t="str">
        <f>""</f>
        <v/>
      </c>
      <c r="E167" t="str">
        <f t="shared" si="5"/>
        <v>Expression</v>
      </c>
      <c r="F167">
        <f ca="1">IF(AND($B$294=1,LEN($F$181) * LEN($F$191) * LEN($F$197)&gt;0),$F$181+$F$191+$F$197,HLOOKUP(INDIRECT(ADDRESS(2,COLUMN())),OFFSET($AT$2,0,0,ROW()-1,40),ROW()-1,FALSE))</f>
        <v>3948</v>
      </c>
      <c r="G167">
        <f ca="1">IF(AND($B$294=1,LEN($G$181) * LEN($G$191) * LEN($G$197)&gt;0),$G$181+$G$191+$G$197,HLOOKUP(INDIRECT(ADDRESS(2,COLUMN())),OFFSET($AT$2,0,0,ROW()-1,40),ROW()-1,FALSE))</f>
        <v>3899</v>
      </c>
      <c r="H167">
        <f ca="1">IF(AND($B$294=1,LEN($H$181) * LEN($H$191) * LEN($H$197)&gt;0),$H$181+$H$191+$H$197,HLOOKUP(INDIRECT(ADDRESS(2,COLUMN())),OFFSET($AT$2,0,0,ROW()-1,40),ROW()-1,FALSE))</f>
        <v>3636</v>
      </c>
      <c r="I167">
        <f ca="1">IF(AND($B$294=1,LEN($I$181) * LEN($I$191) * LEN($I$197)&gt;0),$I$181+$I$191+$I$197,HLOOKUP(INDIRECT(ADDRESS(2,COLUMN())),OFFSET($AT$2,0,0,ROW()-1,40),ROW()-1,FALSE))</f>
        <v>3634</v>
      </c>
      <c r="J167">
        <f ca="1">IF(AND($B$294=1,LEN($J$181) * LEN($J$191) * LEN($J$197)&gt;0),$J$181+$J$191+$J$197,HLOOKUP(INDIRECT(ADDRESS(2,COLUMN())),OFFSET($AT$2,0,0,ROW()-1,40),ROW()-1,FALSE))</f>
        <v>3696</v>
      </c>
      <c r="K167">
        <f ca="1">IF(AND($B$294=1,LEN($K$181) * LEN($K$191) * LEN($K$197)&gt;0),$K$181+$K$191+$K$197,HLOOKUP(INDIRECT(ADDRESS(2,COLUMN())),OFFSET($AT$2,0,0,ROW()-1,40),ROW()-1,FALSE))</f>
        <v>3559</v>
      </c>
      <c r="L167">
        <f ca="1">IF(AND($B$294=1,LEN($L$181) * LEN($L$191) * LEN($L$197)&gt;0),$L$181+$L$191+$L$197,HLOOKUP(INDIRECT(ADDRESS(2,COLUMN())),OFFSET($AT$2,0,0,ROW()-1,40),ROW()-1,FALSE))</f>
        <v>3222</v>
      </c>
      <c r="M167">
        <f ca="1">IF(AND($B$294=1,LEN($M$181) * LEN($M$191) * LEN($M$197)&gt;0),$M$181+$M$191+$M$197,HLOOKUP(INDIRECT(ADDRESS(2,COLUMN())),OFFSET($AT$2,0,0,ROW()-1,40),ROW()-1,FALSE))</f>
        <v>3204</v>
      </c>
      <c r="N167">
        <f ca="1">IF(AND($B$294=1,LEN($N$181) * LEN($N$191) * LEN($N$197)&gt;0),$N$181+$N$191+$N$197,HLOOKUP(INDIRECT(ADDRESS(2,COLUMN())),OFFSET($AT$2,0,0,ROW()-1,40),ROW()-1,FALSE))</f>
        <v>2142</v>
      </c>
      <c r="O167">
        <f ca="1">IF(AND($B$294=1,LEN($O$181) * LEN($O$191) * LEN($O$197)&gt;0),$O$181+$O$191+$O$197,HLOOKUP(INDIRECT(ADDRESS(2,COLUMN())),OFFSET($AT$2,0,0,ROW()-1,40),ROW()-1,FALSE))</f>
        <v>1846</v>
      </c>
      <c r="P167">
        <f ca="1">IF(AND($B$294=1,LEN($P$181) * LEN($P$191) * LEN($P$197)&gt;0),$P$181+$P$191+$P$197,HLOOKUP(INDIRECT(ADDRESS(2,COLUMN())),OFFSET($AT$2,0,0,ROW()-1,40),ROW()-1,FALSE))</f>
        <v>4938</v>
      </c>
      <c r="Q167">
        <f ca="1">IF(AND($B$294=1,LEN($Q$181) * LEN($Q$191) * LEN($Q$197)&gt;0),$Q$181+$Q$191+$Q$197,HLOOKUP(INDIRECT(ADDRESS(2,COLUMN())),OFFSET($AT$2,0,0,ROW()-1,40),ROW()-1,FALSE))</f>
        <v>3388</v>
      </c>
      <c r="R167">
        <f ca="1">IF(AND($B$294=1,LEN($R$181) * LEN($R$191) * LEN($R$197)&gt;0),$R$181+$R$191+$R$197,HLOOKUP(INDIRECT(ADDRESS(2,COLUMN())),OFFSET($AT$2,0,0,ROW()-1,40),ROW()-1,FALSE))</f>
        <v>3271</v>
      </c>
      <c r="S167">
        <f ca="1">IF(AND($B$294=1,LEN($S$181) * LEN($S$191) * LEN($S$197)&gt;0),$S$181+$S$191+$S$197,HLOOKUP(INDIRECT(ADDRESS(2,COLUMN())),OFFSET($AT$2,0,0,ROW()-1,40),ROW()-1,FALSE))</f>
        <v>4024</v>
      </c>
      <c r="T167">
        <f ca="1">IF(AND($B$294=1,LEN($T$181) * LEN($T$191) * LEN($T$197)&gt;0),$T$181+$T$191+$T$197,HLOOKUP(INDIRECT(ADDRESS(2,COLUMN())),OFFSET($AT$2,0,0,ROW()-1,40),ROW()-1,FALSE))</f>
        <v>3654</v>
      </c>
      <c r="U167">
        <f ca="1">IF(AND($B$294=1,LEN($U$181) * LEN($U$191) * LEN($U$197)&gt;0),$U$181+$U$191+$U$197,HLOOKUP(INDIRECT(ADDRESS(2,COLUMN())),OFFSET($AT$2,0,0,ROW()-1,40),ROW()-1,FALSE))</f>
        <v>3185</v>
      </c>
      <c r="V167">
        <f ca="1">IF(AND($B$294=1,LEN($V$181) * LEN($V$191) * LEN($V$197)&gt;0),$V$181+$V$191+$V$197,HLOOKUP(INDIRECT(ADDRESS(2,COLUMN())),OFFSET($AT$2,0,0,ROW()-1,40),ROW()-1,FALSE))</f>
        <v>3825</v>
      </c>
      <c r="W167">
        <f ca="1">IF(AND($B$294=1,LEN($W$181) * LEN($W$191) * LEN($W$197)&gt;0),$W$181+$W$191+$W$197,HLOOKUP(INDIRECT(ADDRESS(2,COLUMN())),OFFSET($AT$2,0,0,ROW()-1,40),ROW()-1,FALSE))</f>
        <v>3419</v>
      </c>
      <c r="X167">
        <f ca="1">IF(AND($B$294=1,LEN($X$181) * LEN($X$191) * LEN($X$197)&gt;0),$X$181+$X$191+$X$197,HLOOKUP(INDIRECT(ADDRESS(2,COLUMN())),OFFSET($AT$2,0,0,ROW()-1,40),ROW()-1,FALSE))</f>
        <v>3435</v>
      </c>
      <c r="Y167">
        <f ca="1">IF(AND($B$294=1,LEN($Y$181) * LEN($Y$191) * LEN($Y$197)&gt;0),$Y$181+$Y$191+$Y$197,HLOOKUP(INDIRECT(ADDRESS(2,COLUMN())),OFFSET($AT$2,0,0,ROW()-1,40),ROW()-1,FALSE))</f>
        <v>3911</v>
      </c>
      <c r="Z167">
        <f ca="1">IF(AND($B$294=1,LEN($Z$181) * LEN($Z$191) * LEN($Z$197)&gt;0),$Z$181+$Z$191+$Z$197,HLOOKUP(INDIRECT(ADDRESS(2,COLUMN())),OFFSET($AT$2,0,0,ROW()-1,40),ROW()-1,FALSE))</f>
        <v>3189</v>
      </c>
      <c r="AA167">
        <f ca="1">IF(AND($B$294=1,LEN($AA$181) * LEN($AA$191) * LEN($AA$197)&gt;0),$AA$181+$AA$191+$AA$197,HLOOKUP(INDIRECT(ADDRESS(2,COLUMN())),OFFSET($AT$2,0,0,ROW()-1,40),ROW()-1,FALSE))</f>
        <v>2158</v>
      </c>
      <c r="AB167">
        <f ca="1">IF(AND($B$294=1,LEN($AB$181) * LEN($AB$191) * LEN($AB$197)&gt;0),$AB$181+$AB$191+$AB$197,HLOOKUP(INDIRECT(ADDRESS(2,COLUMN())),OFFSET($AT$2,0,0,ROW()-1,40),ROW()-1,FALSE))</f>
        <v>4423</v>
      </c>
      <c r="AC167">
        <f ca="1">IF(AND($B$294=1,LEN($AC$181) * LEN($AC$191) * LEN($AC$197)&gt;0),$AC$181+$AC$191+$AC$197,HLOOKUP(INDIRECT(ADDRESS(2,COLUMN())),OFFSET($AT$2,0,0,ROW()-1,40),ROW()-1,FALSE))</f>
        <v>3664</v>
      </c>
      <c r="AD167">
        <f ca="1">IF(AND($B$294=1,LEN($AD$181) * LEN($AD$191) * LEN($AD$197)&gt;0),$AD$181+$AD$191+$AD$197,HLOOKUP(INDIRECT(ADDRESS(2,COLUMN())),OFFSET($AT$2,0,0,ROW()-1,40),ROW()-1,FALSE))</f>
        <v>4033</v>
      </c>
      <c r="AE167">
        <f ca="1">IF(AND($B$294=1,LEN($AE$181) * LEN($AE$191) * LEN($AE$197)&gt;0),$AE$181+$AE$191+$AE$197,HLOOKUP(INDIRECT(ADDRESS(2,COLUMN())),OFFSET($AT$2,0,0,ROW()-1,40),ROW()-1,FALSE))</f>
        <v>4474</v>
      </c>
      <c r="AF167">
        <f ca="1">IF(AND($B$294=1,LEN($AF$181) * LEN($AF$191) * LEN($AF$197)&gt;0),$AF$181+$AF$191+$AF$197,HLOOKUP(INDIRECT(ADDRESS(2,COLUMN())),OFFSET($AT$2,0,0,ROW()-1,40),ROW()-1,FALSE))</f>
        <v>4868</v>
      </c>
      <c r="AG167">
        <f ca="1">IF(AND($B$294=1,LEN($AG$181) * LEN($AG$191) * LEN($AG$197)&gt;0),$AG$181+$AG$191+$AG$197,HLOOKUP(INDIRECT(ADDRESS(2,COLUMN())),OFFSET($AT$2,0,0,ROW()-1,40),ROW()-1,FALSE))</f>
        <v>4592</v>
      </c>
      <c r="AH167">
        <f ca="1">IF(AND($B$294=1,LEN($AH$181) * LEN($AH$191) * LEN($AH$197)&gt;0),$AH$181+$AH$191+$AH$197,HLOOKUP(INDIRECT(ADDRESS(2,COLUMN())),OFFSET($AT$2,0,0,ROW()-1,40),ROW()-1,FALSE))</f>
        <v>4820</v>
      </c>
      <c r="AI167">
        <f ca="1">IF(AND($B$294=1,LEN($AI$181) * LEN($AI$191) * LEN($AI$197)&gt;0),$AI$181+$AI$191+$AI$197,HLOOKUP(INDIRECT(ADDRESS(2,COLUMN())),OFFSET($AT$2,0,0,ROW()-1,40),ROW()-1,FALSE))</f>
        <v>4131</v>
      </c>
      <c r="AJ167">
        <f ca="1">IF(AND($B$294=1,LEN($AJ$181) * LEN($AJ$191) * LEN($AJ$197)&gt;0),$AJ$181+$AJ$191+$AJ$197,HLOOKUP(INDIRECT(ADDRESS(2,COLUMN())),OFFSET($AT$2,0,0,ROW()-1,40),ROW()-1,FALSE))</f>
        <v>4579</v>
      </c>
      <c r="AK167">
        <f ca="1">IF(AND($B$294=1,LEN($AK$181) * LEN($AK$191) * LEN($AK$197)&gt;0),$AK$181+$AK$191+$AK$197,HLOOKUP(INDIRECT(ADDRESS(2,COLUMN())),OFFSET($AT$2,0,0,ROW()-1,40),ROW()-1,FALSE))</f>
        <v>4086</v>
      </c>
      <c r="AL167">
        <f ca="1">IF(AND($B$294=1,LEN($AL$181) * LEN($AL$191) * LEN($AL$197)&gt;0),$AL$181+$AL$191+$AL$197,HLOOKUP(INDIRECT(ADDRESS(2,COLUMN())),OFFSET($AT$2,0,0,ROW()-1,40),ROW()-1,FALSE))</f>
        <v>3773</v>
      </c>
      <c r="AM167">
        <f ca="1">IF(AND($B$294=1,LEN($AM$181) * LEN($AM$191) * LEN($AM$197)&gt;0),$AM$181+$AM$191+$AM$197,HLOOKUP(INDIRECT(ADDRESS(2,COLUMN())),OFFSET($AT$2,0,0,ROW()-1,40),ROW()-1,FALSE))</f>
        <v>3152</v>
      </c>
      <c r="AN167">
        <f ca="1">IF(AND($B$294=1,LEN($AN$181) * LEN($AN$191) * LEN($AN$197)&gt;0),$AN$181+$AN$191+$AN$197,HLOOKUP(INDIRECT(ADDRESS(2,COLUMN())),OFFSET($AT$2,0,0,ROW()-1,40),ROW()-1,FALSE))</f>
        <v>4908</v>
      </c>
      <c r="AO167">
        <f ca="1">IF(AND($B$294=1,LEN($AO$181) * LEN($AO$191) * LEN($AO$197)&gt;0),$AO$181+$AO$191+$AO$197,HLOOKUP(INDIRECT(ADDRESS(2,COLUMN())),OFFSET($AT$2,0,0,ROW()-1,40),ROW()-1,FALSE))</f>
        <v>3850</v>
      </c>
      <c r="AP167">
        <f ca="1">IF(AND($B$294=1,LEN($AP$181) * LEN($AP$191) * LEN($AP$197)&gt;0),$AP$181+$AP$191+$AP$197,HLOOKUP(INDIRECT(ADDRESS(2,COLUMN())),OFFSET($AT$2,0,0,ROW()-1,40),ROW()-1,FALSE))</f>
        <v>4325</v>
      </c>
      <c r="AQ167">
        <f ca="1">IF(AND($B$294=1,LEN($AQ$181) * LEN($AQ$191) * LEN($AQ$197)&gt;0),$AQ$181+$AQ$191+$AQ$197,HLOOKUP(INDIRECT(ADDRESS(2,COLUMN())),OFFSET($AT$2,0,0,ROW()-1,40),ROW()-1,FALSE))</f>
        <v>3961</v>
      </c>
      <c r="AR167">
        <f ca="1">IF(AND($B$294=1,LEN($AR$181) * LEN($AR$191) * LEN($AR$197)&gt;0),$AR$181+$AR$191+$AR$197,HLOOKUP(INDIRECT(ADDRESS(2,COLUMN())),OFFSET($AT$2,0,0,ROW()-1,40),ROW()-1,FALSE))</f>
        <v>3799</v>
      </c>
      <c r="AS167">
        <f ca="1">IF(AND($B$294=1,LEN($AS$181) * LEN($AS$191) * LEN($AS$197)&gt;0),$AS$181+$AS$191+$AS$197,HLOOKUP(INDIRECT(ADDRESS(2,COLUMN())),OFFSET($AT$2,0,0,ROW()-1,40),ROW()-1,FALSE))</f>
        <v>3784</v>
      </c>
      <c r="AT167">
        <f>3948</f>
        <v>3948</v>
      </c>
      <c r="AU167">
        <f>3899</f>
        <v>3899</v>
      </c>
      <c r="AV167">
        <f>3636</f>
        <v>3636</v>
      </c>
      <c r="AW167">
        <f>3634</f>
        <v>3634</v>
      </c>
      <c r="AX167">
        <f>3696</f>
        <v>3696</v>
      </c>
      <c r="AY167">
        <f>3559</f>
        <v>3559</v>
      </c>
      <c r="AZ167">
        <f>3222</f>
        <v>3222</v>
      </c>
      <c r="BA167">
        <f>3204</f>
        <v>3204</v>
      </c>
      <c r="BB167">
        <f>2142</f>
        <v>2142</v>
      </c>
      <c r="BC167">
        <f>1846</f>
        <v>1846</v>
      </c>
      <c r="BD167">
        <f>4938</f>
        <v>4938</v>
      </c>
      <c r="BE167">
        <f>3388</f>
        <v>3388</v>
      </c>
      <c r="BF167">
        <f>3271</f>
        <v>3271</v>
      </c>
      <c r="BG167">
        <f>4024</f>
        <v>4024</v>
      </c>
      <c r="BH167">
        <f>3654</f>
        <v>3654</v>
      </c>
      <c r="BI167">
        <f>3185</f>
        <v>3185</v>
      </c>
      <c r="BJ167">
        <f>3825</f>
        <v>3825</v>
      </c>
      <c r="BK167">
        <f>3419</f>
        <v>3419</v>
      </c>
      <c r="BL167">
        <f>3435</f>
        <v>3435</v>
      </c>
      <c r="BM167">
        <f>3911</f>
        <v>3911</v>
      </c>
      <c r="BN167">
        <f>3189</f>
        <v>3189</v>
      </c>
      <c r="BO167">
        <f>2158</f>
        <v>2158</v>
      </c>
      <c r="BP167">
        <f>4423</f>
        <v>4423</v>
      </c>
      <c r="BQ167">
        <f>3664</f>
        <v>3664</v>
      </c>
      <c r="BR167">
        <f>4033</f>
        <v>4033</v>
      </c>
      <c r="BS167">
        <f>4474</f>
        <v>4474</v>
      </c>
      <c r="BT167">
        <f>4868</f>
        <v>4868</v>
      </c>
      <c r="BU167">
        <f>4592</f>
        <v>4592</v>
      </c>
      <c r="BV167">
        <f>4820</f>
        <v>4820</v>
      </c>
      <c r="BW167">
        <f>4131</f>
        <v>4131</v>
      </c>
      <c r="BX167">
        <f>4579</f>
        <v>4579</v>
      </c>
      <c r="BY167">
        <f>4086</f>
        <v>4086</v>
      </c>
      <c r="BZ167">
        <f>3773</f>
        <v>3773</v>
      </c>
      <c r="CA167">
        <f>3152</f>
        <v>3152</v>
      </c>
      <c r="CB167">
        <f>4908</f>
        <v>4908</v>
      </c>
      <c r="CC167">
        <f>3850</f>
        <v>3850</v>
      </c>
      <c r="CD167">
        <f>4325</f>
        <v>4325</v>
      </c>
      <c r="CE167">
        <f>3961</f>
        <v>3961</v>
      </c>
      <c r="CF167">
        <f>3799</f>
        <v>3799</v>
      </c>
      <c r="CG167">
        <f>3784</f>
        <v>3784</v>
      </c>
    </row>
    <row r="168" spans="1:85" x14ac:dyDescent="0.25">
      <c r="A168" t="str">
        <f>"    PACCAR - Peterbilt"</f>
        <v xml:space="preserve">    PACCAR - Peterbilt</v>
      </c>
      <c r="B168" t="str">
        <f>""</f>
        <v/>
      </c>
      <c r="E168" t="str">
        <f t="shared" si="5"/>
        <v>Expression</v>
      </c>
      <c r="F168">
        <f ca="1">IF(AND($B$294=1,LEN($F$182) * LEN($F$192)&gt;0),$F$182+$F$192,HLOOKUP(INDIRECT(ADDRESS(2,COLUMN())),OFFSET($AT$2,0,0,ROW()-1,40),ROW()-1,FALSE))</f>
        <v>3330</v>
      </c>
      <c r="G168">
        <f ca="1">IF(AND($B$294=1,LEN($G$182) * LEN($G$192)&gt;0),$G$182+$G$192,HLOOKUP(INDIRECT(ADDRESS(2,COLUMN())),OFFSET($AT$2,0,0,ROW()-1,40),ROW()-1,FALSE))</f>
        <v>2854</v>
      </c>
      <c r="H168">
        <f ca="1">IF(AND($B$294=1,LEN($H$182) * LEN($H$192)&gt;0),$H$182+$H$192,HLOOKUP(INDIRECT(ADDRESS(2,COLUMN())),OFFSET($AT$2,0,0,ROW()-1,40),ROW()-1,FALSE))</f>
        <v>3035</v>
      </c>
      <c r="I168">
        <f ca="1">IF(AND($B$294=1,LEN($I$182) * LEN($I$192)&gt;0),$I$182+$I$192,HLOOKUP(INDIRECT(ADDRESS(2,COLUMN())),OFFSET($AT$2,0,0,ROW()-1,40),ROW()-1,FALSE))</f>
        <v>2858</v>
      </c>
      <c r="J168">
        <f ca="1">IF(AND($B$294=1,LEN($J$182) * LEN($J$192)&gt;0),$J$182+$J$192,HLOOKUP(INDIRECT(ADDRESS(2,COLUMN())),OFFSET($AT$2,0,0,ROW()-1,40),ROW()-1,FALSE))</f>
        <v>3053</v>
      </c>
      <c r="K168">
        <f ca="1">IF(AND($B$294=1,LEN($K$182) * LEN($K$192)&gt;0),$K$182+$K$192,HLOOKUP(INDIRECT(ADDRESS(2,COLUMN())),OFFSET($AT$2,0,0,ROW()-1,40),ROW()-1,FALSE))</f>
        <v>2751</v>
      </c>
      <c r="L168">
        <f ca="1">IF(AND($B$294=1,LEN($L$182) * LEN($L$192)&gt;0),$L$182+$L$192,HLOOKUP(INDIRECT(ADDRESS(2,COLUMN())),OFFSET($AT$2,0,0,ROW()-1,40),ROW()-1,FALSE))</f>
        <v>2510</v>
      </c>
      <c r="M168">
        <f ca="1">IF(AND($B$294=1,LEN($M$182) * LEN($M$192)&gt;0),$M$182+$M$192,HLOOKUP(INDIRECT(ADDRESS(2,COLUMN())),OFFSET($AT$2,0,0,ROW()-1,40),ROW()-1,FALSE))</f>
        <v>2432</v>
      </c>
      <c r="N168">
        <f ca="1">IF(AND($B$294=1,LEN($N$182) * LEN($N$192)&gt;0),$N$182+$N$192,HLOOKUP(INDIRECT(ADDRESS(2,COLUMN())),OFFSET($AT$2,0,0,ROW()-1,40),ROW()-1,FALSE))</f>
        <v>2026</v>
      </c>
      <c r="O168">
        <f ca="1">IF(AND($B$294=1,LEN($O$182) * LEN($O$192)&gt;0),$O$182+$O$192,HLOOKUP(INDIRECT(ADDRESS(2,COLUMN())),OFFSET($AT$2,0,0,ROW()-1,40),ROW()-1,FALSE))</f>
        <v>2012</v>
      </c>
      <c r="P168">
        <f ca="1">IF(AND($B$294=1,LEN($P$182) * LEN($P$192)&gt;0),$P$182+$P$192,HLOOKUP(INDIRECT(ADDRESS(2,COLUMN())),OFFSET($AT$2,0,0,ROW()-1,40),ROW()-1,FALSE))</f>
        <v>2325</v>
      </c>
      <c r="Q168">
        <f ca="1">IF(AND($B$294=1,LEN($Q$182) * LEN($Q$192)&gt;0),$Q$182+$Q$192,HLOOKUP(INDIRECT(ADDRESS(2,COLUMN())),OFFSET($AT$2,0,0,ROW()-1,40),ROW()-1,FALSE))</f>
        <v>2265</v>
      </c>
      <c r="R168">
        <f ca="1">IF(AND($B$294=1,LEN($R$182) * LEN($R$192)&gt;0),$R$182+$R$192,HLOOKUP(INDIRECT(ADDRESS(2,COLUMN())),OFFSET($AT$2,0,0,ROW()-1,40),ROW()-1,FALSE))</f>
        <v>2308</v>
      </c>
      <c r="S168">
        <f ca="1">IF(AND($B$294=1,LEN($S$182) * LEN($S$192)&gt;0),$S$182+$S$192,HLOOKUP(INDIRECT(ADDRESS(2,COLUMN())),OFFSET($AT$2,0,0,ROW()-1,40),ROW()-1,FALSE))</f>
        <v>2332</v>
      </c>
      <c r="T168">
        <f ca="1">IF(AND($B$294=1,LEN($T$182) * LEN($T$192)&gt;0),$T$182+$T$192,HLOOKUP(INDIRECT(ADDRESS(2,COLUMN())),OFFSET($AT$2,0,0,ROW()-1,40),ROW()-1,FALSE))</f>
        <v>2497</v>
      </c>
      <c r="U168">
        <f ca="1">IF(AND($B$294=1,LEN($U$182) * LEN($U$192)&gt;0),$U$182+$U$192,HLOOKUP(INDIRECT(ADDRESS(2,COLUMN())),OFFSET($AT$2,0,0,ROW()-1,40),ROW()-1,FALSE))</f>
        <v>2436</v>
      </c>
      <c r="V168">
        <f ca="1">IF(AND($B$294=1,LEN($V$182) * LEN($V$192)&gt;0),$V$182+$V$192,HLOOKUP(INDIRECT(ADDRESS(2,COLUMN())),OFFSET($AT$2,0,0,ROW()-1,40),ROW()-1,FALSE))</f>
        <v>2583</v>
      </c>
      <c r="W168">
        <f ca="1">IF(AND($B$294=1,LEN($W$182) * LEN($W$192)&gt;0),$W$182+$W$192,HLOOKUP(INDIRECT(ADDRESS(2,COLUMN())),OFFSET($AT$2,0,0,ROW()-1,40),ROW()-1,FALSE))</f>
        <v>2557</v>
      </c>
      <c r="X168">
        <f ca="1">IF(AND($B$294=1,LEN($X$182) * LEN($X$192)&gt;0),$X$182+$X$192,HLOOKUP(INDIRECT(ADDRESS(2,COLUMN())),OFFSET($AT$2,0,0,ROW()-1,40),ROW()-1,FALSE))</f>
        <v>2511</v>
      </c>
      <c r="Y168">
        <f ca="1">IF(AND($B$294=1,LEN($Y$182) * LEN($Y$192)&gt;0),$Y$182+$Y$192,HLOOKUP(INDIRECT(ADDRESS(2,COLUMN())),OFFSET($AT$2,0,0,ROW()-1,40),ROW()-1,FALSE))</f>
        <v>2504</v>
      </c>
      <c r="Z168">
        <f ca="1">IF(AND($B$294=1,LEN($Z$182) * LEN($Z$192)&gt;0),$Z$182+$Z$192,HLOOKUP(INDIRECT(ADDRESS(2,COLUMN())),OFFSET($AT$2,0,0,ROW()-1,40),ROW()-1,FALSE))</f>
        <v>2307</v>
      </c>
      <c r="AA168">
        <f ca="1">IF(AND($B$294=1,LEN($AA$182) * LEN($AA$192)&gt;0),$AA$182+$AA$192,HLOOKUP(INDIRECT(ADDRESS(2,COLUMN())),OFFSET($AT$2,0,0,ROW()-1,40),ROW()-1,FALSE))</f>
        <v>2275</v>
      </c>
      <c r="AB168">
        <f ca="1">IF(AND($B$294=1,LEN($AB$182) * LEN($AB$192)&gt;0),$AB$182+$AB$192,HLOOKUP(INDIRECT(ADDRESS(2,COLUMN())),OFFSET($AT$2,0,0,ROW()-1,40),ROW()-1,FALSE))</f>
        <v>2625</v>
      </c>
      <c r="AC168">
        <f ca="1">IF(AND($B$294=1,LEN($AC$182) * LEN($AC$192)&gt;0),$AC$182+$AC$192,HLOOKUP(INDIRECT(ADDRESS(2,COLUMN())),OFFSET($AT$2,0,0,ROW()-1,40),ROW()-1,FALSE))</f>
        <v>2069</v>
      </c>
      <c r="AD168">
        <f ca="1">IF(AND($B$294=1,LEN($AD$182) * LEN($AD$192)&gt;0),$AD$182+$AD$192,HLOOKUP(INDIRECT(ADDRESS(2,COLUMN())),OFFSET($AT$2,0,0,ROW()-1,40),ROW()-1,FALSE))</f>
        <v>2433</v>
      </c>
      <c r="AE168">
        <f ca="1">IF(AND($B$294=1,LEN($AE$182) * LEN($AE$192)&gt;0),$AE$182+$AE$192,HLOOKUP(INDIRECT(ADDRESS(2,COLUMN())),OFFSET($AT$2,0,0,ROW()-1,40),ROW()-1,FALSE))</f>
        <v>3079</v>
      </c>
      <c r="AF168">
        <f ca="1">IF(AND($B$294=1,LEN($AF$182) * LEN($AF$192)&gt;0),$AF$182+$AF$192,HLOOKUP(INDIRECT(ADDRESS(2,COLUMN())),OFFSET($AT$2,0,0,ROW()-1,40),ROW()-1,FALSE))</f>
        <v>3315</v>
      </c>
      <c r="AG168">
        <f ca="1">IF(AND($B$294=1,LEN($AG$182) * LEN($AG$192)&gt;0),$AG$182+$AG$192,HLOOKUP(INDIRECT(ADDRESS(2,COLUMN())),OFFSET($AT$2,0,0,ROW()-1,40),ROW()-1,FALSE))</f>
        <v>3412</v>
      </c>
      <c r="AH168">
        <f ca="1">IF(AND($B$294=1,LEN($AH$182) * LEN($AH$192)&gt;0),$AH$182+$AH$192,HLOOKUP(INDIRECT(ADDRESS(2,COLUMN())),OFFSET($AT$2,0,0,ROW()-1,40),ROW()-1,FALSE))</f>
        <v>3222</v>
      </c>
      <c r="AI168">
        <f ca="1">IF(AND($B$294=1,LEN($AI$182) * LEN($AI$192)&gt;0),$AI$182+$AI$192,HLOOKUP(INDIRECT(ADDRESS(2,COLUMN())),OFFSET($AT$2,0,0,ROW()-1,40),ROW()-1,FALSE))</f>
        <v>3211</v>
      </c>
      <c r="AJ168">
        <f ca="1">IF(AND($B$294=1,LEN($AJ$182) * LEN($AJ$192)&gt;0),$AJ$182+$AJ$192,HLOOKUP(INDIRECT(ADDRESS(2,COLUMN())),OFFSET($AT$2,0,0,ROW()-1,40),ROW()-1,FALSE))</f>
        <v>3309</v>
      </c>
      <c r="AK168">
        <f ca="1">IF(AND($B$294=1,LEN($AK$182) * LEN($AK$192)&gt;0),$AK$182+$AK$192,HLOOKUP(INDIRECT(ADDRESS(2,COLUMN())),OFFSET($AT$2,0,0,ROW()-1,40),ROW()-1,FALSE))</f>
        <v>3071</v>
      </c>
      <c r="AL168">
        <f ca="1">IF(AND($B$294=1,LEN($AL$182) * LEN($AL$192)&gt;0),$AL$182+$AL$192,HLOOKUP(INDIRECT(ADDRESS(2,COLUMN())),OFFSET($AT$2,0,0,ROW()-1,40),ROW()-1,FALSE))</f>
        <v>2646</v>
      </c>
      <c r="AM168">
        <f ca="1">IF(AND($B$294=1,LEN($AM$182) * LEN($AM$192)&gt;0),$AM$182+$AM$192,HLOOKUP(INDIRECT(ADDRESS(2,COLUMN())),OFFSET($AT$2,0,0,ROW()-1,40),ROW()-1,FALSE))</f>
        <v>2497</v>
      </c>
      <c r="AN168">
        <f ca="1">IF(AND($B$294=1,LEN($AN$182) * LEN($AN$192)&gt;0),$AN$182+$AN$192,HLOOKUP(INDIRECT(ADDRESS(2,COLUMN())),OFFSET($AT$2,0,0,ROW()-1,40),ROW()-1,FALSE))</f>
        <v>3216</v>
      </c>
      <c r="AO168">
        <f ca="1">IF(AND($B$294=1,LEN($AO$182) * LEN($AO$192)&gt;0),$AO$182+$AO$192,HLOOKUP(INDIRECT(ADDRESS(2,COLUMN())),OFFSET($AT$2,0,0,ROW()-1,40),ROW()-1,FALSE))</f>
        <v>3007</v>
      </c>
      <c r="AP168">
        <f ca="1">IF(AND($B$294=1,LEN($AP$182) * LEN($AP$192)&gt;0),$AP$182+$AP$192,HLOOKUP(INDIRECT(ADDRESS(2,COLUMN())),OFFSET($AT$2,0,0,ROW()-1,40),ROW()-1,FALSE))</f>
        <v>3437</v>
      </c>
      <c r="AQ168">
        <f ca="1">IF(AND($B$294=1,LEN($AQ$182) * LEN($AQ$192)&gt;0),$AQ$182+$AQ$192,HLOOKUP(INDIRECT(ADDRESS(2,COLUMN())),OFFSET($AT$2,0,0,ROW()-1,40),ROW()-1,FALSE))</f>
        <v>3122</v>
      </c>
      <c r="AR168">
        <f ca="1">IF(AND($B$294=1,LEN($AR$182) * LEN($AR$192)&gt;0),$AR$182+$AR$192,HLOOKUP(INDIRECT(ADDRESS(2,COLUMN())),OFFSET($AT$2,0,0,ROW()-1,40),ROW()-1,FALSE))</f>
        <v>2945</v>
      </c>
      <c r="AS168">
        <f ca="1">IF(AND($B$294=1,LEN($AS$182) * LEN($AS$192)&gt;0),$AS$182+$AS$192,HLOOKUP(INDIRECT(ADDRESS(2,COLUMN())),OFFSET($AT$2,0,0,ROW()-1,40),ROW()-1,FALSE))</f>
        <v>2864</v>
      </c>
      <c r="AT168">
        <f>3330</f>
        <v>3330</v>
      </c>
      <c r="AU168">
        <f>2854</f>
        <v>2854</v>
      </c>
      <c r="AV168">
        <f>3035</f>
        <v>3035</v>
      </c>
      <c r="AW168">
        <f>2858</f>
        <v>2858</v>
      </c>
      <c r="AX168">
        <f>3053</f>
        <v>3053</v>
      </c>
      <c r="AY168">
        <f>2751</f>
        <v>2751</v>
      </c>
      <c r="AZ168">
        <f>2510</f>
        <v>2510</v>
      </c>
      <c r="BA168">
        <f>2432</f>
        <v>2432</v>
      </c>
      <c r="BB168">
        <f>2026</f>
        <v>2026</v>
      </c>
      <c r="BC168">
        <f>2012</f>
        <v>2012</v>
      </c>
      <c r="BD168">
        <f>2325</f>
        <v>2325</v>
      </c>
      <c r="BE168">
        <f>2265</f>
        <v>2265</v>
      </c>
      <c r="BF168">
        <f>2308</f>
        <v>2308</v>
      </c>
      <c r="BG168">
        <f>2332</f>
        <v>2332</v>
      </c>
      <c r="BH168">
        <f>2497</f>
        <v>2497</v>
      </c>
      <c r="BI168">
        <f>2436</f>
        <v>2436</v>
      </c>
      <c r="BJ168">
        <f>2583</f>
        <v>2583</v>
      </c>
      <c r="BK168">
        <f>2557</f>
        <v>2557</v>
      </c>
      <c r="BL168">
        <f>2511</f>
        <v>2511</v>
      </c>
      <c r="BM168">
        <f>2504</f>
        <v>2504</v>
      </c>
      <c r="BN168">
        <f>2307</f>
        <v>2307</v>
      </c>
      <c r="BO168">
        <f>2275</f>
        <v>2275</v>
      </c>
      <c r="BP168">
        <f>2625</f>
        <v>2625</v>
      </c>
      <c r="BQ168">
        <f>2069</f>
        <v>2069</v>
      </c>
      <c r="BR168">
        <f>2433</f>
        <v>2433</v>
      </c>
      <c r="BS168">
        <f>3079</f>
        <v>3079</v>
      </c>
      <c r="BT168">
        <f>3315</f>
        <v>3315</v>
      </c>
      <c r="BU168">
        <f>3412</f>
        <v>3412</v>
      </c>
      <c r="BV168">
        <f>3222</f>
        <v>3222</v>
      </c>
      <c r="BW168">
        <f>3211</f>
        <v>3211</v>
      </c>
      <c r="BX168">
        <f>3309</f>
        <v>3309</v>
      </c>
      <c r="BY168">
        <f>3071</f>
        <v>3071</v>
      </c>
      <c r="BZ168">
        <f>2646</f>
        <v>2646</v>
      </c>
      <c r="CA168">
        <f>2497</f>
        <v>2497</v>
      </c>
      <c r="CB168">
        <f>3216</f>
        <v>3216</v>
      </c>
      <c r="CC168">
        <f>3007</f>
        <v>3007</v>
      </c>
      <c r="CD168">
        <f>3437</f>
        <v>3437</v>
      </c>
      <c r="CE168">
        <f>3122</f>
        <v>3122</v>
      </c>
      <c r="CF168">
        <f>2945</f>
        <v>2945</v>
      </c>
      <c r="CG168">
        <f>2864</f>
        <v>2864</v>
      </c>
    </row>
    <row r="169" spans="1:85" x14ac:dyDescent="0.25">
      <c r="A169" t="str">
        <f>"    Navistar - International"</f>
        <v xml:space="preserve">    Navistar - International</v>
      </c>
      <c r="B169" t="str">
        <f>""</f>
        <v/>
      </c>
      <c r="E169" t="str">
        <f t="shared" si="5"/>
        <v>Expression</v>
      </c>
      <c r="F169">
        <f ca="1">IF(AND($B$294=1,LEN($F$195) * LEN($F$185) * LEN($F$198)&gt;0),$F$195+$F$185+$F$198,HLOOKUP(INDIRECT(ADDRESS(2,COLUMN())),OFFSET($AT$2,0,0,ROW()-1,40),ROW()-1,FALSE))</f>
        <v>4115</v>
      </c>
      <c r="G169">
        <f ca="1">IF(AND($B$294=1,LEN($G$195) * LEN($G$185) * LEN($G$198)&gt;0),$G$195+$G$185+$G$198,HLOOKUP(INDIRECT(ADDRESS(2,COLUMN())),OFFSET($AT$2,0,0,ROW()-1,40),ROW()-1,FALSE))</f>
        <v>2745</v>
      </c>
      <c r="H169">
        <f ca="1">IF(AND($B$294=1,LEN($H$195) * LEN($H$185) * LEN($H$198)&gt;0),$H$195+$H$185+$H$198,HLOOKUP(INDIRECT(ADDRESS(2,COLUMN())),OFFSET($AT$2,0,0,ROW()-1,40),ROW()-1,FALSE))</f>
        <v>3516</v>
      </c>
      <c r="I169">
        <f ca="1">IF(AND($B$294=1,LEN($I$195) * LEN($I$185) * LEN($I$198)&gt;0),$I$195+$I$185+$I$198,HLOOKUP(INDIRECT(ADDRESS(2,COLUMN())),OFFSET($AT$2,0,0,ROW()-1,40),ROW()-1,FALSE))</f>
        <v>2343</v>
      </c>
      <c r="J169">
        <f ca="1">IF(AND($B$294=1,LEN($J$195) * LEN($J$185) * LEN($J$198)&gt;0),$J$195+$J$185+$J$198,HLOOKUP(INDIRECT(ADDRESS(2,COLUMN())),OFFSET($AT$2,0,0,ROW()-1,40),ROW()-1,FALSE))</f>
        <v>2494</v>
      </c>
      <c r="K169">
        <f ca="1">IF(AND($B$294=1,LEN($K$195) * LEN($K$185) * LEN($K$198)&gt;0),$K$195+$K$185+$K$198,HLOOKUP(INDIRECT(ADDRESS(2,COLUMN())),OFFSET($AT$2,0,0,ROW()-1,40),ROW()-1,FALSE))</f>
        <v>2240</v>
      </c>
      <c r="L169">
        <f ca="1">IF(AND($B$294=1,LEN($L$195) * LEN($L$185) * LEN($L$198)&gt;0),$L$195+$L$185+$L$198,HLOOKUP(INDIRECT(ADDRESS(2,COLUMN())),OFFSET($AT$2,0,0,ROW()-1,40),ROW()-1,FALSE))</f>
        <v>2345</v>
      </c>
      <c r="M169">
        <f ca="1">IF(AND($B$294=1,LEN($M$195) * LEN($M$185) * LEN($M$198)&gt;0),$M$195+$M$185+$M$198,HLOOKUP(INDIRECT(ADDRESS(2,COLUMN())),OFFSET($AT$2,0,0,ROW()-1,40),ROW()-1,FALSE))</f>
        <v>2142</v>
      </c>
      <c r="N169">
        <f ca="1">IF(AND($B$294=1,LEN($N$195) * LEN($N$185) * LEN($N$198)&gt;0),$N$195+$N$185+$N$198,HLOOKUP(INDIRECT(ADDRESS(2,COLUMN())),OFFSET($AT$2,0,0,ROW()-1,40),ROW()-1,FALSE))</f>
        <v>1857</v>
      </c>
      <c r="O169">
        <f ca="1">IF(AND($B$294=1,LEN($O$195) * LEN($O$185) * LEN($O$198)&gt;0),$O$195+$O$185+$O$198,HLOOKUP(INDIRECT(ADDRESS(2,COLUMN())),OFFSET($AT$2,0,0,ROW()-1,40),ROW()-1,FALSE))</f>
        <v>1960</v>
      </c>
      <c r="P169">
        <f ca="1">IF(AND($B$294=1,LEN($P$195) * LEN($P$185) * LEN($P$198)&gt;0),$P$195+$P$185+$P$198,HLOOKUP(INDIRECT(ADDRESS(2,COLUMN())),OFFSET($AT$2,0,0,ROW()-1,40),ROW()-1,FALSE))</f>
        <v>2093</v>
      </c>
      <c r="Q169">
        <f ca="1">IF(AND($B$294=1,LEN($Q$195) * LEN($Q$185) * LEN($Q$198)&gt;0),$Q$195+$Q$185+$Q$198,HLOOKUP(INDIRECT(ADDRESS(2,COLUMN())),OFFSET($AT$2,0,0,ROW()-1,40),ROW()-1,FALSE))</f>
        <v>2344</v>
      </c>
      <c r="R169">
        <f ca="1">IF(AND($B$294=1,LEN($R$195) * LEN($R$185) * LEN($R$198)&gt;0),$R$195+$R$185+$R$198,HLOOKUP(INDIRECT(ADDRESS(2,COLUMN())),OFFSET($AT$2,0,0,ROW()-1,40),ROW()-1,FALSE))</f>
        <v>3287</v>
      </c>
      <c r="S169">
        <f ca="1">IF(AND($B$294=1,LEN($S$195) * LEN($S$185) * LEN($S$198)&gt;0),$S$195+$S$185+$S$198,HLOOKUP(INDIRECT(ADDRESS(2,COLUMN())),OFFSET($AT$2,0,0,ROW()-1,40),ROW()-1,FALSE))</f>
        <v>2487</v>
      </c>
      <c r="T169">
        <f ca="1">IF(AND($B$294=1,LEN($T$195) * LEN($T$185) * LEN($T$198)&gt;0),$T$195+$T$185+$T$198,HLOOKUP(INDIRECT(ADDRESS(2,COLUMN())),OFFSET($AT$2,0,0,ROW()-1,40),ROW()-1,FALSE))</f>
        <v>2652</v>
      </c>
      <c r="U169">
        <f ca="1">IF(AND($B$294=1,LEN($U$195) * LEN($U$185) * LEN($U$198)&gt;0),$U$195+$U$185+$U$198,HLOOKUP(INDIRECT(ADDRESS(2,COLUMN())),OFFSET($AT$2,0,0,ROW()-1,40),ROW()-1,FALSE))</f>
        <v>1878</v>
      </c>
      <c r="V169">
        <f ca="1">IF(AND($B$294=1,LEN($V$195) * LEN($V$185) * LEN($V$198)&gt;0),$V$195+$V$185+$V$198,HLOOKUP(INDIRECT(ADDRESS(2,COLUMN())),OFFSET($AT$2,0,0,ROW()-1,40),ROW()-1,FALSE))</f>
        <v>2268</v>
      </c>
      <c r="W169">
        <f ca="1">IF(AND($B$294=1,LEN($W$195) * LEN($W$185) * LEN($W$198)&gt;0),$W$195+$W$185+$W$198,HLOOKUP(INDIRECT(ADDRESS(2,COLUMN())),OFFSET($AT$2,0,0,ROW()-1,40),ROW()-1,FALSE))</f>
        <v>2495</v>
      </c>
      <c r="X169">
        <f ca="1">IF(AND($B$294=1,LEN($X$195) * LEN($X$185) * LEN($X$198)&gt;0),$X$195+$X$185+$X$198,HLOOKUP(INDIRECT(ADDRESS(2,COLUMN())),OFFSET($AT$2,0,0,ROW()-1,40),ROW()-1,FALSE))</f>
        <v>2713</v>
      </c>
      <c r="Y169">
        <f ca="1">IF(AND($B$294=1,LEN($Y$195) * LEN($Y$185) * LEN($Y$198)&gt;0),$Y$195+$Y$185+$Y$198,HLOOKUP(INDIRECT(ADDRESS(2,COLUMN())),OFFSET($AT$2,0,0,ROW()-1,40),ROW()-1,FALSE))</f>
        <v>2943</v>
      </c>
      <c r="Z169">
        <f ca="1">IF(AND($B$294=1,LEN($Z$195) * LEN($Z$185) * LEN($Z$198)&gt;0),$Z$195+$Z$185+$Z$198,HLOOKUP(INDIRECT(ADDRESS(2,COLUMN())),OFFSET($AT$2,0,0,ROW()-1,40),ROW()-1,FALSE))</f>
        <v>2090</v>
      </c>
      <c r="AA169">
        <f ca="1">IF(AND($B$294=1,LEN($AA$195) * LEN($AA$185) * LEN($AA$198)&gt;0),$AA$195+$AA$185+$AA$198,HLOOKUP(INDIRECT(ADDRESS(2,COLUMN())),OFFSET($AT$2,0,0,ROW()-1,40),ROW()-1,FALSE))</f>
        <v>3307</v>
      </c>
      <c r="AB169">
        <f ca="1">IF(AND($B$294=1,LEN($AB$195) * LEN($AB$185) * LEN($AB$198)&gt;0),$AB$195+$AB$185+$AB$198,HLOOKUP(INDIRECT(ADDRESS(2,COLUMN())),OFFSET($AT$2,0,0,ROW()-1,40),ROW()-1,FALSE))</f>
        <v>2722</v>
      </c>
      <c r="AC169">
        <f ca="1">IF(AND($B$294=1,LEN($AC$195) * LEN($AC$185) * LEN($AC$198)&gt;0),$AC$195+$AC$185+$AC$198,HLOOKUP(INDIRECT(ADDRESS(2,COLUMN())),OFFSET($AT$2,0,0,ROW()-1,40),ROW()-1,FALSE))</f>
        <v>1971</v>
      </c>
      <c r="AD169">
        <f ca="1">IF(AND($B$294=1,LEN($AD$195) * LEN($AD$185) * LEN($AD$198)&gt;0),$AD$195+$AD$185+$AD$198,HLOOKUP(INDIRECT(ADDRESS(2,COLUMN())),OFFSET($AT$2,0,0,ROW()-1,40),ROW()-1,FALSE))</f>
        <v>3162</v>
      </c>
      <c r="AE169">
        <f ca="1">IF(AND($B$294=1,LEN($AE$195) * LEN($AE$185) * LEN($AE$198)&gt;0),$AE$195+$AE$185+$AE$198,HLOOKUP(INDIRECT(ADDRESS(2,COLUMN())),OFFSET($AT$2,0,0,ROW()-1,40),ROW()-1,FALSE))</f>
        <v>3094</v>
      </c>
      <c r="AF169">
        <f ca="1">IF(AND($B$294=1,LEN($AF$195) * LEN($AF$185) * LEN($AF$198)&gt;0),$AF$195+$AF$185+$AF$198,HLOOKUP(INDIRECT(ADDRESS(2,COLUMN())),OFFSET($AT$2,0,0,ROW()-1,40),ROW()-1,FALSE))</f>
        <v>3257</v>
      </c>
      <c r="AG169">
        <f ca="1">IF(AND($B$294=1,LEN($AG$195) * LEN($AG$185) * LEN($AG$198)&gt;0),$AG$195+$AG$185+$AG$198,HLOOKUP(INDIRECT(ADDRESS(2,COLUMN())),OFFSET($AT$2,0,0,ROW()-1,40),ROW()-1,FALSE))</f>
        <v>3739</v>
      </c>
      <c r="AH169">
        <f ca="1">IF(AND($B$294=1,LEN($AH$195) * LEN($AH$185) * LEN($AH$198)&gt;0),$AH$195+$AH$185+$AH$198,HLOOKUP(INDIRECT(ADDRESS(2,COLUMN())),OFFSET($AT$2,0,0,ROW()-1,40),ROW()-1,FALSE))</f>
        <v>4093</v>
      </c>
      <c r="AI169">
        <f ca="1">IF(AND($B$294=1,LEN($AI$195) * LEN($AI$185) * LEN($AI$198)&gt;0),$AI$195+$AI$185+$AI$198,HLOOKUP(INDIRECT(ADDRESS(2,COLUMN())),OFFSET($AT$2,0,0,ROW()-1,40),ROW()-1,FALSE))</f>
        <v>3127</v>
      </c>
      <c r="AJ169">
        <f ca="1">IF(AND($B$294=1,LEN($AJ$195) * LEN($AJ$185) * LEN($AJ$198)&gt;0),$AJ$195+$AJ$185+$AJ$198,HLOOKUP(INDIRECT(ADDRESS(2,COLUMN())),OFFSET($AT$2,0,0,ROW()-1,40),ROW()-1,FALSE))</f>
        <v>3332</v>
      </c>
      <c r="AK169">
        <f ca="1">IF(AND($B$294=1,LEN($AK$195) * LEN($AK$185) * LEN($AK$198)&gt;0),$AK$195+$AK$185+$AK$198,HLOOKUP(INDIRECT(ADDRESS(2,COLUMN())),OFFSET($AT$2,0,0,ROW()-1,40),ROW()-1,FALSE))</f>
        <v>3783</v>
      </c>
      <c r="AL169">
        <f ca="1">IF(AND($B$294=1,LEN($AL$195) * LEN($AL$185) * LEN($AL$198)&gt;0),$AL$195+$AL$185+$AL$198,HLOOKUP(INDIRECT(ADDRESS(2,COLUMN())),OFFSET($AT$2,0,0,ROW()-1,40),ROW()-1,FALSE))</f>
        <v>2545</v>
      </c>
      <c r="AM169">
        <f ca="1">IF(AND($B$294=1,LEN($AM$195) * LEN($AM$185) * LEN($AM$198)&gt;0),$AM$195+$AM$185+$AM$198,HLOOKUP(INDIRECT(ADDRESS(2,COLUMN())),OFFSET($AT$2,0,0,ROW()-1,40),ROW()-1,FALSE))</f>
        <v>2845</v>
      </c>
      <c r="AN169">
        <f ca="1">IF(AND($B$294=1,LEN($AN$195) * LEN($AN$185) * LEN($AN$198)&gt;0),$AN$195+$AN$185+$AN$198,HLOOKUP(INDIRECT(ADDRESS(2,COLUMN())),OFFSET($AT$2,0,0,ROW()-1,40),ROW()-1,FALSE))</f>
        <v>3202</v>
      </c>
      <c r="AO169">
        <f ca="1">IF(AND($B$294=1,LEN($AO$195) * LEN($AO$185) * LEN($AO$198)&gt;0),$AO$195+$AO$185+$AO$198,HLOOKUP(INDIRECT(ADDRESS(2,COLUMN())),OFFSET($AT$2,0,0,ROW()-1,40),ROW()-1,FALSE))</f>
        <v>2615</v>
      </c>
      <c r="AP169">
        <f ca="1">IF(AND($B$294=1,LEN($AP$195) * LEN($AP$185) * LEN($AP$198)&gt;0),$AP$195+$AP$185+$AP$198,HLOOKUP(INDIRECT(ADDRESS(2,COLUMN())),OFFSET($AT$2,0,0,ROW()-1,40),ROW()-1,FALSE))</f>
        <v>4454</v>
      </c>
      <c r="AQ169">
        <f ca="1">IF(AND($B$294=1,LEN($AQ$195) * LEN($AQ$185) * LEN($AQ$198)&gt;0),$AQ$195+$AQ$185+$AQ$198,HLOOKUP(INDIRECT(ADDRESS(2,COLUMN())),OFFSET($AT$2,0,0,ROW()-1,40),ROW()-1,FALSE))</f>
        <v>3659</v>
      </c>
      <c r="AR169">
        <f ca="1">IF(AND($B$294=1,LEN($AR$195) * LEN($AR$185) * LEN($AR$198)&gt;0),$AR$195+$AR$185+$AR$198,HLOOKUP(INDIRECT(ADDRESS(2,COLUMN())),OFFSET($AT$2,0,0,ROW()-1,40),ROW()-1,FALSE))</f>
        <v>3509</v>
      </c>
      <c r="AS169">
        <f ca="1">IF(AND($B$294=1,LEN($AS$195) * LEN($AS$185) * LEN($AS$198)&gt;0),$AS$195+$AS$185+$AS$198,HLOOKUP(INDIRECT(ADDRESS(2,COLUMN())),OFFSET($AT$2,0,0,ROW()-1,40),ROW()-1,FALSE))</f>
        <v>4170</v>
      </c>
      <c r="AT169">
        <f>4115</f>
        <v>4115</v>
      </c>
      <c r="AU169">
        <f>2745</f>
        <v>2745</v>
      </c>
      <c r="AV169">
        <f>3516</f>
        <v>3516</v>
      </c>
      <c r="AW169">
        <f>2343</f>
        <v>2343</v>
      </c>
      <c r="AX169">
        <f>2494</f>
        <v>2494</v>
      </c>
      <c r="AY169">
        <f>2240</f>
        <v>2240</v>
      </c>
      <c r="AZ169">
        <f>2345</f>
        <v>2345</v>
      </c>
      <c r="BA169">
        <f>2142</f>
        <v>2142</v>
      </c>
      <c r="BB169">
        <f>1857</f>
        <v>1857</v>
      </c>
      <c r="BC169">
        <f>1960</f>
        <v>1960</v>
      </c>
      <c r="BD169">
        <f>2093</f>
        <v>2093</v>
      </c>
      <c r="BE169">
        <f>2344</f>
        <v>2344</v>
      </c>
      <c r="BF169">
        <f>3287</f>
        <v>3287</v>
      </c>
      <c r="BG169">
        <f>2487</f>
        <v>2487</v>
      </c>
      <c r="BH169">
        <f>2652</f>
        <v>2652</v>
      </c>
      <c r="BI169">
        <f>1878</f>
        <v>1878</v>
      </c>
      <c r="BJ169">
        <f>2268</f>
        <v>2268</v>
      </c>
      <c r="BK169">
        <f>2495</f>
        <v>2495</v>
      </c>
      <c r="BL169">
        <f>2713</f>
        <v>2713</v>
      </c>
      <c r="BM169">
        <f>2943</f>
        <v>2943</v>
      </c>
      <c r="BN169">
        <f>2090</f>
        <v>2090</v>
      </c>
      <c r="BO169">
        <f>3307</f>
        <v>3307</v>
      </c>
      <c r="BP169">
        <f>2722</f>
        <v>2722</v>
      </c>
      <c r="BQ169">
        <f>1971</f>
        <v>1971</v>
      </c>
      <c r="BR169">
        <f>3162</f>
        <v>3162</v>
      </c>
      <c r="BS169">
        <f>3094</f>
        <v>3094</v>
      </c>
      <c r="BT169">
        <f>3257</f>
        <v>3257</v>
      </c>
      <c r="BU169">
        <f>3739</f>
        <v>3739</v>
      </c>
      <c r="BV169">
        <f>4093</f>
        <v>4093</v>
      </c>
      <c r="BW169">
        <f>3127</f>
        <v>3127</v>
      </c>
      <c r="BX169">
        <f>3332</f>
        <v>3332</v>
      </c>
      <c r="BY169">
        <f>3783</f>
        <v>3783</v>
      </c>
      <c r="BZ169">
        <f>2545</f>
        <v>2545</v>
      </c>
      <c r="CA169">
        <f>2845</f>
        <v>2845</v>
      </c>
      <c r="CB169">
        <f>3202</f>
        <v>3202</v>
      </c>
      <c r="CC169">
        <f>2615</f>
        <v>2615</v>
      </c>
      <c r="CD169">
        <f>4454</f>
        <v>4454</v>
      </c>
      <c r="CE169">
        <f>3659</f>
        <v>3659</v>
      </c>
      <c r="CF169">
        <f>3509</f>
        <v>3509</v>
      </c>
      <c r="CG169">
        <f>4170</f>
        <v>4170</v>
      </c>
    </row>
    <row r="170" spans="1:85" x14ac:dyDescent="0.25">
      <c r="A170" t="str">
        <f>"    Volvo - Volvo Truck"</f>
        <v xml:space="preserve">    Volvo - Volvo Truck</v>
      </c>
      <c r="B170" t="str">
        <f>""</f>
        <v/>
      </c>
      <c r="E170" t="str">
        <f t="shared" si="5"/>
        <v>Expression</v>
      </c>
      <c r="F170">
        <f ca="1">IF(AND($B$294=1,LEN($F$183) * LEN($F$193) * LEN($F$202)&gt;0),$F$183+$F$193+$F$202,HLOOKUP(INDIRECT(ADDRESS(2,COLUMN())),OFFSET($AT$2,0,0,ROW()-1,40),ROW()-1,FALSE))</f>
        <v>1795</v>
      </c>
      <c r="G170">
        <f ca="1">IF(AND($B$294=1,LEN($G$183) * LEN($G$193) * LEN($G$202)&gt;0),$G$183+$G$193+$G$202,HLOOKUP(INDIRECT(ADDRESS(2,COLUMN())),OFFSET($AT$2,0,0,ROW()-1,40),ROW()-1,FALSE))</f>
        <v>1730</v>
      </c>
      <c r="H170">
        <f ca="1">IF(AND($B$294=1,LEN($H$183) * LEN($H$193) * LEN($H$202)&gt;0),$H$183+$H$193+$H$202,HLOOKUP(INDIRECT(ADDRESS(2,COLUMN())),OFFSET($AT$2,0,0,ROW()-1,40),ROW()-1,FALSE))</f>
        <v>1843</v>
      </c>
      <c r="I170">
        <f ca="1">IF(AND($B$294=1,LEN($I$183) * LEN($I$193) * LEN($I$202)&gt;0),$I$183+$I$193+$I$202,HLOOKUP(INDIRECT(ADDRESS(2,COLUMN())),OFFSET($AT$2,0,0,ROW()-1,40),ROW()-1,FALSE))</f>
        <v>1537</v>
      </c>
      <c r="J170">
        <f ca="1">IF(AND($B$294=1,LEN($J$183) * LEN($J$193) * LEN($J$202)&gt;0),$J$183+$J$193+$J$202,HLOOKUP(INDIRECT(ADDRESS(2,COLUMN())),OFFSET($AT$2,0,0,ROW()-1,40),ROW()-1,FALSE))</f>
        <v>1935</v>
      </c>
      <c r="K170">
        <f ca="1">IF(AND($B$294=1,LEN($K$183) * LEN($K$193) * LEN($K$202)&gt;0),$K$183+$K$193+$K$202,HLOOKUP(INDIRECT(ADDRESS(2,COLUMN())),OFFSET($AT$2,0,0,ROW()-1,40),ROW()-1,FALSE))</f>
        <v>1653</v>
      </c>
      <c r="L170">
        <f ca="1">IF(AND($B$294=1,LEN($L$183) * LEN($L$193) * LEN($L$202)&gt;0),$L$183+$L$193+$L$202,HLOOKUP(INDIRECT(ADDRESS(2,COLUMN())),OFFSET($AT$2,0,0,ROW()-1,40),ROW()-1,FALSE))</f>
        <v>1450</v>
      </c>
      <c r="M170">
        <f ca="1">IF(AND($B$294=1,LEN($M$183) * LEN($M$193) * LEN($M$202)&gt;0),$M$183+$M$193+$M$202,HLOOKUP(INDIRECT(ADDRESS(2,COLUMN())),OFFSET($AT$2,0,0,ROW()-1,40),ROW()-1,FALSE))</f>
        <v>1973</v>
      </c>
      <c r="N170">
        <f ca="1">IF(AND($B$294=1,LEN($N$183) * LEN($N$193) * LEN($N$202)&gt;0),$N$183+$N$193+$N$202,HLOOKUP(INDIRECT(ADDRESS(2,COLUMN())),OFFSET($AT$2,0,0,ROW()-1,40),ROW()-1,FALSE))</f>
        <v>1290</v>
      </c>
      <c r="O170">
        <f ca="1">IF(AND($B$294=1,LEN($O$183) * LEN($O$193) * LEN($O$202)&gt;0),$O$183+$O$193+$O$202,HLOOKUP(INDIRECT(ADDRESS(2,COLUMN())),OFFSET($AT$2,0,0,ROW()-1,40),ROW()-1,FALSE))</f>
        <v>1288</v>
      </c>
      <c r="P170">
        <f ca="1">IF(AND($B$294=1,LEN($P$183) * LEN($P$193) * LEN($P$202)&gt;0),$P$183+$P$193+$P$202,HLOOKUP(INDIRECT(ADDRESS(2,COLUMN())),OFFSET($AT$2,0,0,ROW()-1,40),ROW()-1,FALSE))</f>
        <v>2769</v>
      </c>
      <c r="Q170">
        <f ca="1">IF(AND($B$294=1,LEN($Q$183) * LEN($Q$193) * LEN($Q$202)&gt;0),$Q$183+$Q$193+$Q$202,HLOOKUP(INDIRECT(ADDRESS(2,COLUMN())),OFFSET($AT$2,0,0,ROW()-1,40),ROW()-1,FALSE))</f>
        <v>1747</v>
      </c>
      <c r="R170">
        <f ca="1">IF(AND($B$294=1,LEN($R$183) * LEN($R$193) * LEN($R$202)&gt;0),$R$183+$R$193+$R$202,HLOOKUP(INDIRECT(ADDRESS(2,COLUMN())),OFFSET($AT$2,0,0,ROW()-1,40),ROW()-1,FALSE))</f>
        <v>1706</v>
      </c>
      <c r="S170">
        <f ca="1">IF(AND($B$294=1,LEN($S$183) * LEN($S$193) * LEN($S$202)&gt;0),$S$183+$S$193+$S$202,HLOOKUP(INDIRECT(ADDRESS(2,COLUMN())),OFFSET($AT$2,0,0,ROW()-1,40),ROW()-1,FALSE))</f>
        <v>1850</v>
      </c>
      <c r="T170">
        <f ca="1">IF(AND($B$294=1,LEN($T$183) * LEN($T$193) * LEN($T$202)&gt;0),$T$183+$T$193+$T$202,HLOOKUP(INDIRECT(ADDRESS(2,COLUMN())),OFFSET($AT$2,0,0,ROW()-1,40),ROW()-1,FALSE))</f>
        <v>2001</v>
      </c>
      <c r="U170">
        <f ca="1">IF(AND($B$294=1,LEN($U$183) * LEN($U$193) * LEN($U$202)&gt;0),$U$183+$U$193+$U$202,HLOOKUP(INDIRECT(ADDRESS(2,COLUMN())),OFFSET($AT$2,0,0,ROW()-1,40),ROW()-1,FALSE))</f>
        <v>1730</v>
      </c>
      <c r="V170">
        <f ca="1">IF(AND($B$294=1,LEN($V$183) * LEN($V$193) * LEN($V$202)&gt;0),$V$183+$V$193+$V$202,HLOOKUP(INDIRECT(ADDRESS(2,COLUMN())),OFFSET($AT$2,0,0,ROW()-1,40),ROW()-1,FALSE))</f>
        <v>2681</v>
      </c>
      <c r="W170">
        <f ca="1">IF(AND($B$294=1,LEN($W$183) * LEN($W$193) * LEN($W$202)&gt;0),$W$183+$W$193+$W$202,HLOOKUP(INDIRECT(ADDRESS(2,COLUMN())),OFFSET($AT$2,0,0,ROW()-1,40),ROW()-1,FALSE))</f>
        <v>2170</v>
      </c>
      <c r="X170">
        <f ca="1">IF(AND($B$294=1,LEN($X$183) * LEN($X$193) * LEN($X$202)&gt;0),$X$183+$X$193+$X$202,HLOOKUP(INDIRECT(ADDRESS(2,COLUMN())),OFFSET($AT$2,0,0,ROW()-1,40),ROW()-1,FALSE))</f>
        <v>2151</v>
      </c>
      <c r="Y170">
        <f ca="1">IF(AND($B$294=1,LEN($Y$183) * LEN($Y$193) * LEN($Y$202)&gt;0),$Y$183+$Y$193+$Y$202,HLOOKUP(INDIRECT(ADDRESS(2,COLUMN())),OFFSET($AT$2,0,0,ROW()-1,40),ROW()-1,FALSE))</f>
        <v>1745</v>
      </c>
      <c r="Z170">
        <f ca="1">IF(AND($B$294=1,LEN($Z$183) * LEN($Z$193) * LEN($Z$202)&gt;0),$Z$183+$Z$193+$Z$202,HLOOKUP(INDIRECT(ADDRESS(2,COLUMN())),OFFSET($AT$2,0,0,ROW()-1,40),ROW()-1,FALSE))</f>
        <v>2200</v>
      </c>
      <c r="AA170">
        <f ca="1">IF(AND($B$294=1,LEN($AA$183) * LEN($AA$193) * LEN($AA$202)&gt;0),$AA$183+$AA$193+$AA$202,HLOOKUP(INDIRECT(ADDRESS(2,COLUMN())),OFFSET($AT$2,0,0,ROW()-1,40),ROW()-1,FALSE))</f>
        <v>1319</v>
      </c>
      <c r="AB170">
        <f ca="1">IF(AND($B$294=1,LEN($AB$183) * LEN($AB$193) * LEN($AB$202)&gt;0),$AB$183+$AB$193+$AB$202,HLOOKUP(INDIRECT(ADDRESS(2,COLUMN())),OFFSET($AT$2,0,0,ROW()-1,40),ROW()-1,FALSE))</f>
        <v>4079</v>
      </c>
      <c r="AC170">
        <f ca="1">IF(AND($B$294=1,LEN($AC$183) * LEN($AC$193) * LEN($AC$202)&gt;0),$AC$183+$AC$193+$AC$202,HLOOKUP(INDIRECT(ADDRESS(2,COLUMN())),OFFSET($AT$2,0,0,ROW()-1,40),ROW()-1,FALSE))</f>
        <v>2657</v>
      </c>
      <c r="AD170">
        <f ca="1">IF(AND($B$294=1,LEN($AD$183) * LEN($AD$193) * LEN($AD$202)&gt;0),$AD$183+$AD$193+$AD$202,HLOOKUP(INDIRECT(ADDRESS(2,COLUMN())),OFFSET($AT$2,0,0,ROW()-1,40),ROW()-1,FALSE))</f>
        <v>2761</v>
      </c>
      <c r="AE170">
        <f ca="1">IF(AND($B$294=1,LEN($AE$183) * LEN($AE$193) * LEN($AE$202)&gt;0),$AE$183+$AE$193+$AE$202,HLOOKUP(INDIRECT(ADDRESS(2,COLUMN())),OFFSET($AT$2,0,0,ROW()-1,40),ROW()-1,FALSE))</f>
        <v>2728</v>
      </c>
      <c r="AF170">
        <f ca="1">IF(AND($B$294=1,LEN($AF$183) * LEN($AF$193) * LEN($AF$202)&gt;0),$AF$183+$AF$193+$AF$202,HLOOKUP(INDIRECT(ADDRESS(2,COLUMN())),OFFSET($AT$2,0,0,ROW()-1,40),ROW()-1,FALSE))</f>
        <v>2869</v>
      </c>
      <c r="AG170">
        <f ca="1">IF(AND($B$294=1,LEN($AG$183) * LEN($AG$193) * LEN($AG$202)&gt;0),$AG$183+$AG$193+$AG$202,HLOOKUP(INDIRECT(ADDRESS(2,COLUMN())),OFFSET($AT$2,0,0,ROW()-1,40),ROW()-1,FALSE))</f>
        <v>3156</v>
      </c>
      <c r="AH170">
        <f ca="1">IF(AND($B$294=1,LEN($AH$183) * LEN($AH$193) * LEN($AH$202)&gt;0),$AH$183+$AH$193+$AH$202,HLOOKUP(INDIRECT(ADDRESS(2,COLUMN())),OFFSET($AT$2,0,0,ROW()-1,40),ROW()-1,FALSE))</f>
        <v>3827</v>
      </c>
      <c r="AI170">
        <f ca="1">IF(AND($B$294=1,LEN($AI$183) * LEN($AI$193) * LEN($AI$202)&gt;0),$AI$183+$AI$193+$AI$202,HLOOKUP(INDIRECT(ADDRESS(2,COLUMN())),OFFSET($AT$2,0,0,ROW()-1,40),ROW()-1,FALSE))</f>
        <v>3472</v>
      </c>
      <c r="AJ170">
        <f ca="1">IF(AND($B$294=1,LEN($AJ$183) * LEN($AJ$193) * LEN($AJ$202)&gt;0),$AJ$183+$AJ$193+$AJ$202,HLOOKUP(INDIRECT(ADDRESS(2,COLUMN())),OFFSET($AT$2,0,0,ROW()-1,40),ROW()-1,FALSE))</f>
        <v>3179</v>
      </c>
      <c r="AK170">
        <f ca="1">IF(AND($B$294=1,LEN($AK$183) * LEN($AK$193) * LEN($AK$202)&gt;0),$AK$183+$AK$193+$AK$202,HLOOKUP(INDIRECT(ADDRESS(2,COLUMN())),OFFSET($AT$2,0,0,ROW()-1,40),ROW()-1,FALSE))</f>
        <v>3363</v>
      </c>
      <c r="AL170">
        <f ca="1">IF(AND($B$294=1,LEN($AL$183) * LEN($AL$193) * LEN($AL$202)&gt;0),$AL$183+$AL$193+$AL$202,HLOOKUP(INDIRECT(ADDRESS(2,COLUMN())),OFFSET($AT$2,0,0,ROW()-1,40),ROW()-1,FALSE))</f>
        <v>2732</v>
      </c>
      <c r="AM170">
        <f ca="1">IF(AND($B$294=1,LEN($AM$183) * LEN($AM$193) * LEN($AM$202)&gt;0),$AM$183+$AM$193+$AM$202,HLOOKUP(INDIRECT(ADDRESS(2,COLUMN())),OFFSET($AT$2,0,0,ROW()-1,40),ROW()-1,FALSE))</f>
        <v>2117</v>
      </c>
      <c r="AN170">
        <f ca="1">IF(AND($B$294=1,LEN($AN$183) * LEN($AN$193) * LEN($AN$202)&gt;0),$AN$183+$AN$193+$AN$202,HLOOKUP(INDIRECT(ADDRESS(2,COLUMN())),OFFSET($AT$2,0,0,ROW()-1,40),ROW()-1,FALSE))</f>
        <v>3390</v>
      </c>
      <c r="AO170">
        <f ca="1">IF(AND($B$294=1,LEN($AO$183) * LEN($AO$193) * LEN($AO$202)&gt;0),$AO$183+$AO$193+$AO$202,HLOOKUP(INDIRECT(ADDRESS(2,COLUMN())),OFFSET($AT$2,0,0,ROW()-1,40),ROW()-1,FALSE))</f>
        <v>2348</v>
      </c>
      <c r="AP170">
        <f ca="1">IF(AND($B$294=1,LEN($AP$183) * LEN($AP$193) * LEN($AP$202)&gt;0),$AP$183+$AP$193+$AP$202,HLOOKUP(INDIRECT(ADDRESS(2,COLUMN())),OFFSET($AT$2,0,0,ROW()-1,40),ROW()-1,FALSE))</f>
        <v>2896</v>
      </c>
      <c r="AQ170">
        <f ca="1">IF(AND($B$294=1,LEN($AQ$183) * LEN($AQ$193) * LEN($AQ$202)&gt;0),$AQ$183+$AQ$193+$AQ$202,HLOOKUP(INDIRECT(ADDRESS(2,COLUMN())),OFFSET($AT$2,0,0,ROW()-1,40),ROW()-1,FALSE))</f>
        <v>2907</v>
      </c>
      <c r="AR170">
        <f ca="1">IF(AND($B$294=1,LEN($AR$183) * LEN($AR$193) * LEN($AR$202)&gt;0),$AR$183+$AR$193+$AR$202,HLOOKUP(INDIRECT(ADDRESS(2,COLUMN())),OFFSET($AT$2,0,0,ROW()-1,40),ROW()-1,FALSE))</f>
        <v>2768</v>
      </c>
      <c r="AS170">
        <f ca="1">IF(AND($B$294=1,LEN($AS$183) * LEN($AS$193) * LEN($AS$202)&gt;0),$AS$183+$AS$193+$AS$202,HLOOKUP(INDIRECT(ADDRESS(2,COLUMN())),OFFSET($AT$2,0,0,ROW()-1,40),ROW()-1,FALSE))</f>
        <v>2388</v>
      </c>
      <c r="AT170">
        <f>1795</f>
        <v>1795</v>
      </c>
      <c r="AU170">
        <f>1730</f>
        <v>1730</v>
      </c>
      <c r="AV170">
        <f>1843</f>
        <v>1843</v>
      </c>
      <c r="AW170">
        <f>1537</f>
        <v>1537</v>
      </c>
      <c r="AX170">
        <f>1935</f>
        <v>1935</v>
      </c>
      <c r="AY170">
        <f>1653</f>
        <v>1653</v>
      </c>
      <c r="AZ170">
        <f>1450</f>
        <v>1450</v>
      </c>
      <c r="BA170">
        <f>1973</f>
        <v>1973</v>
      </c>
      <c r="BB170">
        <f>1290</f>
        <v>1290</v>
      </c>
      <c r="BC170">
        <f>1288</f>
        <v>1288</v>
      </c>
      <c r="BD170">
        <f>2769</f>
        <v>2769</v>
      </c>
      <c r="BE170">
        <f>1747</f>
        <v>1747</v>
      </c>
      <c r="BF170">
        <f>1706</f>
        <v>1706</v>
      </c>
      <c r="BG170">
        <f>1850</f>
        <v>1850</v>
      </c>
      <c r="BH170">
        <f>2001</f>
        <v>2001</v>
      </c>
      <c r="BI170">
        <f>1730</f>
        <v>1730</v>
      </c>
      <c r="BJ170">
        <f>2681</f>
        <v>2681</v>
      </c>
      <c r="BK170">
        <f>2170</f>
        <v>2170</v>
      </c>
      <c r="BL170">
        <f>2151</f>
        <v>2151</v>
      </c>
      <c r="BM170">
        <f>1745</f>
        <v>1745</v>
      </c>
      <c r="BN170">
        <f>2200</f>
        <v>2200</v>
      </c>
      <c r="BO170">
        <f>1319</f>
        <v>1319</v>
      </c>
      <c r="BP170">
        <f>4079</f>
        <v>4079</v>
      </c>
      <c r="BQ170">
        <f>2657</f>
        <v>2657</v>
      </c>
      <c r="BR170">
        <f>2761</f>
        <v>2761</v>
      </c>
      <c r="BS170">
        <f>2728</f>
        <v>2728</v>
      </c>
      <c r="BT170">
        <f>2869</f>
        <v>2869</v>
      </c>
      <c r="BU170">
        <f>3156</f>
        <v>3156</v>
      </c>
      <c r="BV170">
        <f>3827</f>
        <v>3827</v>
      </c>
      <c r="BW170">
        <f>3472</f>
        <v>3472</v>
      </c>
      <c r="BX170">
        <f>3179</f>
        <v>3179</v>
      </c>
      <c r="BY170">
        <f>3363</f>
        <v>3363</v>
      </c>
      <c r="BZ170">
        <f>2732</f>
        <v>2732</v>
      </c>
      <c r="CA170">
        <f>2117</f>
        <v>2117</v>
      </c>
      <c r="CB170">
        <f>3390</f>
        <v>3390</v>
      </c>
      <c r="CC170">
        <f>2348</f>
        <v>2348</v>
      </c>
      <c r="CD170">
        <f>2896</f>
        <v>2896</v>
      </c>
      <c r="CE170">
        <f>2907</f>
        <v>2907</v>
      </c>
      <c r="CF170">
        <f>2768</f>
        <v>2768</v>
      </c>
      <c r="CG170">
        <f>2388</f>
        <v>2388</v>
      </c>
    </row>
    <row r="171" spans="1:85" x14ac:dyDescent="0.25">
      <c r="A171" t="str">
        <f>"    Volvo - Mack"</f>
        <v xml:space="preserve">    Volvo - Mack</v>
      </c>
      <c r="B171" t="str">
        <f>""</f>
        <v/>
      </c>
      <c r="E171" t="str">
        <f t="shared" si="5"/>
        <v>Expression</v>
      </c>
      <c r="F171">
        <f ca="1">IF(AND($B$294=1,LEN($F$184) * LEN($F$194) * LEN($F$203)&gt;0),$F$184+$F$194+$F$203,HLOOKUP(INDIRECT(ADDRESS(2,COLUMN())),OFFSET($AT$2,0,0,ROW()-1,40),ROW()-1,FALSE))</f>
        <v>1208</v>
      </c>
      <c r="G171">
        <f ca="1">IF(AND($B$294=1,LEN($G$184) * LEN($G$194) * LEN($G$203)&gt;0),$G$184+$G$194+$G$203,HLOOKUP(INDIRECT(ADDRESS(2,COLUMN())),OFFSET($AT$2,0,0,ROW()-1,40),ROW()-1,FALSE))</f>
        <v>1515</v>
      </c>
      <c r="H171">
        <f ca="1">IF(AND($B$294=1,LEN($H$184) * LEN($H$194) * LEN($H$203)&gt;0),$H$184+$H$194+$H$203,HLOOKUP(INDIRECT(ADDRESS(2,COLUMN())),OFFSET($AT$2,0,0,ROW()-1,40),ROW()-1,FALSE))</f>
        <v>1511</v>
      </c>
      <c r="I171">
        <f ca="1">IF(AND($B$294=1,LEN($I$184) * LEN($I$194) * LEN($I$203)&gt;0),$I$184+$I$194+$I$203,HLOOKUP(INDIRECT(ADDRESS(2,COLUMN())),OFFSET($AT$2,0,0,ROW()-1,40),ROW()-1,FALSE))</f>
        <v>1268</v>
      </c>
      <c r="J171">
        <f ca="1">IF(AND($B$294=1,LEN($J$184) * LEN($J$194) * LEN($J$203)&gt;0),$J$184+$J$194+$J$203,HLOOKUP(INDIRECT(ADDRESS(2,COLUMN())),OFFSET($AT$2,0,0,ROW()-1,40),ROW()-1,FALSE))</f>
        <v>1973</v>
      </c>
      <c r="K171">
        <f ca="1">IF(AND($B$294=1,LEN($K$184) * LEN($K$194) * LEN($K$203)&gt;0),$K$184+$K$194+$K$203,HLOOKUP(INDIRECT(ADDRESS(2,COLUMN())),OFFSET($AT$2,0,0,ROW()-1,40),ROW()-1,FALSE))</f>
        <v>1401</v>
      </c>
      <c r="L171">
        <f ca="1">IF(AND($B$294=1,LEN($L$184) * LEN($L$194) * LEN($L$203)&gt;0),$L$184+$L$194+$L$203,HLOOKUP(INDIRECT(ADDRESS(2,COLUMN())),OFFSET($AT$2,0,0,ROW()-1,40),ROW()-1,FALSE))</f>
        <v>1182</v>
      </c>
      <c r="M171">
        <f ca="1">IF(AND($B$294=1,LEN($M$184) * LEN($M$194) * LEN($M$203)&gt;0),$M$184+$M$194+$M$203,HLOOKUP(INDIRECT(ADDRESS(2,COLUMN())),OFFSET($AT$2,0,0,ROW()-1,40),ROW()-1,FALSE))</f>
        <v>1908</v>
      </c>
      <c r="N171">
        <f ca="1">IF(AND($B$294=1,LEN($N$184) * LEN($N$194) * LEN($N$203)&gt;0),$N$184+$N$194+$N$203,HLOOKUP(INDIRECT(ADDRESS(2,COLUMN())),OFFSET($AT$2,0,0,ROW()-1,40),ROW()-1,FALSE))</f>
        <v>1237</v>
      </c>
      <c r="O171">
        <f ca="1">IF(AND($B$294=1,LEN($O$184) * LEN($O$194) * LEN($O$203)&gt;0),$O$184+$O$194+$O$203,HLOOKUP(INDIRECT(ADDRESS(2,COLUMN())),OFFSET($AT$2,0,0,ROW()-1,40),ROW()-1,FALSE))</f>
        <v>1153</v>
      </c>
      <c r="P171">
        <f ca="1">IF(AND($B$294=1,LEN($P$184) * LEN($P$194) * LEN($P$203)&gt;0),$P$184+$P$194+$P$203,HLOOKUP(INDIRECT(ADDRESS(2,COLUMN())),OFFSET($AT$2,0,0,ROW()-1,40),ROW()-1,FALSE))</f>
        <v>2113</v>
      </c>
      <c r="Q171">
        <f ca="1">IF(AND($B$294=1,LEN($Q$184) * LEN($Q$194) * LEN($Q$203)&gt;0),$Q$184+$Q$194+$Q$203,HLOOKUP(INDIRECT(ADDRESS(2,COLUMN())),OFFSET($AT$2,0,0,ROW()-1,40),ROW()-1,FALSE))</f>
        <v>1220</v>
      </c>
      <c r="R171">
        <f ca="1">IF(AND($B$294=1,LEN($R$184) * LEN($R$194) * LEN($R$203)&gt;0),$R$184+$R$194+$R$203,HLOOKUP(INDIRECT(ADDRESS(2,COLUMN())),OFFSET($AT$2,0,0,ROW()-1,40),ROW()-1,FALSE))</f>
        <v>1271</v>
      </c>
      <c r="S171">
        <f ca="1">IF(AND($B$294=1,LEN($S$184) * LEN($S$194) * LEN($S$203)&gt;0),$S$184+$S$194+$S$203,HLOOKUP(INDIRECT(ADDRESS(2,COLUMN())),OFFSET($AT$2,0,0,ROW()-1,40),ROW()-1,FALSE))</f>
        <v>1532</v>
      </c>
      <c r="T171">
        <f ca="1">IF(AND($B$294=1,LEN($T$184) * LEN($T$194) * LEN($T$203)&gt;0),$T$184+$T$194+$T$203,HLOOKUP(INDIRECT(ADDRESS(2,COLUMN())),OFFSET($AT$2,0,0,ROW()-1,40),ROW()-1,FALSE))</f>
        <v>1410</v>
      </c>
      <c r="U171">
        <f ca="1">IF(AND($B$294=1,LEN($U$184) * LEN($U$194) * LEN($U$203)&gt;0),$U$184+$U$194+$U$203,HLOOKUP(INDIRECT(ADDRESS(2,COLUMN())),OFFSET($AT$2,0,0,ROW()-1,40),ROW()-1,FALSE))</f>
        <v>1532</v>
      </c>
      <c r="V171">
        <f ca="1">IF(AND($B$294=1,LEN($V$184) * LEN($V$194) * LEN($V$203)&gt;0),$V$184+$V$194+$V$203,HLOOKUP(INDIRECT(ADDRESS(2,COLUMN())),OFFSET($AT$2,0,0,ROW()-1,40),ROW()-1,FALSE))</f>
        <v>2239</v>
      </c>
      <c r="W171">
        <f ca="1">IF(AND($B$294=1,LEN($W$184) * LEN($W$194) * LEN($W$203)&gt;0),$W$184+$W$194+$W$203,HLOOKUP(INDIRECT(ADDRESS(2,COLUMN())),OFFSET($AT$2,0,0,ROW()-1,40),ROW()-1,FALSE))</f>
        <v>1565</v>
      </c>
      <c r="X171">
        <f ca="1">IF(AND($B$294=1,LEN($X$184) * LEN($X$194) * LEN($X$203)&gt;0),$X$184+$X$194+$X$203,HLOOKUP(INDIRECT(ADDRESS(2,COLUMN())),OFFSET($AT$2,0,0,ROW()-1,40),ROW()-1,FALSE))</f>
        <v>1367</v>
      </c>
      <c r="Y171">
        <f ca="1">IF(AND($B$294=1,LEN($Y$184) * LEN($Y$194) * LEN($Y$203)&gt;0),$Y$184+$Y$194+$Y$203,HLOOKUP(INDIRECT(ADDRESS(2,COLUMN())),OFFSET($AT$2,0,0,ROW()-1,40),ROW()-1,FALSE))</f>
        <v>2111</v>
      </c>
      <c r="Z171">
        <f ca="1">IF(AND($B$294=1,LEN($Z$184) * LEN($Z$194) * LEN($Z$203)&gt;0),$Z$184+$Z$194+$Z$203,HLOOKUP(INDIRECT(ADDRESS(2,COLUMN())),OFFSET($AT$2,0,0,ROW()-1,40),ROW()-1,FALSE))</f>
        <v>1395</v>
      </c>
      <c r="AA171">
        <f ca="1">IF(AND($B$294=1,LEN($AA$184) * LEN($AA$194) * LEN($AA$203)&gt;0),$AA$184+$AA$194+$AA$203,HLOOKUP(INDIRECT(ADDRESS(2,COLUMN())),OFFSET($AT$2,0,0,ROW()-1,40),ROW()-1,FALSE))</f>
        <v>1322</v>
      </c>
      <c r="AB171">
        <f ca="1">IF(AND($B$294=1,LEN($AB$184) * LEN($AB$194) * LEN($AB$203)&gt;0),$AB$184+$AB$194+$AB$203,HLOOKUP(INDIRECT(ADDRESS(2,COLUMN())),OFFSET($AT$2,0,0,ROW()-1,40),ROW()-1,FALSE))</f>
        <v>2596</v>
      </c>
      <c r="AC171">
        <f ca="1">IF(AND($B$294=1,LEN($AC$184) * LEN($AC$194) * LEN($AC$203)&gt;0),$AC$184+$AC$194+$AC$203,HLOOKUP(INDIRECT(ADDRESS(2,COLUMN())),OFFSET($AT$2,0,0,ROW()-1,40),ROW()-1,FALSE))</f>
        <v>1729</v>
      </c>
      <c r="AD171">
        <f ca="1">IF(AND($B$294=1,LEN($AD$184) * LEN($AD$194) * LEN($AD$203)&gt;0),$AD$184+$AD$194+$AD$203,HLOOKUP(INDIRECT(ADDRESS(2,COLUMN())),OFFSET($AT$2,0,0,ROW()-1,40),ROW()-1,FALSE))</f>
        <v>1409</v>
      </c>
      <c r="AE171">
        <f ca="1">IF(AND($B$294=1,LEN($AE$184) * LEN($AE$194) * LEN($AE$203)&gt;0),$AE$184+$AE$194+$AE$203,HLOOKUP(INDIRECT(ADDRESS(2,COLUMN())),OFFSET($AT$2,0,0,ROW()-1,40),ROW()-1,FALSE))</f>
        <v>2037</v>
      </c>
      <c r="AF171">
        <f ca="1">IF(AND($B$294=1,LEN($AF$184) * LEN($AF$194) * LEN($AF$203)&gt;0),$AF$184+$AF$194+$AF$203,HLOOKUP(INDIRECT(ADDRESS(2,COLUMN())),OFFSET($AT$2,0,0,ROW()-1,40),ROW()-1,FALSE))</f>
        <v>1988</v>
      </c>
      <c r="AG171">
        <f ca="1">IF(AND($B$294=1,LEN($AG$184) * LEN($AG$194) * LEN($AG$203)&gt;0),$AG$184+$AG$194+$AG$203,HLOOKUP(INDIRECT(ADDRESS(2,COLUMN())),OFFSET($AT$2,0,0,ROW()-1,40),ROW()-1,FALSE))</f>
        <v>1957</v>
      </c>
      <c r="AH171">
        <f ca="1">IF(AND($B$294=1,LEN($AH$184) * LEN($AH$194) * LEN($AH$203)&gt;0),$AH$184+$AH$194+$AH$203,HLOOKUP(INDIRECT(ADDRESS(2,COLUMN())),OFFSET($AT$2,0,0,ROW()-1,40),ROW()-1,FALSE))</f>
        <v>2371</v>
      </c>
      <c r="AI171">
        <f ca="1">IF(AND($B$294=1,LEN($AI$184) * LEN($AI$194) * LEN($AI$203)&gt;0),$AI$184+$AI$194+$AI$203,HLOOKUP(INDIRECT(ADDRESS(2,COLUMN())),OFFSET($AT$2,0,0,ROW()-1,40),ROW()-1,FALSE))</f>
        <v>1896</v>
      </c>
      <c r="AJ171">
        <f ca="1">IF(AND($B$294=1,LEN($AJ$184) * LEN($AJ$194) * LEN($AJ$203)&gt;0),$AJ$184+$AJ$194+$AJ$203,HLOOKUP(INDIRECT(ADDRESS(2,COLUMN())),OFFSET($AT$2,0,0,ROW()-1,40),ROW()-1,FALSE))</f>
        <v>1944</v>
      </c>
      <c r="AK171">
        <f ca="1">IF(AND($B$294=1,LEN($AK$184) * LEN($AK$194) * LEN($AK$203)&gt;0),$AK$184+$AK$194+$AK$203,HLOOKUP(INDIRECT(ADDRESS(2,COLUMN())),OFFSET($AT$2,0,0,ROW()-1,40),ROW()-1,FALSE))</f>
        <v>1978</v>
      </c>
      <c r="AL171">
        <f ca="1">IF(AND($B$294=1,LEN($AL$184) * LEN($AL$194) * LEN($AL$203)&gt;0),$AL$184+$AL$194+$AL$203,HLOOKUP(INDIRECT(ADDRESS(2,COLUMN())),OFFSET($AT$2,0,0,ROW()-1,40),ROW()-1,FALSE))</f>
        <v>1345</v>
      </c>
      <c r="AM171">
        <f ca="1">IF(AND($B$294=1,LEN($AM$184) * LEN($AM$194) * LEN($AM$203)&gt;0),$AM$184+$AM$194+$AM$203,HLOOKUP(INDIRECT(ADDRESS(2,COLUMN())),OFFSET($AT$2,0,0,ROW()-1,40),ROW()-1,FALSE))</f>
        <v>1184</v>
      </c>
      <c r="AN171">
        <f ca="1">IF(AND($B$294=1,LEN($AN$184) * LEN($AN$194) * LEN($AN$203)&gt;0),$AN$184+$AN$194+$AN$203,HLOOKUP(INDIRECT(ADDRESS(2,COLUMN())),OFFSET($AT$2,0,0,ROW()-1,40),ROW()-1,FALSE))</f>
        <v>3024</v>
      </c>
      <c r="AO171">
        <f ca="1">IF(AND($B$294=1,LEN($AO$184) * LEN($AO$194) * LEN($AO$203)&gt;0),$AO$184+$AO$194+$AO$203,HLOOKUP(INDIRECT(ADDRESS(2,COLUMN())),OFFSET($AT$2,0,0,ROW()-1,40),ROW()-1,FALSE))</f>
        <v>1875</v>
      </c>
      <c r="AP171">
        <f ca="1">IF(AND($B$294=1,LEN($AP$184) * LEN($AP$194) * LEN($AP$203)&gt;0),$AP$184+$AP$194+$AP$203,HLOOKUP(INDIRECT(ADDRESS(2,COLUMN())),OFFSET($AT$2,0,0,ROW()-1,40),ROW()-1,FALSE))</f>
        <v>1652</v>
      </c>
      <c r="AQ171">
        <f ca="1">IF(AND($B$294=1,LEN($AQ$184) * LEN($AQ$194) * LEN($AQ$203)&gt;0),$AQ$184+$AQ$194+$AQ$203,HLOOKUP(INDIRECT(ADDRESS(2,COLUMN())),OFFSET($AT$2,0,0,ROW()-1,40),ROW()-1,FALSE))</f>
        <v>1884</v>
      </c>
      <c r="AR171">
        <f ca="1">IF(AND($B$294=1,LEN($AR$184) * LEN($AR$194) * LEN($AR$203)&gt;0),$AR$184+$AR$194+$AR$203,HLOOKUP(INDIRECT(ADDRESS(2,COLUMN())),OFFSET($AT$2,0,0,ROW()-1,40),ROW()-1,FALSE))</f>
        <v>2067</v>
      </c>
      <c r="AS171">
        <f ca="1">IF(AND($B$294=1,LEN($AS$184) * LEN($AS$194) * LEN($AS$203)&gt;0),$AS$184+$AS$194+$AS$203,HLOOKUP(INDIRECT(ADDRESS(2,COLUMN())),OFFSET($AT$2,0,0,ROW()-1,40),ROW()-1,FALSE))</f>
        <v>2128</v>
      </c>
      <c r="AT171">
        <f>1208</f>
        <v>1208</v>
      </c>
      <c r="AU171">
        <f>1515</f>
        <v>1515</v>
      </c>
      <c r="AV171">
        <f>1511</f>
        <v>1511</v>
      </c>
      <c r="AW171">
        <f>1268</f>
        <v>1268</v>
      </c>
      <c r="AX171">
        <f>1973</f>
        <v>1973</v>
      </c>
      <c r="AY171">
        <f>1401</f>
        <v>1401</v>
      </c>
      <c r="AZ171">
        <f>1182</f>
        <v>1182</v>
      </c>
      <c r="BA171">
        <f>1908</f>
        <v>1908</v>
      </c>
      <c r="BB171">
        <f>1237</f>
        <v>1237</v>
      </c>
      <c r="BC171">
        <f>1153</f>
        <v>1153</v>
      </c>
      <c r="BD171">
        <f>2113</f>
        <v>2113</v>
      </c>
      <c r="BE171">
        <f>1220</f>
        <v>1220</v>
      </c>
      <c r="BF171">
        <f>1271</f>
        <v>1271</v>
      </c>
      <c r="BG171">
        <f>1532</f>
        <v>1532</v>
      </c>
      <c r="BH171">
        <f>1410</f>
        <v>1410</v>
      </c>
      <c r="BI171">
        <f>1532</f>
        <v>1532</v>
      </c>
      <c r="BJ171">
        <f>2239</f>
        <v>2239</v>
      </c>
      <c r="BK171">
        <f>1565</f>
        <v>1565</v>
      </c>
      <c r="BL171">
        <f>1367</f>
        <v>1367</v>
      </c>
      <c r="BM171">
        <f>2111</f>
        <v>2111</v>
      </c>
      <c r="BN171">
        <f>1395</f>
        <v>1395</v>
      </c>
      <c r="BO171">
        <f>1322</f>
        <v>1322</v>
      </c>
      <c r="BP171">
        <f>2596</f>
        <v>2596</v>
      </c>
      <c r="BQ171">
        <f>1729</f>
        <v>1729</v>
      </c>
      <c r="BR171">
        <f>1409</f>
        <v>1409</v>
      </c>
      <c r="BS171">
        <f>2037</f>
        <v>2037</v>
      </c>
      <c r="BT171">
        <f>1988</f>
        <v>1988</v>
      </c>
      <c r="BU171">
        <f>1957</f>
        <v>1957</v>
      </c>
      <c r="BV171">
        <f>2371</f>
        <v>2371</v>
      </c>
      <c r="BW171">
        <f>1896</f>
        <v>1896</v>
      </c>
      <c r="BX171">
        <f>1944</f>
        <v>1944</v>
      </c>
      <c r="BY171">
        <f>1978</f>
        <v>1978</v>
      </c>
      <c r="BZ171">
        <f>1345</f>
        <v>1345</v>
      </c>
      <c r="CA171">
        <f>1184</f>
        <v>1184</v>
      </c>
      <c r="CB171">
        <f>3024</f>
        <v>3024</v>
      </c>
      <c r="CC171">
        <f>1875</f>
        <v>1875</v>
      </c>
      <c r="CD171">
        <f>1652</f>
        <v>1652</v>
      </c>
      <c r="CE171">
        <f>1884</f>
        <v>1884</v>
      </c>
      <c r="CF171">
        <f>2067</f>
        <v>2067</v>
      </c>
      <c r="CG171">
        <f>2128</f>
        <v>2128</v>
      </c>
    </row>
    <row r="172" spans="1:85" x14ac:dyDescent="0.25">
      <c r="A172" t="str">
        <f>"    Dina Camiones"</f>
        <v xml:space="preserve">    Dina Camiones</v>
      </c>
      <c r="B172" t="str">
        <f>""</f>
        <v/>
      </c>
      <c r="E172" t="str">
        <f t="shared" si="5"/>
        <v>Expression</v>
      </c>
      <c r="F172" t="str">
        <f ca="1">IF(AND($B$294=1,LEN($F$204)&gt;0),$F$204,HLOOKUP(INDIRECT(ADDRESS(2,COLUMN())),OFFSET($AT$2,0,0,ROW()-1,40),ROW()-1,FALSE))</f>
        <v/>
      </c>
      <c r="G172" t="str">
        <f ca="1">IF(AND($B$294=1,LEN($G$204)&gt;0),$G$204,HLOOKUP(INDIRECT(ADDRESS(2,COLUMN())),OFFSET($AT$2,0,0,ROW()-1,40),ROW()-1,FALSE))</f>
        <v/>
      </c>
      <c r="H172" t="str">
        <f ca="1">IF(AND($B$294=1,LEN($H$204)&gt;0),$H$204,HLOOKUP(INDIRECT(ADDRESS(2,COLUMN())),OFFSET($AT$2,0,0,ROW()-1,40),ROW()-1,FALSE))</f>
        <v/>
      </c>
      <c r="I172" t="str">
        <f ca="1">IF(AND($B$294=1,LEN($I$204)&gt;0),$I$204,HLOOKUP(INDIRECT(ADDRESS(2,COLUMN())),OFFSET($AT$2,0,0,ROW()-1,40),ROW()-1,FALSE))</f>
        <v/>
      </c>
      <c r="J172" t="str">
        <f ca="1">IF(AND($B$294=1,LEN($J$204)&gt;0),$J$204,HLOOKUP(INDIRECT(ADDRESS(2,COLUMN())),OFFSET($AT$2,0,0,ROW()-1,40),ROW()-1,FALSE))</f>
        <v/>
      </c>
      <c r="K172" t="str">
        <f ca="1">IF(AND($B$294=1,LEN($K$204)&gt;0),$K$204,HLOOKUP(INDIRECT(ADDRESS(2,COLUMN())),OFFSET($AT$2,0,0,ROW()-1,40),ROW()-1,FALSE))</f>
        <v/>
      </c>
      <c r="L172" t="str">
        <f ca="1">IF(AND($B$294=1,LEN($L$204)&gt;0),$L$204,HLOOKUP(INDIRECT(ADDRESS(2,COLUMN())),OFFSET($AT$2,0,0,ROW()-1,40),ROW()-1,FALSE))</f>
        <v/>
      </c>
      <c r="M172" t="str">
        <f ca="1">IF(AND($B$294=1,LEN($M$204)&gt;0),$M$204,HLOOKUP(INDIRECT(ADDRESS(2,COLUMN())),OFFSET($AT$2,0,0,ROW()-1,40),ROW()-1,FALSE))</f>
        <v/>
      </c>
      <c r="N172" t="str">
        <f ca="1">IF(AND($B$294=1,LEN($N$204)&gt;0),$N$204,HLOOKUP(INDIRECT(ADDRESS(2,COLUMN())),OFFSET($AT$2,0,0,ROW()-1,40),ROW()-1,FALSE))</f>
        <v/>
      </c>
      <c r="O172" t="str">
        <f ca="1">IF(AND($B$294=1,LEN($O$204)&gt;0),$O$204,HLOOKUP(INDIRECT(ADDRESS(2,COLUMN())),OFFSET($AT$2,0,0,ROW()-1,40),ROW()-1,FALSE))</f>
        <v/>
      </c>
      <c r="P172">
        <f ca="1">IF(AND($B$294=1,LEN($P$204)&gt;0),$P$204,HLOOKUP(INDIRECT(ADDRESS(2,COLUMN())),OFFSET($AT$2,0,0,ROW()-1,40),ROW()-1,FALSE))</f>
        <v>86</v>
      </c>
      <c r="Q172">
        <f ca="1">IF(AND($B$294=1,LEN($Q$204)&gt;0),$Q$204,HLOOKUP(INDIRECT(ADDRESS(2,COLUMN())),OFFSET($AT$2,0,0,ROW()-1,40),ROW()-1,FALSE))</f>
        <v>64</v>
      </c>
      <c r="R172">
        <f ca="1">IF(AND($B$294=1,LEN($R$204)&gt;0),$R$204,HLOOKUP(INDIRECT(ADDRESS(2,COLUMN())),OFFSET($AT$2,0,0,ROW()-1,40),ROW()-1,FALSE))</f>
        <v>59</v>
      </c>
      <c r="S172">
        <f ca="1">IF(AND($B$294=1,LEN($S$204)&gt;0),$S$204,HLOOKUP(INDIRECT(ADDRESS(2,COLUMN())),OFFSET($AT$2,0,0,ROW()-1,40),ROW()-1,FALSE))</f>
        <v>56</v>
      </c>
      <c r="T172">
        <f ca="1">IF(AND($B$294=1,LEN($T$204)&gt;0),$T$204,HLOOKUP(INDIRECT(ADDRESS(2,COLUMN())),OFFSET($AT$2,0,0,ROW()-1,40),ROW()-1,FALSE))</f>
        <v>46</v>
      </c>
      <c r="U172">
        <f ca="1">IF(AND($B$294=1,LEN($U$204)&gt;0),$U$204,HLOOKUP(INDIRECT(ADDRESS(2,COLUMN())),OFFSET($AT$2,0,0,ROW()-1,40),ROW()-1,FALSE))</f>
        <v>39</v>
      </c>
      <c r="V172">
        <f ca="1">IF(AND($B$294=1,LEN($V$204)&gt;0),$V$204,HLOOKUP(INDIRECT(ADDRESS(2,COLUMN())),OFFSET($AT$2,0,0,ROW()-1,40),ROW()-1,FALSE))</f>
        <v>44</v>
      </c>
      <c r="W172">
        <f ca="1">IF(AND($B$294=1,LEN($W$204)&gt;0),$W$204,HLOOKUP(INDIRECT(ADDRESS(2,COLUMN())),OFFSET($AT$2,0,0,ROW()-1,40),ROW()-1,FALSE))</f>
        <v>52</v>
      </c>
      <c r="X172">
        <f ca="1">IF(AND($B$294=1,LEN($X$204)&gt;0),$X$204,HLOOKUP(INDIRECT(ADDRESS(2,COLUMN())),OFFSET($AT$2,0,0,ROW()-1,40),ROW()-1,FALSE))</f>
        <v>50</v>
      </c>
      <c r="Y172">
        <f ca="1">IF(AND($B$294=1,LEN($Y$204)&gt;0),$Y$204,HLOOKUP(INDIRECT(ADDRESS(2,COLUMN())),OFFSET($AT$2,0,0,ROW()-1,40),ROW()-1,FALSE))</f>
        <v>45</v>
      </c>
      <c r="Z172">
        <f ca="1">IF(AND($B$294=1,LEN($Z$204)&gt;0),$Z$204,HLOOKUP(INDIRECT(ADDRESS(2,COLUMN())),OFFSET($AT$2,0,0,ROW()-1,40),ROW()-1,FALSE))</f>
        <v>34</v>
      </c>
      <c r="AA172">
        <f ca="1">IF(AND($B$294=1,LEN($AA$204)&gt;0),$AA$204,HLOOKUP(INDIRECT(ADDRESS(2,COLUMN())),OFFSET($AT$2,0,0,ROW()-1,40),ROW()-1,FALSE))</f>
        <v>49</v>
      </c>
      <c r="AB172">
        <f ca="1">IF(AND($B$294=1,LEN($AB$204)&gt;0),$AB$204,HLOOKUP(INDIRECT(ADDRESS(2,COLUMN())),OFFSET($AT$2,0,0,ROW()-1,40),ROW()-1,FALSE))</f>
        <v>67</v>
      </c>
      <c r="AC172">
        <f ca="1">IF(AND($B$294=1,LEN($AC$204)&gt;0),$AC$204,HLOOKUP(INDIRECT(ADDRESS(2,COLUMN())),OFFSET($AT$2,0,0,ROW()-1,40),ROW()-1,FALSE))</f>
        <v>54</v>
      </c>
      <c r="AD172">
        <f ca="1">IF(AND($B$294=1,LEN($AD$204)&gt;0),$AD$204,HLOOKUP(INDIRECT(ADDRESS(2,COLUMN())),OFFSET($AT$2,0,0,ROW()-1,40),ROW()-1,FALSE))</f>
        <v>50</v>
      </c>
      <c r="AE172">
        <f ca="1">IF(AND($B$294=1,LEN($AE$204)&gt;0),$AE$204,HLOOKUP(INDIRECT(ADDRESS(2,COLUMN())),OFFSET($AT$2,0,0,ROW()-1,40),ROW()-1,FALSE))</f>
        <v>47</v>
      </c>
      <c r="AF172">
        <f ca="1">IF(AND($B$294=1,LEN($AF$204)&gt;0),$AF$204,HLOOKUP(INDIRECT(ADDRESS(2,COLUMN())),OFFSET($AT$2,0,0,ROW()-1,40),ROW()-1,FALSE))</f>
        <v>47</v>
      </c>
      <c r="AG172">
        <f ca="1">IF(AND($B$294=1,LEN($AG$204)&gt;0),$AG$204,HLOOKUP(INDIRECT(ADDRESS(2,COLUMN())),OFFSET($AT$2,0,0,ROW()-1,40),ROW()-1,FALSE))</f>
        <v>47</v>
      </c>
      <c r="AH172">
        <f ca="1">IF(AND($B$294=1,LEN($AH$204)&gt;0),$AH$204,HLOOKUP(INDIRECT(ADDRESS(2,COLUMN())),OFFSET($AT$2,0,0,ROW()-1,40),ROW()-1,FALSE))</f>
        <v>45</v>
      </c>
      <c r="AI172">
        <f ca="1">IF(AND($B$294=1,LEN($AI$204)&gt;0),$AI$204,HLOOKUP(INDIRECT(ADDRESS(2,COLUMN())),OFFSET($AT$2,0,0,ROW()-1,40),ROW()-1,FALSE))</f>
        <v>42</v>
      </c>
      <c r="AJ172">
        <f ca="1">IF(AND($B$294=1,LEN($AJ$204)&gt;0),$AJ$204,HLOOKUP(INDIRECT(ADDRESS(2,COLUMN())),OFFSET($AT$2,0,0,ROW()-1,40),ROW()-1,FALSE))</f>
        <v>40</v>
      </c>
      <c r="AK172">
        <f ca="1">IF(AND($B$294=1,LEN($AK$204)&gt;0),$AK$204,HLOOKUP(INDIRECT(ADDRESS(2,COLUMN())),OFFSET($AT$2,0,0,ROW()-1,40),ROW()-1,FALSE))</f>
        <v>52</v>
      </c>
      <c r="AL172">
        <f ca="1">IF(AND($B$294=1,LEN($AL$204)&gt;0),$AL$204,HLOOKUP(INDIRECT(ADDRESS(2,COLUMN())),OFFSET($AT$2,0,0,ROW()-1,40),ROW()-1,FALSE))</f>
        <v>49</v>
      </c>
      <c r="AM172">
        <f ca="1">IF(AND($B$294=1,LEN($AM$204)&gt;0),$AM$204,HLOOKUP(INDIRECT(ADDRESS(2,COLUMN())),OFFSET($AT$2,0,0,ROW()-1,40),ROW()-1,FALSE))</f>
        <v>52</v>
      </c>
      <c r="AN172">
        <f ca="1">IF(AND($B$294=1,LEN($AN$204)&gt;0),$AN$204,HLOOKUP(INDIRECT(ADDRESS(2,COLUMN())),OFFSET($AT$2,0,0,ROW()-1,40),ROW()-1,FALSE))</f>
        <v>89</v>
      </c>
      <c r="AO172">
        <f ca="1">IF(AND($B$294=1,LEN($AO$204)&gt;0),$AO$204,HLOOKUP(INDIRECT(ADDRESS(2,COLUMN())),OFFSET($AT$2,0,0,ROW()-1,40),ROW()-1,FALSE))</f>
        <v>77</v>
      </c>
      <c r="AP172">
        <f ca="1">IF(AND($B$294=1,LEN($AP$204)&gt;0),$AP$204,HLOOKUP(INDIRECT(ADDRESS(2,COLUMN())),OFFSET($AT$2,0,0,ROW()-1,40),ROW()-1,FALSE))</f>
        <v>75</v>
      </c>
      <c r="AQ172">
        <f ca="1">IF(AND($B$294=1,LEN($AQ$204)&gt;0),$AQ$204,HLOOKUP(INDIRECT(ADDRESS(2,COLUMN())),OFFSET($AT$2,0,0,ROW()-1,40),ROW()-1,FALSE))</f>
        <v>110</v>
      </c>
      <c r="AR172">
        <f ca="1">IF(AND($B$294=1,LEN($AR$204)&gt;0),$AR$204,HLOOKUP(INDIRECT(ADDRESS(2,COLUMN())),OFFSET($AT$2,0,0,ROW()-1,40),ROW()-1,FALSE))</f>
        <v>24</v>
      </c>
      <c r="AS172">
        <f ca="1">IF(AND($B$294=1,LEN($AS$204)&gt;0),$AS$204,HLOOKUP(INDIRECT(ADDRESS(2,COLUMN())),OFFSET($AT$2,0,0,ROW()-1,40),ROW()-1,FALSE))</f>
        <v>3</v>
      </c>
      <c r="AT172" t="str">
        <f>""</f>
        <v/>
      </c>
      <c r="AU172" t="str">
        <f>""</f>
        <v/>
      </c>
      <c r="AV172" t="str">
        <f>""</f>
        <v/>
      </c>
      <c r="AW172" t="str">
        <f>""</f>
        <v/>
      </c>
      <c r="AX172" t="str">
        <f>""</f>
        <v/>
      </c>
      <c r="AY172" t="str">
        <f>""</f>
        <v/>
      </c>
      <c r="AZ172" t="str">
        <f>""</f>
        <v/>
      </c>
      <c r="BA172" t="str">
        <f>""</f>
        <v/>
      </c>
      <c r="BB172" t="str">
        <f>""</f>
        <v/>
      </c>
      <c r="BC172" t="str">
        <f>""</f>
        <v/>
      </c>
      <c r="BD172">
        <f>86</f>
        <v>86</v>
      </c>
      <c r="BE172">
        <f>64</f>
        <v>64</v>
      </c>
      <c r="BF172">
        <f>59</f>
        <v>59</v>
      </c>
      <c r="BG172">
        <f>56</f>
        <v>56</v>
      </c>
      <c r="BH172">
        <f>46</f>
        <v>46</v>
      </c>
      <c r="BI172">
        <f>39</f>
        <v>39</v>
      </c>
      <c r="BJ172">
        <f>44</f>
        <v>44</v>
      </c>
      <c r="BK172">
        <f>52</f>
        <v>52</v>
      </c>
      <c r="BL172">
        <f>50</f>
        <v>50</v>
      </c>
      <c r="BM172">
        <f>45</f>
        <v>45</v>
      </c>
      <c r="BN172">
        <f>34</f>
        <v>34</v>
      </c>
      <c r="BO172">
        <f>49</f>
        <v>49</v>
      </c>
      <c r="BP172">
        <f>67</f>
        <v>67</v>
      </c>
      <c r="BQ172">
        <f>54</f>
        <v>54</v>
      </c>
      <c r="BR172">
        <f>50</f>
        <v>50</v>
      </c>
      <c r="BS172">
        <f>47</f>
        <v>47</v>
      </c>
      <c r="BT172">
        <f>47</f>
        <v>47</v>
      </c>
      <c r="BU172">
        <f>47</f>
        <v>47</v>
      </c>
      <c r="BV172">
        <f>45</f>
        <v>45</v>
      </c>
      <c r="BW172">
        <f>42</f>
        <v>42</v>
      </c>
      <c r="BX172">
        <f>40</f>
        <v>40</v>
      </c>
      <c r="BY172">
        <f>52</f>
        <v>52</v>
      </c>
      <c r="BZ172">
        <f>49</f>
        <v>49</v>
      </c>
      <c r="CA172">
        <f>52</f>
        <v>52</v>
      </c>
      <c r="CB172">
        <f>89</f>
        <v>89</v>
      </c>
      <c r="CC172">
        <f>77</f>
        <v>77</v>
      </c>
      <c r="CD172">
        <f>75</f>
        <v>75</v>
      </c>
      <c r="CE172">
        <f>110</f>
        <v>110</v>
      </c>
      <c r="CF172">
        <f>24</f>
        <v>24</v>
      </c>
      <c r="CG172">
        <f>3</f>
        <v>3</v>
      </c>
    </row>
    <row r="173" spans="1:85" x14ac:dyDescent="0.25">
      <c r="A173" t="str">
        <f>"    MAN - MAN"</f>
        <v xml:space="preserve">    MAN - MAN</v>
      </c>
      <c r="B173" t="str">
        <f>"VOW GR Equity"</f>
        <v>VOW GR Equity</v>
      </c>
      <c r="E173" t="str">
        <f t="shared" si="5"/>
        <v>Expression</v>
      </c>
      <c r="F173" t="str">
        <f ca="1">IF(AND($B$294=1,LEN($F$205)&gt;0),$F$205,HLOOKUP(INDIRECT(ADDRESS(2,COLUMN())),OFFSET($AT$2,0,0,ROW()-1,40),ROW()-1,FALSE))</f>
        <v/>
      </c>
      <c r="G173" t="str">
        <f ca="1">IF(AND($B$294=1,LEN($G$205)&gt;0),$G$205,HLOOKUP(INDIRECT(ADDRESS(2,COLUMN())),OFFSET($AT$2,0,0,ROW()-1,40),ROW()-1,FALSE))</f>
        <v/>
      </c>
      <c r="H173" t="str">
        <f ca="1">IF(AND($B$294=1,LEN($H$205)&gt;0),$H$205,HLOOKUP(INDIRECT(ADDRESS(2,COLUMN())),OFFSET($AT$2,0,0,ROW()-1,40),ROW()-1,FALSE))</f>
        <v/>
      </c>
      <c r="I173" t="str">
        <f ca="1">IF(AND($B$294=1,LEN($I$205)&gt;0),$I$205,HLOOKUP(INDIRECT(ADDRESS(2,COLUMN())),OFFSET($AT$2,0,0,ROW()-1,40),ROW()-1,FALSE))</f>
        <v/>
      </c>
      <c r="J173" t="str">
        <f ca="1">IF(AND($B$294=1,LEN($J$205)&gt;0),$J$205,HLOOKUP(INDIRECT(ADDRESS(2,COLUMN())),OFFSET($AT$2,0,0,ROW()-1,40),ROW()-1,FALSE))</f>
        <v/>
      </c>
      <c r="K173" t="str">
        <f ca="1">IF(AND($B$294=1,LEN($K$205)&gt;0),$K$205,HLOOKUP(INDIRECT(ADDRESS(2,COLUMN())),OFFSET($AT$2,0,0,ROW()-1,40),ROW()-1,FALSE))</f>
        <v/>
      </c>
      <c r="L173" t="str">
        <f ca="1">IF(AND($B$294=1,LEN($L$205)&gt;0),$L$205,HLOOKUP(INDIRECT(ADDRESS(2,COLUMN())),OFFSET($AT$2,0,0,ROW()-1,40),ROW()-1,FALSE))</f>
        <v/>
      </c>
      <c r="M173" t="str">
        <f ca="1">IF(AND($B$294=1,LEN($M$205)&gt;0),$M$205,HLOOKUP(INDIRECT(ADDRESS(2,COLUMN())),OFFSET($AT$2,0,0,ROW()-1,40),ROW()-1,FALSE))</f>
        <v/>
      </c>
      <c r="N173" t="str">
        <f ca="1">IF(AND($B$294=1,LEN($N$205)&gt;0),$N$205,HLOOKUP(INDIRECT(ADDRESS(2,COLUMN())),OFFSET($AT$2,0,0,ROW()-1,40),ROW()-1,FALSE))</f>
        <v/>
      </c>
      <c r="O173" t="str">
        <f ca="1">IF(AND($B$294=1,LEN($O$205)&gt;0),$O$205,HLOOKUP(INDIRECT(ADDRESS(2,COLUMN())),OFFSET($AT$2,0,0,ROW()-1,40),ROW()-1,FALSE))</f>
        <v/>
      </c>
      <c r="P173">
        <f ca="1">IF(AND($B$294=1,LEN($P$205)&gt;0),$P$205,HLOOKUP(INDIRECT(ADDRESS(2,COLUMN())),OFFSET($AT$2,0,0,ROW()-1,40),ROW()-1,FALSE))</f>
        <v>68</v>
      </c>
      <c r="Q173">
        <f ca="1">IF(AND($B$294=1,LEN($Q$205)&gt;0),$Q$205,HLOOKUP(INDIRECT(ADDRESS(2,COLUMN())),OFFSET($AT$2,0,0,ROW()-1,40),ROW()-1,FALSE))</f>
        <v>51</v>
      </c>
      <c r="R173">
        <f ca="1">IF(AND($B$294=1,LEN($R$205)&gt;0),$R$205,HLOOKUP(INDIRECT(ADDRESS(2,COLUMN())),OFFSET($AT$2,0,0,ROW()-1,40),ROW()-1,FALSE))</f>
        <v>47</v>
      </c>
      <c r="S173">
        <f ca="1">IF(AND($B$294=1,LEN($S$205)&gt;0),$S$205,HLOOKUP(INDIRECT(ADDRESS(2,COLUMN())),OFFSET($AT$2,0,0,ROW()-1,40),ROW()-1,FALSE))</f>
        <v>45</v>
      </c>
      <c r="T173">
        <f ca="1">IF(AND($B$294=1,LEN($T$205)&gt;0),$T$205,HLOOKUP(INDIRECT(ADDRESS(2,COLUMN())),OFFSET($AT$2,0,0,ROW()-1,40),ROW()-1,FALSE))</f>
        <v>36</v>
      </c>
      <c r="U173">
        <f ca="1">IF(AND($B$294=1,LEN($U$205)&gt;0),$U$205,HLOOKUP(INDIRECT(ADDRESS(2,COLUMN())),OFFSET($AT$2,0,0,ROW()-1,40),ROW()-1,FALSE))</f>
        <v>31</v>
      </c>
      <c r="V173">
        <f ca="1">IF(AND($B$294=1,LEN($V$205)&gt;0),$V$205,HLOOKUP(INDIRECT(ADDRESS(2,COLUMN())),OFFSET($AT$2,0,0,ROW()-1,40),ROW()-1,FALSE))</f>
        <v>35</v>
      </c>
      <c r="W173">
        <f ca="1">IF(AND($B$294=1,LEN($W$205)&gt;0),$W$205,HLOOKUP(INDIRECT(ADDRESS(2,COLUMN())),OFFSET($AT$2,0,0,ROW()-1,40),ROW()-1,FALSE))</f>
        <v>41</v>
      </c>
      <c r="X173">
        <f ca="1">IF(AND($B$294=1,LEN($X$205)&gt;0),$X$205,HLOOKUP(INDIRECT(ADDRESS(2,COLUMN())),OFFSET($AT$2,0,0,ROW()-1,40),ROW()-1,FALSE))</f>
        <v>40</v>
      </c>
      <c r="Y173">
        <f ca="1">IF(AND($B$294=1,LEN($Y$205)&gt;0),$Y$205,HLOOKUP(INDIRECT(ADDRESS(2,COLUMN())),OFFSET($AT$2,0,0,ROW()-1,40),ROW()-1,FALSE))</f>
        <v>35</v>
      </c>
      <c r="Z173">
        <f ca="1">IF(AND($B$294=1,LEN($Z$205)&gt;0),$Z$205,HLOOKUP(INDIRECT(ADDRESS(2,COLUMN())),OFFSET($AT$2,0,0,ROW()-1,40),ROW()-1,FALSE))</f>
        <v>27</v>
      </c>
      <c r="AA173">
        <f ca="1">IF(AND($B$294=1,LEN($AA$205)&gt;0),$AA$205,HLOOKUP(INDIRECT(ADDRESS(2,COLUMN())),OFFSET($AT$2,0,0,ROW()-1,40),ROW()-1,FALSE))</f>
        <v>39</v>
      </c>
      <c r="AB173">
        <f ca="1">IF(AND($B$294=1,LEN($AB$205)&gt;0),$AB$205,HLOOKUP(INDIRECT(ADDRESS(2,COLUMN())),OFFSET($AT$2,0,0,ROW()-1,40),ROW()-1,FALSE))</f>
        <v>37</v>
      </c>
      <c r="AC173">
        <f ca="1">IF(AND($B$294=1,LEN($AC$205)&gt;0),$AC$205,HLOOKUP(INDIRECT(ADDRESS(2,COLUMN())),OFFSET($AT$2,0,0,ROW()-1,40),ROW()-1,FALSE))</f>
        <v>30</v>
      </c>
      <c r="AD173">
        <f ca="1">IF(AND($B$294=1,LEN($AD$205)&gt;0),$AD$205,HLOOKUP(INDIRECT(ADDRESS(2,COLUMN())),OFFSET($AT$2,0,0,ROW()-1,40),ROW()-1,FALSE))</f>
        <v>28</v>
      </c>
      <c r="AE173">
        <f ca="1">IF(AND($B$294=1,LEN($AE$205)&gt;0),$AE$205,HLOOKUP(INDIRECT(ADDRESS(2,COLUMN())),OFFSET($AT$2,0,0,ROW()-1,40),ROW()-1,FALSE))</f>
        <v>26</v>
      </c>
      <c r="AF173">
        <f ca="1">IF(AND($B$294=1,LEN($AF$205)&gt;0),$AF$205,HLOOKUP(INDIRECT(ADDRESS(2,COLUMN())),OFFSET($AT$2,0,0,ROW()-1,40),ROW()-1,FALSE))</f>
        <v>26</v>
      </c>
      <c r="AG173">
        <f ca="1">IF(AND($B$294=1,LEN($AG$205)&gt;0),$AG$205,HLOOKUP(INDIRECT(ADDRESS(2,COLUMN())),OFFSET($AT$2,0,0,ROW()-1,40),ROW()-1,FALSE))</f>
        <v>26</v>
      </c>
      <c r="AH173">
        <f ca="1">IF(AND($B$294=1,LEN($AH$205)&gt;0),$AH$205,HLOOKUP(INDIRECT(ADDRESS(2,COLUMN())),OFFSET($AT$2,0,0,ROW()-1,40),ROW()-1,FALSE))</f>
        <v>25</v>
      </c>
      <c r="AI173">
        <f ca="1">IF(AND($B$294=1,LEN($AI$205)&gt;0),$AI$205,HLOOKUP(INDIRECT(ADDRESS(2,COLUMN())),OFFSET($AT$2,0,0,ROW()-1,40),ROW()-1,FALSE))</f>
        <v>23</v>
      </c>
      <c r="AJ173">
        <f ca="1">IF(AND($B$294=1,LEN($AJ$205)&gt;0),$AJ$205,HLOOKUP(INDIRECT(ADDRESS(2,COLUMN())),OFFSET($AT$2,0,0,ROW()-1,40),ROW()-1,FALSE))</f>
        <v>22</v>
      </c>
      <c r="AK173">
        <f ca="1">IF(AND($B$294=1,LEN($AK$205)&gt;0),$AK$205,HLOOKUP(INDIRECT(ADDRESS(2,COLUMN())),OFFSET($AT$2,0,0,ROW()-1,40),ROW()-1,FALSE))</f>
        <v>29</v>
      </c>
      <c r="AL173">
        <f ca="1">IF(AND($B$294=1,LEN($AL$205)&gt;0),$AL$205,HLOOKUP(INDIRECT(ADDRESS(2,COLUMN())),OFFSET($AT$2,0,0,ROW()-1,40),ROW()-1,FALSE))</f>
        <v>27</v>
      </c>
      <c r="AM173">
        <f ca="1">IF(AND($B$294=1,LEN($AM$205)&gt;0),$AM$205,HLOOKUP(INDIRECT(ADDRESS(2,COLUMN())),OFFSET($AT$2,0,0,ROW()-1,40),ROW()-1,FALSE))</f>
        <v>29</v>
      </c>
      <c r="AN173">
        <f ca="1">IF(AND($B$294=1,LEN($AN$205)&gt;0),$AN$205,HLOOKUP(INDIRECT(ADDRESS(2,COLUMN())),OFFSET($AT$2,0,0,ROW()-1,40),ROW()-1,FALSE))</f>
        <v>32</v>
      </c>
      <c r="AO173">
        <f ca="1">IF(AND($B$294=1,LEN($AO$205)&gt;0),$AO$205,HLOOKUP(INDIRECT(ADDRESS(2,COLUMN())),OFFSET($AT$2,0,0,ROW()-1,40),ROW()-1,FALSE))</f>
        <v>29</v>
      </c>
      <c r="AP173">
        <f ca="1">IF(AND($B$294=1,LEN($AP$205)&gt;0),$AP$205,HLOOKUP(INDIRECT(ADDRESS(2,COLUMN())),OFFSET($AT$2,0,0,ROW()-1,40),ROW()-1,FALSE))</f>
        <v>29</v>
      </c>
      <c r="AQ173">
        <f ca="1">IF(AND($B$294=1,LEN($AQ$205)&gt;0),$AQ$205,HLOOKUP(INDIRECT(ADDRESS(2,COLUMN())),OFFSET($AT$2,0,0,ROW()-1,40),ROW()-1,FALSE))</f>
        <v>26</v>
      </c>
      <c r="AR173">
        <f ca="1">IF(AND($B$294=1,LEN($AR$205)&gt;0),$AR$205,HLOOKUP(INDIRECT(ADDRESS(2,COLUMN())),OFFSET($AT$2,0,0,ROW()-1,40),ROW()-1,FALSE))</f>
        <v>10</v>
      </c>
      <c r="AS173">
        <f ca="1">IF(AND($B$294=1,LEN($AS$205)&gt;0),$AS$205,HLOOKUP(INDIRECT(ADDRESS(2,COLUMN())),OFFSET($AT$2,0,0,ROW()-1,40),ROW()-1,FALSE))</f>
        <v>34</v>
      </c>
      <c r="AT173" t="str">
        <f>""</f>
        <v/>
      </c>
      <c r="AU173" t="str">
        <f>""</f>
        <v/>
      </c>
      <c r="AV173" t="str">
        <f>""</f>
        <v/>
      </c>
      <c r="AW173" t="str">
        <f>""</f>
        <v/>
      </c>
      <c r="AX173" t="str">
        <f>""</f>
        <v/>
      </c>
      <c r="AY173" t="str">
        <f>""</f>
        <v/>
      </c>
      <c r="AZ173" t="str">
        <f>""</f>
        <v/>
      </c>
      <c r="BA173" t="str">
        <f>""</f>
        <v/>
      </c>
      <c r="BB173" t="str">
        <f>""</f>
        <v/>
      </c>
      <c r="BC173" t="str">
        <f>""</f>
        <v/>
      </c>
      <c r="BD173">
        <f>68</f>
        <v>68</v>
      </c>
      <c r="BE173">
        <f>51</f>
        <v>51</v>
      </c>
      <c r="BF173">
        <f>47</f>
        <v>47</v>
      </c>
      <c r="BG173">
        <f>45</f>
        <v>45</v>
      </c>
      <c r="BH173">
        <f>36</f>
        <v>36</v>
      </c>
      <c r="BI173">
        <f>31</f>
        <v>31</v>
      </c>
      <c r="BJ173">
        <f>35</f>
        <v>35</v>
      </c>
      <c r="BK173">
        <f>41</f>
        <v>41</v>
      </c>
      <c r="BL173">
        <f>40</f>
        <v>40</v>
      </c>
      <c r="BM173">
        <f>35</f>
        <v>35</v>
      </c>
      <c r="BN173">
        <f>27</f>
        <v>27</v>
      </c>
      <c r="BO173">
        <f>39</f>
        <v>39</v>
      </c>
      <c r="BP173">
        <f>37</f>
        <v>37</v>
      </c>
      <c r="BQ173">
        <f>30</f>
        <v>30</v>
      </c>
      <c r="BR173">
        <f>28</f>
        <v>28</v>
      </c>
      <c r="BS173">
        <f>26</f>
        <v>26</v>
      </c>
      <c r="BT173">
        <f>26</f>
        <v>26</v>
      </c>
      <c r="BU173">
        <f>26</f>
        <v>26</v>
      </c>
      <c r="BV173">
        <f>25</f>
        <v>25</v>
      </c>
      <c r="BW173">
        <f>23</f>
        <v>23</v>
      </c>
      <c r="BX173">
        <f>22</f>
        <v>22</v>
      </c>
      <c r="BY173">
        <f>29</f>
        <v>29</v>
      </c>
      <c r="BZ173">
        <f>27</f>
        <v>27</v>
      </c>
      <c r="CA173">
        <f>29</f>
        <v>29</v>
      </c>
      <c r="CB173">
        <f>32</f>
        <v>32</v>
      </c>
      <c r="CC173">
        <f>29</f>
        <v>29</v>
      </c>
      <c r="CD173">
        <f>29</f>
        <v>29</v>
      </c>
      <c r="CE173">
        <f>26</f>
        <v>26</v>
      </c>
      <c r="CF173">
        <f>10</f>
        <v>10</v>
      </c>
      <c r="CG173">
        <f>34</f>
        <v>34</v>
      </c>
    </row>
    <row r="174" spans="1:85" x14ac:dyDescent="0.25">
      <c r="A174" t="str">
        <f>"    MAN - Volkswagen"</f>
        <v xml:space="preserve">    MAN - Volkswagen</v>
      </c>
      <c r="B174" t="str">
        <f>"VOW GR Equity"</f>
        <v>VOW GR Equity</v>
      </c>
      <c r="E174" t="str">
        <f t="shared" si="5"/>
        <v>Expression</v>
      </c>
      <c r="F174" t="str">
        <f ca="1">IF(AND($B$294=1,LEN($F$206)&gt;0),$F$206,HLOOKUP(INDIRECT(ADDRESS(2,COLUMN())),OFFSET($AT$2,0,0,ROW()-1,40),ROW()-1,FALSE))</f>
        <v/>
      </c>
      <c r="G174" t="str">
        <f ca="1">IF(AND($B$294=1,LEN($G$206)&gt;0),$G$206,HLOOKUP(INDIRECT(ADDRESS(2,COLUMN())),OFFSET($AT$2,0,0,ROW()-1,40),ROW()-1,FALSE))</f>
        <v/>
      </c>
      <c r="H174" t="str">
        <f ca="1">IF(AND($B$294=1,LEN($H$206)&gt;0),$H$206,HLOOKUP(INDIRECT(ADDRESS(2,COLUMN())),OFFSET($AT$2,0,0,ROW()-1,40),ROW()-1,FALSE))</f>
        <v/>
      </c>
      <c r="I174" t="str">
        <f ca="1">IF(AND($B$294=1,LEN($I$206)&gt;0),$I$206,HLOOKUP(INDIRECT(ADDRESS(2,COLUMN())),OFFSET($AT$2,0,0,ROW()-1,40),ROW()-1,FALSE))</f>
        <v/>
      </c>
      <c r="J174" t="str">
        <f ca="1">IF(AND($B$294=1,LEN($J$206)&gt;0),$J$206,HLOOKUP(INDIRECT(ADDRESS(2,COLUMN())),OFFSET($AT$2,0,0,ROW()-1,40),ROW()-1,FALSE))</f>
        <v/>
      </c>
      <c r="K174" t="str">
        <f ca="1">IF(AND($B$294=1,LEN($K$206)&gt;0),$K$206,HLOOKUP(INDIRECT(ADDRESS(2,COLUMN())),OFFSET($AT$2,0,0,ROW()-1,40),ROW()-1,FALSE))</f>
        <v/>
      </c>
      <c r="L174" t="str">
        <f ca="1">IF(AND($B$294=1,LEN($L$206)&gt;0),$L$206,HLOOKUP(INDIRECT(ADDRESS(2,COLUMN())),OFFSET($AT$2,0,0,ROW()-1,40),ROW()-1,FALSE))</f>
        <v/>
      </c>
      <c r="M174" t="str">
        <f ca="1">IF(AND($B$294=1,LEN($M$206)&gt;0),$M$206,HLOOKUP(INDIRECT(ADDRESS(2,COLUMN())),OFFSET($AT$2,0,0,ROW()-1,40),ROW()-1,FALSE))</f>
        <v/>
      </c>
      <c r="N174" t="str">
        <f ca="1">IF(AND($B$294=1,LEN($N$206)&gt;0),$N$206,HLOOKUP(INDIRECT(ADDRESS(2,COLUMN())),OFFSET($AT$2,0,0,ROW()-1,40),ROW()-1,FALSE))</f>
        <v/>
      </c>
      <c r="O174" t="str">
        <f ca="1">IF(AND($B$294=1,LEN($O$206)&gt;0),$O$206,HLOOKUP(INDIRECT(ADDRESS(2,COLUMN())),OFFSET($AT$2,0,0,ROW()-1,40),ROW()-1,FALSE))</f>
        <v/>
      </c>
      <c r="P174" t="str">
        <f ca="1">IF(AND($B$294=1,LEN($P$206)&gt;0),$P$206,HLOOKUP(INDIRECT(ADDRESS(2,COLUMN())),OFFSET($AT$2,0,0,ROW()-1,40),ROW()-1,FALSE))</f>
        <v/>
      </c>
      <c r="Q174" t="str">
        <f ca="1">IF(AND($B$294=1,LEN($Q$206)&gt;0),$Q$206,HLOOKUP(INDIRECT(ADDRESS(2,COLUMN())),OFFSET($AT$2,0,0,ROW()-1,40),ROW()-1,FALSE))</f>
        <v/>
      </c>
      <c r="R174" t="str">
        <f ca="1">IF(AND($B$294=1,LEN($R$206)&gt;0),$R$206,HLOOKUP(INDIRECT(ADDRESS(2,COLUMN())),OFFSET($AT$2,0,0,ROW()-1,40),ROW()-1,FALSE))</f>
        <v/>
      </c>
      <c r="S174" t="str">
        <f ca="1">IF(AND($B$294=1,LEN($S$206)&gt;0),$S$206,HLOOKUP(INDIRECT(ADDRESS(2,COLUMN())),OFFSET($AT$2,0,0,ROW()-1,40),ROW()-1,FALSE))</f>
        <v/>
      </c>
      <c r="T174" t="str">
        <f ca="1">IF(AND($B$294=1,LEN($T$206)&gt;0),$T$206,HLOOKUP(INDIRECT(ADDRESS(2,COLUMN())),OFFSET($AT$2,0,0,ROW()-1,40),ROW()-1,FALSE))</f>
        <v/>
      </c>
      <c r="U174" t="str">
        <f ca="1">IF(AND($B$294=1,LEN($U$206)&gt;0),$U$206,HLOOKUP(INDIRECT(ADDRESS(2,COLUMN())),OFFSET($AT$2,0,0,ROW()-1,40),ROW()-1,FALSE))</f>
        <v/>
      </c>
      <c r="V174" t="str">
        <f ca="1">IF(AND($B$294=1,LEN($V$206)&gt;0),$V$206,HLOOKUP(INDIRECT(ADDRESS(2,COLUMN())),OFFSET($AT$2,0,0,ROW()-1,40),ROW()-1,FALSE))</f>
        <v/>
      </c>
      <c r="W174" t="str">
        <f ca="1">IF(AND($B$294=1,LEN($W$206)&gt;0),$W$206,HLOOKUP(INDIRECT(ADDRESS(2,COLUMN())),OFFSET($AT$2,0,0,ROW()-1,40),ROW()-1,FALSE))</f>
        <v/>
      </c>
      <c r="X174" t="str">
        <f ca="1">IF(AND($B$294=1,LEN($X$206)&gt;0),$X$206,HLOOKUP(INDIRECT(ADDRESS(2,COLUMN())),OFFSET($AT$2,0,0,ROW()-1,40),ROW()-1,FALSE))</f>
        <v/>
      </c>
      <c r="Y174" t="str">
        <f ca="1">IF(AND($B$294=1,LEN($Y$206)&gt;0),$Y$206,HLOOKUP(INDIRECT(ADDRESS(2,COLUMN())),OFFSET($AT$2,0,0,ROW()-1,40),ROW()-1,FALSE))</f>
        <v/>
      </c>
      <c r="Z174" t="str">
        <f ca="1">IF(AND($B$294=1,LEN($Z$206)&gt;0),$Z$206,HLOOKUP(INDIRECT(ADDRESS(2,COLUMN())),OFFSET($AT$2,0,0,ROW()-1,40),ROW()-1,FALSE))</f>
        <v/>
      </c>
      <c r="AA174" t="str">
        <f ca="1">IF(AND($B$294=1,LEN($AA$206)&gt;0),$AA$206,HLOOKUP(INDIRECT(ADDRESS(2,COLUMN())),OFFSET($AT$2,0,0,ROW()-1,40),ROW()-1,FALSE))</f>
        <v/>
      </c>
      <c r="AB174" t="str">
        <f ca="1">IF(AND($B$294=1,LEN($AB$206)&gt;0),$AB$206,HLOOKUP(INDIRECT(ADDRESS(2,COLUMN())),OFFSET($AT$2,0,0,ROW()-1,40),ROW()-1,FALSE))</f>
        <v/>
      </c>
      <c r="AC174" t="str">
        <f ca="1">IF(AND($B$294=1,LEN($AC$206)&gt;0),$AC$206,HLOOKUP(INDIRECT(ADDRESS(2,COLUMN())),OFFSET($AT$2,0,0,ROW()-1,40),ROW()-1,FALSE))</f>
        <v/>
      </c>
      <c r="AD174" t="str">
        <f ca="1">IF(AND($B$294=1,LEN($AD$206)&gt;0),$AD$206,HLOOKUP(INDIRECT(ADDRESS(2,COLUMN())),OFFSET($AT$2,0,0,ROW()-1,40),ROW()-1,FALSE))</f>
        <v/>
      </c>
      <c r="AE174" t="str">
        <f ca="1">IF(AND($B$294=1,LEN($AE$206)&gt;0),$AE$206,HLOOKUP(INDIRECT(ADDRESS(2,COLUMN())),OFFSET($AT$2,0,0,ROW()-1,40),ROW()-1,FALSE))</f>
        <v/>
      </c>
      <c r="AF174" t="str">
        <f ca="1">IF(AND($B$294=1,LEN($AF$206)&gt;0),$AF$206,HLOOKUP(INDIRECT(ADDRESS(2,COLUMN())),OFFSET($AT$2,0,0,ROW()-1,40),ROW()-1,FALSE))</f>
        <v/>
      </c>
      <c r="AG174" t="str">
        <f ca="1">IF(AND($B$294=1,LEN($AG$206)&gt;0),$AG$206,HLOOKUP(INDIRECT(ADDRESS(2,COLUMN())),OFFSET($AT$2,0,0,ROW()-1,40),ROW()-1,FALSE))</f>
        <v/>
      </c>
      <c r="AH174" t="str">
        <f ca="1">IF(AND($B$294=1,LEN($AH$206)&gt;0),$AH$206,HLOOKUP(INDIRECT(ADDRESS(2,COLUMN())),OFFSET($AT$2,0,0,ROW()-1,40),ROW()-1,FALSE))</f>
        <v/>
      </c>
      <c r="AI174" t="str">
        <f ca="1">IF(AND($B$294=1,LEN($AI$206)&gt;0),$AI$206,HLOOKUP(INDIRECT(ADDRESS(2,COLUMN())),OFFSET($AT$2,0,0,ROW()-1,40),ROW()-1,FALSE))</f>
        <v/>
      </c>
      <c r="AJ174" t="str">
        <f ca="1">IF(AND($B$294=1,LEN($AJ$206)&gt;0),$AJ$206,HLOOKUP(INDIRECT(ADDRESS(2,COLUMN())),OFFSET($AT$2,0,0,ROW()-1,40),ROW()-1,FALSE))</f>
        <v/>
      </c>
      <c r="AK174" t="str">
        <f ca="1">IF(AND($B$294=1,LEN($AK$206)&gt;0),$AK$206,HLOOKUP(INDIRECT(ADDRESS(2,COLUMN())),OFFSET($AT$2,0,0,ROW()-1,40),ROW()-1,FALSE))</f>
        <v/>
      </c>
      <c r="AL174" t="str">
        <f ca="1">IF(AND($B$294=1,LEN($AL$206)&gt;0),$AL$206,HLOOKUP(INDIRECT(ADDRESS(2,COLUMN())),OFFSET($AT$2,0,0,ROW()-1,40),ROW()-1,FALSE))</f>
        <v/>
      </c>
      <c r="AM174" t="str">
        <f ca="1">IF(AND($B$294=1,LEN($AM$206)&gt;0),$AM$206,HLOOKUP(INDIRECT(ADDRESS(2,COLUMN())),OFFSET($AT$2,0,0,ROW()-1,40),ROW()-1,FALSE))</f>
        <v/>
      </c>
      <c r="AN174" t="str">
        <f ca="1">IF(AND($B$294=1,LEN($AN$206)&gt;0),$AN$206,HLOOKUP(INDIRECT(ADDRESS(2,COLUMN())),OFFSET($AT$2,0,0,ROW()-1,40),ROW()-1,FALSE))</f>
        <v/>
      </c>
      <c r="AO174" t="str">
        <f ca="1">IF(AND($B$294=1,LEN($AO$206)&gt;0),$AO$206,HLOOKUP(INDIRECT(ADDRESS(2,COLUMN())),OFFSET($AT$2,0,0,ROW()-1,40),ROW()-1,FALSE))</f>
        <v/>
      </c>
      <c r="AP174" t="str">
        <f ca="1">IF(AND($B$294=1,LEN($AP$206)&gt;0),$AP$206,HLOOKUP(INDIRECT(ADDRESS(2,COLUMN())),OFFSET($AT$2,0,0,ROW()-1,40),ROW()-1,FALSE))</f>
        <v/>
      </c>
      <c r="AQ174" t="str">
        <f ca="1">IF(AND($B$294=1,LEN($AQ$206)&gt;0),$AQ$206,HLOOKUP(INDIRECT(ADDRESS(2,COLUMN())),OFFSET($AT$2,0,0,ROW()-1,40),ROW()-1,FALSE))</f>
        <v/>
      </c>
      <c r="AR174" t="str">
        <f ca="1">IF(AND($B$294=1,LEN($AR$206)&gt;0),$AR$206,HLOOKUP(INDIRECT(ADDRESS(2,COLUMN())),OFFSET($AT$2,0,0,ROW()-1,40),ROW()-1,FALSE))</f>
        <v/>
      </c>
      <c r="AS174" t="str">
        <f ca="1">IF(AND($B$294=1,LEN($AS$206)&gt;0),$AS$206,HLOOKUP(INDIRECT(ADDRESS(2,COLUMN())),OFFSET($AT$2,0,0,ROW()-1,40),ROW()-1,FALSE))</f>
        <v/>
      </c>
      <c r="AT174" t="str">
        <f>""</f>
        <v/>
      </c>
      <c r="AU174" t="str">
        <f>""</f>
        <v/>
      </c>
      <c r="AV174" t="str">
        <f>""</f>
        <v/>
      </c>
      <c r="AW174" t="str">
        <f>""</f>
        <v/>
      </c>
      <c r="AX174" t="str">
        <f>""</f>
        <v/>
      </c>
      <c r="AY174" t="str">
        <f>""</f>
        <v/>
      </c>
      <c r="AZ174" t="str">
        <f>""</f>
        <v/>
      </c>
      <c r="BA174" t="str">
        <f>""</f>
        <v/>
      </c>
      <c r="BB174" t="str">
        <f>""</f>
        <v/>
      </c>
      <c r="BC174" t="str">
        <f>""</f>
        <v/>
      </c>
      <c r="BD174" t="str">
        <f>""</f>
        <v/>
      </c>
      <c r="BE174" t="str">
        <f>""</f>
        <v/>
      </c>
      <c r="BF174" t="str">
        <f>""</f>
        <v/>
      </c>
      <c r="BG174" t="str">
        <f>""</f>
        <v/>
      </c>
      <c r="BH174" t="str">
        <f>""</f>
        <v/>
      </c>
      <c r="BI174" t="str">
        <f>""</f>
        <v/>
      </c>
      <c r="BJ174" t="str">
        <f>""</f>
        <v/>
      </c>
      <c r="BK174" t="str">
        <f>""</f>
        <v/>
      </c>
      <c r="BL174" t="str">
        <f>""</f>
        <v/>
      </c>
      <c r="BM174" t="str">
        <f>""</f>
        <v/>
      </c>
      <c r="BN174" t="str">
        <f>""</f>
        <v/>
      </c>
      <c r="BO174" t="str">
        <f>""</f>
        <v/>
      </c>
      <c r="BP174" t="str">
        <f>""</f>
        <v/>
      </c>
      <c r="BQ174" t="str">
        <f>""</f>
        <v/>
      </c>
      <c r="BR174" t="str">
        <f>""</f>
        <v/>
      </c>
      <c r="BS174" t="str">
        <f>""</f>
        <v/>
      </c>
      <c r="BT174" t="str">
        <f>""</f>
        <v/>
      </c>
      <c r="BU174" t="str">
        <f>""</f>
        <v/>
      </c>
      <c r="BV174" t="str">
        <f>""</f>
        <v/>
      </c>
      <c r="BW174" t="str">
        <f>""</f>
        <v/>
      </c>
      <c r="BX174" t="str">
        <f>""</f>
        <v/>
      </c>
      <c r="BY174" t="str">
        <f>""</f>
        <v/>
      </c>
      <c r="BZ174" t="str">
        <f>""</f>
        <v/>
      </c>
      <c r="CA174" t="str">
        <f>""</f>
        <v/>
      </c>
      <c r="CB174" t="str">
        <f>""</f>
        <v/>
      </c>
      <c r="CC174" t="str">
        <f>""</f>
        <v/>
      </c>
      <c r="CD174" t="str">
        <f>""</f>
        <v/>
      </c>
      <c r="CE174" t="str">
        <f>""</f>
        <v/>
      </c>
      <c r="CF174" t="str">
        <f>""</f>
        <v/>
      </c>
      <c r="CG174" t="str">
        <f>""</f>
        <v/>
      </c>
    </row>
    <row r="175" spans="1:85" x14ac:dyDescent="0.25">
      <c r="A175" t="str">
        <f>"    Scania"</f>
        <v xml:space="preserve">    Scania</v>
      </c>
      <c r="B175" t="str">
        <f>""</f>
        <v/>
      </c>
      <c r="E175" t="str">
        <f t="shared" si="5"/>
        <v>Expression</v>
      </c>
      <c r="F175" t="str">
        <f ca="1">IF(AND($B$294=1,LEN($F$207)&gt;0),$F$207,HLOOKUP(INDIRECT(ADDRESS(2,COLUMN())),OFFSET($AT$2,0,0,ROW()-1,40),ROW()-1,FALSE))</f>
        <v/>
      </c>
      <c r="G175" t="str">
        <f ca="1">IF(AND($B$294=1,LEN($G$207)&gt;0),$G$207,HLOOKUP(INDIRECT(ADDRESS(2,COLUMN())),OFFSET($AT$2,0,0,ROW()-1,40),ROW()-1,FALSE))</f>
        <v/>
      </c>
      <c r="H175" t="str">
        <f ca="1">IF(AND($B$294=1,LEN($H$207)&gt;0),$H$207,HLOOKUP(INDIRECT(ADDRESS(2,COLUMN())),OFFSET($AT$2,0,0,ROW()-1,40),ROW()-1,FALSE))</f>
        <v/>
      </c>
      <c r="I175" t="str">
        <f ca="1">IF(AND($B$294=1,LEN($I$207)&gt;0),$I$207,HLOOKUP(INDIRECT(ADDRESS(2,COLUMN())),OFFSET($AT$2,0,0,ROW()-1,40),ROW()-1,FALSE))</f>
        <v/>
      </c>
      <c r="J175" t="str">
        <f ca="1">IF(AND($B$294=1,LEN($J$207)&gt;0),$J$207,HLOOKUP(INDIRECT(ADDRESS(2,COLUMN())),OFFSET($AT$2,0,0,ROW()-1,40),ROW()-1,FALSE))</f>
        <v/>
      </c>
      <c r="K175" t="str">
        <f ca="1">IF(AND($B$294=1,LEN($K$207)&gt;0),$K$207,HLOOKUP(INDIRECT(ADDRESS(2,COLUMN())),OFFSET($AT$2,0,0,ROW()-1,40),ROW()-1,FALSE))</f>
        <v/>
      </c>
      <c r="L175" t="str">
        <f ca="1">IF(AND($B$294=1,LEN($L$207)&gt;0),$L$207,HLOOKUP(INDIRECT(ADDRESS(2,COLUMN())),OFFSET($AT$2,0,0,ROW()-1,40),ROW()-1,FALSE))</f>
        <v/>
      </c>
      <c r="M175" t="str">
        <f ca="1">IF(AND($B$294=1,LEN($M$207)&gt;0),$M$207,HLOOKUP(INDIRECT(ADDRESS(2,COLUMN())),OFFSET($AT$2,0,0,ROW()-1,40),ROW()-1,FALSE))</f>
        <v/>
      </c>
      <c r="N175" t="str">
        <f ca="1">IF(AND($B$294=1,LEN($N$207)&gt;0),$N$207,HLOOKUP(INDIRECT(ADDRESS(2,COLUMN())),OFFSET($AT$2,0,0,ROW()-1,40),ROW()-1,FALSE))</f>
        <v/>
      </c>
      <c r="O175" t="str">
        <f ca="1">IF(AND($B$294=1,LEN($O$207)&gt;0),$O$207,HLOOKUP(INDIRECT(ADDRESS(2,COLUMN())),OFFSET($AT$2,0,0,ROW()-1,40),ROW()-1,FALSE))</f>
        <v/>
      </c>
      <c r="P175">
        <f ca="1">IF(AND($B$294=1,LEN($P$207)&gt;0),$P$207,HLOOKUP(INDIRECT(ADDRESS(2,COLUMN())),OFFSET($AT$2,0,0,ROW()-1,40),ROW()-1,FALSE))</f>
        <v>222</v>
      </c>
      <c r="Q175">
        <f ca="1">IF(AND($B$294=1,LEN($Q$207)&gt;0),$Q$207,HLOOKUP(INDIRECT(ADDRESS(2,COLUMN())),OFFSET($AT$2,0,0,ROW()-1,40),ROW()-1,FALSE))</f>
        <v>165</v>
      </c>
      <c r="R175">
        <f ca="1">IF(AND($B$294=1,LEN($R$207)&gt;0),$R$207,HLOOKUP(INDIRECT(ADDRESS(2,COLUMN())),OFFSET($AT$2,0,0,ROW()-1,40),ROW()-1,FALSE))</f>
        <v>154</v>
      </c>
      <c r="S175">
        <f ca="1">IF(AND($B$294=1,LEN($S$207)&gt;0),$S$207,HLOOKUP(INDIRECT(ADDRESS(2,COLUMN())),OFFSET($AT$2,0,0,ROW()-1,40),ROW()-1,FALSE))</f>
        <v>146</v>
      </c>
      <c r="T175">
        <f ca="1">IF(AND($B$294=1,LEN($T$207)&gt;0),$T$207,HLOOKUP(INDIRECT(ADDRESS(2,COLUMN())),OFFSET($AT$2,0,0,ROW()-1,40),ROW()-1,FALSE))</f>
        <v>119</v>
      </c>
      <c r="U175">
        <f ca="1">IF(AND($B$294=1,LEN($U$207)&gt;0),$U$207,HLOOKUP(INDIRECT(ADDRESS(2,COLUMN())),OFFSET($AT$2,0,0,ROW()-1,40),ROW()-1,FALSE))</f>
        <v>102</v>
      </c>
      <c r="V175">
        <f ca="1">IF(AND($B$294=1,LEN($V$207)&gt;0),$V$207,HLOOKUP(INDIRECT(ADDRESS(2,COLUMN())),OFFSET($AT$2,0,0,ROW()-1,40),ROW()-1,FALSE))</f>
        <v>116</v>
      </c>
      <c r="W175">
        <f ca="1">IF(AND($B$294=1,LEN($W$207)&gt;0),$W$207,HLOOKUP(INDIRECT(ADDRESS(2,COLUMN())),OFFSET($AT$2,0,0,ROW()-1,40),ROW()-1,FALSE))</f>
        <v>134</v>
      </c>
      <c r="X175">
        <f ca="1">IF(AND($B$294=1,LEN($X$207)&gt;0),$X$207,HLOOKUP(INDIRECT(ADDRESS(2,COLUMN())),OFFSET($AT$2,0,0,ROW()-1,40),ROW()-1,FALSE))</f>
        <v>131</v>
      </c>
      <c r="Y175">
        <f ca="1">IF(AND($B$294=1,LEN($Y$207)&gt;0),$Y$207,HLOOKUP(INDIRECT(ADDRESS(2,COLUMN())),OFFSET($AT$2,0,0,ROW()-1,40),ROW()-1,FALSE))</f>
        <v>116</v>
      </c>
      <c r="Z175">
        <f ca="1">IF(AND($B$294=1,LEN($Z$207)&gt;0),$Z$207,HLOOKUP(INDIRECT(ADDRESS(2,COLUMN())),OFFSET($AT$2,0,0,ROW()-1,40),ROW()-1,FALSE))</f>
        <v>89</v>
      </c>
      <c r="AA175">
        <f ca="1">IF(AND($B$294=1,LEN($AA$207)&gt;0),$AA$207,HLOOKUP(INDIRECT(ADDRESS(2,COLUMN())),OFFSET($AT$2,0,0,ROW()-1,40),ROW()-1,FALSE))</f>
        <v>127</v>
      </c>
      <c r="AB175">
        <f ca="1">IF(AND($B$294=1,LEN($AB$207)&gt;0),$AB$207,HLOOKUP(INDIRECT(ADDRESS(2,COLUMN())),OFFSET($AT$2,0,0,ROW()-1,40),ROW()-1,FALSE))</f>
        <v>118</v>
      </c>
      <c r="AC175">
        <f ca="1">IF(AND($B$294=1,LEN($AC$207)&gt;0),$AC$207,HLOOKUP(INDIRECT(ADDRESS(2,COLUMN())),OFFSET($AT$2,0,0,ROW()-1,40),ROW()-1,FALSE))</f>
        <v>95</v>
      </c>
      <c r="AD175">
        <f ca="1">IF(AND($B$294=1,LEN($AD$207)&gt;0),$AD$207,HLOOKUP(INDIRECT(ADDRESS(2,COLUMN())),OFFSET($AT$2,0,0,ROW()-1,40),ROW()-1,FALSE))</f>
        <v>89</v>
      </c>
      <c r="AE175">
        <f ca="1">IF(AND($B$294=1,LEN($AE$207)&gt;0),$AE$207,HLOOKUP(INDIRECT(ADDRESS(2,COLUMN())),OFFSET($AT$2,0,0,ROW()-1,40),ROW()-1,FALSE))</f>
        <v>83</v>
      </c>
      <c r="AF175">
        <f ca="1">IF(AND($B$294=1,LEN($AF$207)&gt;0),$AF$207,HLOOKUP(INDIRECT(ADDRESS(2,COLUMN())),OFFSET($AT$2,0,0,ROW()-1,40),ROW()-1,FALSE))</f>
        <v>83</v>
      </c>
      <c r="AG175">
        <f ca="1">IF(AND($B$294=1,LEN($AG$207)&gt;0),$AG$207,HLOOKUP(INDIRECT(ADDRESS(2,COLUMN())),OFFSET($AT$2,0,0,ROW()-1,40),ROW()-1,FALSE))</f>
        <v>83</v>
      </c>
      <c r="AH175">
        <f ca="1">IF(AND($B$294=1,LEN($AH$207)&gt;0),$AH$207,HLOOKUP(INDIRECT(ADDRESS(2,COLUMN())),OFFSET($AT$2,0,0,ROW()-1,40),ROW()-1,FALSE))</f>
        <v>80</v>
      </c>
      <c r="AI175">
        <f ca="1">IF(AND($B$294=1,LEN($AI$207)&gt;0),$AI$207,HLOOKUP(INDIRECT(ADDRESS(2,COLUMN())),OFFSET($AT$2,0,0,ROW()-1,40),ROW()-1,FALSE))</f>
        <v>74</v>
      </c>
      <c r="AJ175">
        <f ca="1">IF(AND($B$294=1,LEN($AJ$207)&gt;0),$AJ$207,HLOOKUP(INDIRECT(ADDRESS(2,COLUMN())),OFFSET($AT$2,0,0,ROW()-1,40),ROW()-1,FALSE))</f>
        <v>71</v>
      </c>
      <c r="AK175">
        <f ca="1">IF(AND($B$294=1,LEN($AK$207)&gt;0),$AK$207,HLOOKUP(INDIRECT(ADDRESS(2,COLUMN())),OFFSET($AT$2,0,0,ROW()-1,40),ROW()-1,FALSE))</f>
        <v>92</v>
      </c>
      <c r="AL175">
        <f ca="1">IF(AND($B$294=1,LEN($AL$207)&gt;0),$AL$207,HLOOKUP(INDIRECT(ADDRESS(2,COLUMN())),OFFSET($AT$2,0,0,ROW()-1,40),ROW()-1,FALSE))</f>
        <v>86</v>
      </c>
      <c r="AM175">
        <f ca="1">IF(AND($B$294=1,LEN($AM$207)&gt;0),$AM$207,HLOOKUP(INDIRECT(ADDRESS(2,COLUMN())),OFFSET($AT$2,0,0,ROW()-1,40),ROW()-1,FALSE))</f>
        <v>92</v>
      </c>
      <c r="AN175">
        <f ca="1">IF(AND($B$294=1,LEN($AN$207)&gt;0),$AN$207,HLOOKUP(INDIRECT(ADDRESS(2,COLUMN())),OFFSET($AT$2,0,0,ROW()-1,40),ROW()-1,FALSE))</f>
        <v>101</v>
      </c>
      <c r="AO175">
        <f ca="1">IF(AND($B$294=1,LEN($AO$207)&gt;0),$AO$207,HLOOKUP(INDIRECT(ADDRESS(2,COLUMN())),OFFSET($AT$2,0,0,ROW()-1,40),ROW()-1,FALSE))</f>
        <v>93</v>
      </c>
      <c r="AP175">
        <f ca="1">IF(AND($B$294=1,LEN($AP$207)&gt;0),$AP$207,HLOOKUP(INDIRECT(ADDRESS(2,COLUMN())),OFFSET($AT$2,0,0,ROW()-1,40),ROW()-1,FALSE))</f>
        <v>98</v>
      </c>
      <c r="AQ175">
        <f ca="1">IF(AND($B$294=1,LEN($AQ$207)&gt;0),$AQ$207,HLOOKUP(INDIRECT(ADDRESS(2,COLUMN())),OFFSET($AT$2,0,0,ROW()-1,40),ROW()-1,FALSE))</f>
        <v>76</v>
      </c>
      <c r="AR175">
        <f ca="1">IF(AND($B$294=1,LEN($AR$207)&gt;0),$AR$207,HLOOKUP(INDIRECT(ADDRESS(2,COLUMN())),OFFSET($AT$2,0,0,ROW()-1,40),ROW()-1,FALSE))</f>
        <v>47</v>
      </c>
      <c r="AS175">
        <f ca="1">IF(AND($B$294=1,LEN($AS$207)&gt;0),$AS$207,HLOOKUP(INDIRECT(ADDRESS(2,COLUMN())),OFFSET($AT$2,0,0,ROW()-1,40),ROW()-1,FALSE))</f>
        <v>69</v>
      </c>
      <c r="AT175" t="str">
        <f>""</f>
        <v/>
      </c>
      <c r="AU175" t="str">
        <f>""</f>
        <v/>
      </c>
      <c r="AV175" t="str">
        <f>""</f>
        <v/>
      </c>
      <c r="AW175" t="str">
        <f>""</f>
        <v/>
      </c>
      <c r="AX175" t="str">
        <f>""</f>
        <v/>
      </c>
      <c r="AY175" t="str">
        <f>""</f>
        <v/>
      </c>
      <c r="AZ175" t="str">
        <f>""</f>
        <v/>
      </c>
      <c r="BA175" t="str">
        <f>""</f>
        <v/>
      </c>
      <c r="BB175" t="str">
        <f>""</f>
        <v/>
      </c>
      <c r="BC175" t="str">
        <f>""</f>
        <v/>
      </c>
      <c r="BD175">
        <f>222</f>
        <v>222</v>
      </c>
      <c r="BE175">
        <f>165</f>
        <v>165</v>
      </c>
      <c r="BF175">
        <f>154</f>
        <v>154</v>
      </c>
      <c r="BG175">
        <f>146</f>
        <v>146</v>
      </c>
      <c r="BH175">
        <f>119</f>
        <v>119</v>
      </c>
      <c r="BI175">
        <f>102</f>
        <v>102</v>
      </c>
      <c r="BJ175">
        <f>116</f>
        <v>116</v>
      </c>
      <c r="BK175">
        <f>134</f>
        <v>134</v>
      </c>
      <c r="BL175">
        <f>131</f>
        <v>131</v>
      </c>
      <c r="BM175">
        <f>116</f>
        <v>116</v>
      </c>
      <c r="BN175">
        <f>89</f>
        <v>89</v>
      </c>
      <c r="BO175">
        <f>127</f>
        <v>127</v>
      </c>
      <c r="BP175">
        <f>118</f>
        <v>118</v>
      </c>
      <c r="BQ175">
        <f>95</f>
        <v>95</v>
      </c>
      <c r="BR175">
        <f>89</f>
        <v>89</v>
      </c>
      <c r="BS175">
        <f>83</f>
        <v>83</v>
      </c>
      <c r="BT175">
        <f>83</f>
        <v>83</v>
      </c>
      <c r="BU175">
        <f>83</f>
        <v>83</v>
      </c>
      <c r="BV175">
        <f>80</f>
        <v>80</v>
      </c>
      <c r="BW175">
        <f>74</f>
        <v>74</v>
      </c>
      <c r="BX175">
        <f>71</f>
        <v>71</v>
      </c>
      <c r="BY175">
        <f>92</f>
        <v>92</v>
      </c>
      <c r="BZ175">
        <f>86</f>
        <v>86</v>
      </c>
      <c r="CA175">
        <f>92</f>
        <v>92</v>
      </c>
      <c r="CB175">
        <f>101</f>
        <v>101</v>
      </c>
      <c r="CC175">
        <f>93</f>
        <v>93</v>
      </c>
      <c r="CD175">
        <f>98</f>
        <v>98</v>
      </c>
      <c r="CE175">
        <f>76</f>
        <v>76</v>
      </c>
      <c r="CF175">
        <f>47</f>
        <v>47</v>
      </c>
      <c r="CG175">
        <f>69</f>
        <v>69</v>
      </c>
    </row>
    <row r="176" spans="1:85" x14ac:dyDescent="0.25">
      <c r="A176" t="str">
        <f>"    Other"</f>
        <v xml:space="preserve">    Other</v>
      </c>
      <c r="B176" t="str">
        <f>""</f>
        <v/>
      </c>
      <c r="E176" t="str">
        <f t="shared" si="5"/>
        <v>Expression</v>
      </c>
      <c r="F176">
        <f ca="1">IF(AND($B$294=1,LEN($F$186) * LEN($F$208)&gt;0),$F$186+$F$208,HLOOKUP(INDIRECT(ADDRESS(2,COLUMN())),OFFSET($AT$2,0,0,ROW()-1,40),ROW()-1,FALSE))</f>
        <v>392</v>
      </c>
      <c r="G176">
        <f ca="1">IF(AND($B$294=1,LEN($G$186) * LEN($G$208)&gt;0),$G$186+$G$208,HLOOKUP(INDIRECT(ADDRESS(2,COLUMN())),OFFSET($AT$2,0,0,ROW()-1,40),ROW()-1,FALSE))</f>
        <v>521</v>
      </c>
      <c r="H176">
        <f ca="1">IF(AND($B$294=1,LEN($H$186) * LEN($H$208)&gt;0),$H$186+$H$208,HLOOKUP(INDIRECT(ADDRESS(2,COLUMN())),OFFSET($AT$2,0,0,ROW()-1,40),ROW()-1,FALSE))</f>
        <v>350</v>
      </c>
      <c r="I176">
        <f ca="1">IF(AND($B$294=1,LEN($I$186) * LEN($I$208)&gt;0),$I$186+$I$208,HLOOKUP(INDIRECT(ADDRESS(2,COLUMN())),OFFSET($AT$2,0,0,ROW()-1,40),ROW()-1,FALSE))</f>
        <v>375</v>
      </c>
      <c r="J176">
        <f ca="1">IF(AND($B$294=1,LEN($J$186) * LEN($J$208)&gt;0),$J$186+$J$208,HLOOKUP(INDIRECT(ADDRESS(2,COLUMN())),OFFSET($AT$2,0,0,ROW()-1,40),ROW()-1,FALSE))</f>
        <v>507</v>
      </c>
      <c r="K176">
        <f ca="1">IF(AND($B$294=1,LEN($K$186) * LEN($K$208)&gt;0),$K$186+$K$208,HLOOKUP(INDIRECT(ADDRESS(2,COLUMN())),OFFSET($AT$2,0,0,ROW()-1,40),ROW()-1,FALSE))</f>
        <v>428</v>
      </c>
      <c r="L176">
        <f ca="1">IF(AND($B$294=1,LEN($L$186) * LEN($L$208)&gt;0),$L$186+$L$208,HLOOKUP(INDIRECT(ADDRESS(2,COLUMN())),OFFSET($AT$2,0,0,ROW()-1,40),ROW()-1,FALSE))</f>
        <v>397</v>
      </c>
      <c r="M176">
        <f ca="1">IF(AND($B$294=1,LEN($M$186) * LEN($M$208)&gt;0),$M$186+$M$208,HLOOKUP(INDIRECT(ADDRESS(2,COLUMN())),OFFSET($AT$2,0,0,ROW()-1,40),ROW()-1,FALSE))</f>
        <v>442</v>
      </c>
      <c r="N176">
        <f ca="1">IF(AND($B$294=1,LEN($N$186) * LEN($N$208)&gt;0),$N$186+$N$208,HLOOKUP(INDIRECT(ADDRESS(2,COLUMN())),OFFSET($AT$2,0,0,ROW()-1,40),ROW()-1,FALSE))</f>
        <v>236</v>
      </c>
      <c r="O176">
        <f ca="1">IF(AND($B$294=1,LEN($O$186) * LEN($O$208)&gt;0),$O$186+$O$208,HLOOKUP(INDIRECT(ADDRESS(2,COLUMN())),OFFSET($AT$2,0,0,ROW()-1,40),ROW()-1,FALSE))</f>
        <v>347</v>
      </c>
      <c r="P176">
        <f ca="1">IF(AND($B$294=1,LEN($P$186) * LEN($P$208)&gt;0),$P$186+$P$208,HLOOKUP(INDIRECT(ADDRESS(2,COLUMN())),OFFSET($AT$2,0,0,ROW()-1,40),ROW()-1,FALSE))</f>
        <v>8</v>
      </c>
      <c r="Q176">
        <f ca="1">IF(AND($B$294=1,LEN($Q$186) * LEN($Q$208)&gt;0),$Q$186+$Q$208,HLOOKUP(INDIRECT(ADDRESS(2,COLUMN())),OFFSET($AT$2,0,0,ROW()-1,40),ROW()-1,FALSE))</f>
        <v>10</v>
      </c>
      <c r="R176">
        <f ca="1">IF(AND($B$294=1,LEN($R$186) * LEN($R$208)&gt;0),$R$186+$R$208,HLOOKUP(INDIRECT(ADDRESS(2,COLUMN())),OFFSET($AT$2,0,0,ROW()-1,40),ROW()-1,FALSE))</f>
        <v>3</v>
      </c>
      <c r="S176">
        <f ca="1">IF(AND($B$294=1,LEN($S$186) * LEN($S$208)&gt;0),$S$186+$S$208,HLOOKUP(INDIRECT(ADDRESS(2,COLUMN())),OFFSET($AT$2,0,0,ROW()-1,40),ROW()-1,FALSE))</f>
        <v>24</v>
      </c>
      <c r="T176">
        <f ca="1">IF(AND($B$294=1,LEN($T$186) * LEN($T$208)&gt;0),$T$186+$T$208,HLOOKUP(INDIRECT(ADDRESS(2,COLUMN())),OFFSET($AT$2,0,0,ROW()-1,40),ROW()-1,FALSE))</f>
        <v>18</v>
      </c>
      <c r="U176">
        <f ca="1">IF(AND($B$294=1,LEN($U$186) * LEN($U$208)&gt;0),$U$186+$U$208,HLOOKUP(INDIRECT(ADDRESS(2,COLUMN())),OFFSET($AT$2,0,0,ROW()-1,40),ROW()-1,FALSE))</f>
        <v>11</v>
      </c>
      <c r="V176">
        <f ca="1">IF(AND($B$294=1,LEN($V$186) * LEN($V$208)&gt;0),$V$186+$V$208,HLOOKUP(INDIRECT(ADDRESS(2,COLUMN())),OFFSET($AT$2,0,0,ROW()-1,40),ROW()-1,FALSE))</f>
        <v>30</v>
      </c>
      <c r="W176">
        <f ca="1">IF(AND($B$294=1,LEN($W$186) * LEN($W$208)&gt;0),$W$186+$W$208,HLOOKUP(INDIRECT(ADDRESS(2,COLUMN())),OFFSET($AT$2,0,0,ROW()-1,40),ROW()-1,FALSE))</f>
        <v>9</v>
      </c>
      <c r="X176">
        <f ca="1">IF(AND($B$294=1,LEN($X$186) * LEN($X$208)&gt;0),$X$186+$X$208,HLOOKUP(INDIRECT(ADDRESS(2,COLUMN())),OFFSET($AT$2,0,0,ROW()-1,40),ROW()-1,FALSE))</f>
        <v>7</v>
      </c>
      <c r="Y176">
        <f ca="1">IF(AND($B$294=1,LEN($Y$186) * LEN($Y$208)&gt;0),$Y$186+$Y$208,HLOOKUP(INDIRECT(ADDRESS(2,COLUMN())),OFFSET($AT$2,0,0,ROW()-1,40),ROW()-1,FALSE))</f>
        <v>4</v>
      </c>
      <c r="Z176">
        <f ca="1">IF(AND($B$294=1,LEN($Z$186) * LEN($Z$208)&gt;0),$Z$186+$Z$208,HLOOKUP(INDIRECT(ADDRESS(2,COLUMN())),OFFSET($AT$2,0,0,ROW()-1,40),ROW()-1,FALSE))</f>
        <v>0</v>
      </c>
      <c r="AA176">
        <f ca="1">IF(AND($B$294=1,LEN($AA$186) * LEN($AA$208)&gt;0),$AA$186+$AA$208,HLOOKUP(INDIRECT(ADDRESS(2,COLUMN())),OFFSET($AT$2,0,0,ROW()-1,40),ROW()-1,FALSE))</f>
        <v>4</v>
      </c>
      <c r="AB176">
        <f ca="1">IF(AND($B$294=1,LEN($AB$186) * LEN($AB$208)&gt;0),$AB$186+$AB$208,HLOOKUP(INDIRECT(ADDRESS(2,COLUMN())),OFFSET($AT$2,0,0,ROW()-1,40),ROW()-1,FALSE))</f>
        <v>3</v>
      </c>
      <c r="AC176">
        <f ca="1">IF(AND($B$294=1,LEN($AC$186) * LEN($AC$208)&gt;0),$AC$186+$AC$208,HLOOKUP(INDIRECT(ADDRESS(2,COLUMN())),OFFSET($AT$2,0,0,ROW()-1,40),ROW()-1,FALSE))</f>
        <v>2</v>
      </c>
      <c r="AD176">
        <f ca="1">IF(AND($B$294=1,LEN($AD$186) * LEN($AD$208)&gt;0),$AD$186+$AD$208,HLOOKUP(INDIRECT(ADDRESS(2,COLUMN())),OFFSET($AT$2,0,0,ROW()-1,40),ROW()-1,FALSE))</f>
        <v>5</v>
      </c>
      <c r="AE176">
        <f ca="1">IF(AND($B$294=1,LEN($AE$186) * LEN($AE$208)&gt;0),$AE$186+$AE$208,HLOOKUP(INDIRECT(ADDRESS(2,COLUMN())),OFFSET($AT$2,0,0,ROW()-1,40),ROW()-1,FALSE))</f>
        <v>4</v>
      </c>
      <c r="AF176">
        <f ca="1">IF(AND($B$294=1,LEN($AF$186) * LEN($AF$208)&gt;0),$AF$186+$AF$208,HLOOKUP(INDIRECT(ADDRESS(2,COLUMN())),OFFSET($AT$2,0,0,ROW()-1,40),ROW()-1,FALSE))</f>
        <v>15</v>
      </c>
      <c r="AG176">
        <f ca="1">IF(AND($B$294=1,LEN($AG$186) * LEN($AG$208)&gt;0),$AG$186+$AG$208,HLOOKUP(INDIRECT(ADDRESS(2,COLUMN())),OFFSET($AT$2,0,0,ROW()-1,40),ROW()-1,FALSE))</f>
        <v>13</v>
      </c>
      <c r="AH176">
        <f ca="1">IF(AND($B$294=1,LEN($AH$186) * LEN($AH$208)&gt;0),$AH$186+$AH$208,HLOOKUP(INDIRECT(ADDRESS(2,COLUMN())),OFFSET($AT$2,0,0,ROW()-1,40),ROW()-1,FALSE))</f>
        <v>15</v>
      </c>
      <c r="AI176">
        <f ca="1">IF(AND($B$294=1,LEN($AI$186) * LEN($AI$208)&gt;0),$AI$186+$AI$208,HLOOKUP(INDIRECT(ADDRESS(2,COLUMN())),OFFSET($AT$2,0,0,ROW()-1,40),ROW()-1,FALSE))</f>
        <v>4</v>
      </c>
      <c r="AJ176">
        <f ca="1">IF(AND($B$294=1,LEN($AJ$186) * LEN($AJ$208)&gt;0),$AJ$186+$AJ$208,HLOOKUP(INDIRECT(ADDRESS(2,COLUMN())),OFFSET($AT$2,0,0,ROW()-1,40),ROW()-1,FALSE))</f>
        <v>6</v>
      </c>
      <c r="AK176">
        <f ca="1">IF(AND($B$294=1,LEN($AK$186) * LEN($AK$208)&gt;0),$AK$186+$AK$208,HLOOKUP(INDIRECT(ADDRESS(2,COLUMN())),OFFSET($AT$2,0,0,ROW()-1,40),ROW()-1,FALSE))</f>
        <v>1</v>
      </c>
      <c r="AL176">
        <f ca="1">IF(AND($B$294=1,LEN($AL$186) * LEN($AL$208)&gt;0),$AL$186+$AL$208,HLOOKUP(INDIRECT(ADDRESS(2,COLUMN())),OFFSET($AT$2,0,0,ROW()-1,40),ROW()-1,FALSE))</f>
        <v>1</v>
      </c>
      <c r="AM176">
        <f ca="1">IF(AND($B$294=1,LEN($AM$186) * LEN($AM$208)&gt;0),$AM$186+$AM$208,HLOOKUP(INDIRECT(ADDRESS(2,COLUMN())),OFFSET($AT$2,0,0,ROW()-1,40),ROW()-1,FALSE))</f>
        <v>3</v>
      </c>
      <c r="AN176">
        <f ca="1">IF(AND($B$294=1,LEN($AN$186) * LEN($AN$208)&gt;0),$AN$186+$AN$208,HLOOKUP(INDIRECT(ADDRESS(2,COLUMN())),OFFSET($AT$2,0,0,ROW()-1,40),ROW()-1,FALSE))</f>
        <v>1</v>
      </c>
      <c r="AO176">
        <f ca="1">IF(AND($B$294=1,LEN($AO$186) * LEN($AO$208)&gt;0),$AO$186+$AO$208,HLOOKUP(INDIRECT(ADDRESS(2,COLUMN())),OFFSET($AT$2,0,0,ROW()-1,40),ROW()-1,FALSE))</f>
        <v>7</v>
      </c>
      <c r="AP176">
        <f ca="1">IF(AND($B$294=1,LEN($AP$186) * LEN($AP$208)&gt;0),$AP$186+$AP$208,HLOOKUP(INDIRECT(ADDRESS(2,COLUMN())),OFFSET($AT$2,0,0,ROW()-1,40),ROW()-1,FALSE))</f>
        <v>3</v>
      </c>
      <c r="AQ176">
        <f ca="1">IF(AND($B$294=1,LEN($AQ$186) * LEN($AQ$208)&gt;0),$AQ$186+$AQ$208,HLOOKUP(INDIRECT(ADDRESS(2,COLUMN())),OFFSET($AT$2,0,0,ROW()-1,40),ROW()-1,FALSE))</f>
        <v>5</v>
      </c>
      <c r="AR176">
        <f ca="1">IF(AND($B$294=1,LEN($AR$186) * LEN($AR$208)&gt;0),$AR$186+$AR$208,HLOOKUP(INDIRECT(ADDRESS(2,COLUMN())),OFFSET($AT$2,0,0,ROW()-1,40),ROW()-1,FALSE))</f>
        <v>11</v>
      </c>
      <c r="AS176">
        <f ca="1">IF(AND($B$294=1,LEN($AS$186) * LEN($AS$208)&gt;0),$AS$186+$AS$208,HLOOKUP(INDIRECT(ADDRESS(2,COLUMN())),OFFSET($AT$2,0,0,ROW()-1,40),ROW()-1,FALSE))</f>
        <v>12</v>
      </c>
      <c r="AT176">
        <f>392</f>
        <v>392</v>
      </c>
      <c r="AU176">
        <f>521</f>
        <v>521</v>
      </c>
      <c r="AV176">
        <f>350</f>
        <v>350</v>
      </c>
      <c r="AW176">
        <f>375</f>
        <v>375</v>
      </c>
      <c r="AX176">
        <f>507</f>
        <v>507</v>
      </c>
      <c r="AY176">
        <f>428</f>
        <v>428</v>
      </c>
      <c r="AZ176">
        <f>397</f>
        <v>397</v>
      </c>
      <c r="BA176">
        <f>442</f>
        <v>442</v>
      </c>
      <c r="BB176">
        <f>236</f>
        <v>236</v>
      </c>
      <c r="BC176">
        <f>347</f>
        <v>347</v>
      </c>
      <c r="BD176">
        <f>8</f>
        <v>8</v>
      </c>
      <c r="BE176">
        <f>10</f>
        <v>10</v>
      </c>
      <c r="BF176">
        <f>3</f>
        <v>3</v>
      </c>
      <c r="BG176">
        <f>24</f>
        <v>24</v>
      </c>
      <c r="BH176">
        <f>18</f>
        <v>18</v>
      </c>
      <c r="BI176">
        <f>11</f>
        <v>11</v>
      </c>
      <c r="BJ176">
        <f>30</f>
        <v>30</v>
      </c>
      <c r="BK176">
        <f>9</f>
        <v>9</v>
      </c>
      <c r="BL176">
        <f>7</f>
        <v>7</v>
      </c>
      <c r="BM176">
        <f>4</f>
        <v>4</v>
      </c>
      <c r="BN176">
        <f>0</f>
        <v>0</v>
      </c>
      <c r="BO176">
        <f>4</f>
        <v>4</v>
      </c>
      <c r="BP176">
        <f>3</f>
        <v>3</v>
      </c>
      <c r="BQ176">
        <f>2</f>
        <v>2</v>
      </c>
      <c r="BR176">
        <f>5</f>
        <v>5</v>
      </c>
      <c r="BS176">
        <f>4</f>
        <v>4</v>
      </c>
      <c r="BT176">
        <f>15</f>
        <v>15</v>
      </c>
      <c r="BU176">
        <f>13</f>
        <v>13</v>
      </c>
      <c r="BV176">
        <f>15</f>
        <v>15</v>
      </c>
      <c r="BW176">
        <f>4</f>
        <v>4</v>
      </c>
      <c r="BX176">
        <f>6</f>
        <v>6</v>
      </c>
      <c r="BY176">
        <f>1</f>
        <v>1</v>
      </c>
      <c r="BZ176">
        <f>1</f>
        <v>1</v>
      </c>
      <c r="CA176">
        <f>3</f>
        <v>3</v>
      </c>
      <c r="CB176">
        <f>1</f>
        <v>1</v>
      </c>
      <c r="CC176">
        <f>7</f>
        <v>7</v>
      </c>
      <c r="CD176">
        <f>3</f>
        <v>3</v>
      </c>
      <c r="CE176">
        <f>5</f>
        <v>5</v>
      </c>
      <c r="CF176">
        <f>11</f>
        <v>11</v>
      </c>
      <c r="CG176">
        <f>12</f>
        <v>12</v>
      </c>
    </row>
    <row r="177" spans="1:85" x14ac:dyDescent="0.25">
      <c r="A177" t="str">
        <f>"United States (Class 8)"</f>
        <v>United States (Class 8)</v>
      </c>
      <c r="B177" t="str">
        <f>"TRCKUS8S Index"</f>
        <v>TRCKUS8S Index</v>
      </c>
      <c r="C177" t="str">
        <f>"PR005"</f>
        <v>PR005</v>
      </c>
      <c r="D177" t="str">
        <f>"PX_LAST"</f>
        <v>PX_LAST</v>
      </c>
      <c r="E177" t="str">
        <f t="shared" ref="E177:E185" si="6">"Dynamic"</f>
        <v>Dynamic</v>
      </c>
      <c r="F177">
        <f ca="1">IF(AND(ISNUMBER($F$297),$B$294=1),$F$297,HLOOKUP(INDIRECT(ADDRESS(2,COLUMN())),OFFSET($AT$2,0,0,ROW()-1,40),ROW()-1,FALSE))</f>
        <v>17928</v>
      </c>
      <c r="G177">
        <f ca="1">IF(AND(ISNUMBER($G$297),$B$294=1),$G$297,HLOOKUP(INDIRECT(ADDRESS(2,COLUMN())),OFFSET($AT$2,0,0,ROW()-1,40),ROW()-1,FALSE))</f>
        <v>17667</v>
      </c>
      <c r="H177">
        <f ca="1">IF(AND(ISNUMBER($H$297),$B$294=1),$H$297,HLOOKUP(INDIRECT(ADDRESS(2,COLUMN())),OFFSET($AT$2,0,0,ROW()-1,40),ROW()-1,FALSE))</f>
        <v>17166</v>
      </c>
      <c r="I177">
        <f ca="1">IF(AND(ISNUMBER($I$297),$B$294=1),$I$297,HLOOKUP(INDIRECT(ADDRESS(2,COLUMN())),OFFSET($AT$2,0,0,ROW()-1,40),ROW()-1,FALSE))</f>
        <v>15317</v>
      </c>
      <c r="J177">
        <f ca="1">IF(AND(ISNUMBER($J$297),$B$294=1),$J$297,HLOOKUP(INDIRECT(ADDRESS(2,COLUMN())),OFFSET($AT$2,0,0,ROW()-1,40),ROW()-1,FALSE))</f>
        <v>17310</v>
      </c>
      <c r="K177">
        <f ca="1">IF(AND(ISNUMBER($K$297),$B$294=1),$K$297,HLOOKUP(INDIRECT(ADDRESS(2,COLUMN())),OFFSET($AT$2,0,0,ROW()-1,40),ROW()-1,FALSE))</f>
        <v>16248</v>
      </c>
      <c r="L177">
        <f ca="1">IF(AND(ISNUMBER($L$297),$B$294=1),$L$297,HLOOKUP(INDIRECT(ADDRESS(2,COLUMN())),OFFSET($AT$2,0,0,ROW()-1,40),ROW()-1,FALSE))</f>
        <v>13836</v>
      </c>
      <c r="M177">
        <f ca="1">IF(AND(ISNUMBER($M$297),$B$294=1),$M$297,HLOOKUP(INDIRECT(ADDRESS(2,COLUMN())),OFFSET($AT$2,0,0,ROW()-1,40),ROW()-1,FALSE))</f>
        <v>14793</v>
      </c>
      <c r="N177">
        <f ca="1">IF(AND(ISNUMBER($N$297),$B$294=1),$N$297,HLOOKUP(INDIRECT(ADDRESS(2,COLUMN())),OFFSET($AT$2,0,0,ROW()-1,40),ROW()-1,FALSE))</f>
        <v>11200</v>
      </c>
      <c r="O177">
        <f ca="1">IF(AND(ISNUMBER($O$297),$B$294=1),$O$297,HLOOKUP(INDIRECT(ADDRESS(2,COLUMN())),OFFSET($AT$2,0,0,ROW()-1,40),ROW()-1,FALSE))</f>
        <v>10944</v>
      </c>
      <c r="P177">
        <f ca="1">IF(AND(ISNUMBER($P$297),$B$294=1),$P$297,HLOOKUP(INDIRECT(ADDRESS(2,COLUMN())),OFFSET($AT$2,0,0,ROW()-1,40),ROW()-1,FALSE))</f>
        <v>15629</v>
      </c>
      <c r="Q177">
        <f ca="1">IF(AND(ISNUMBER($Q$297),$B$294=1),$Q$297,HLOOKUP(INDIRECT(ADDRESS(2,COLUMN())),OFFSET($AT$2,0,0,ROW()-1,40),ROW()-1,FALSE))</f>
        <v>13943</v>
      </c>
      <c r="R177">
        <f ca="1">IF(AND(ISNUMBER($R$297),$B$294=1),$R$297,HLOOKUP(INDIRECT(ADDRESS(2,COLUMN())),OFFSET($AT$2,0,0,ROW()-1,40),ROW()-1,FALSE))</f>
        <v>13618</v>
      </c>
      <c r="S177">
        <f ca="1">IF(AND(ISNUMBER($S$297),$B$294=1),$S$297,HLOOKUP(INDIRECT(ADDRESS(2,COLUMN())),OFFSET($AT$2,0,0,ROW()-1,40),ROW()-1,FALSE))</f>
        <v>14968</v>
      </c>
      <c r="T177">
        <f ca="1">IF(AND(ISNUMBER($T$297),$B$294=1),$T$297,HLOOKUP(INDIRECT(ADDRESS(2,COLUMN())),OFFSET($AT$2,0,0,ROW()-1,40),ROW()-1,FALSE))</f>
        <v>16262</v>
      </c>
      <c r="U177">
        <f ca="1">IF(AND(ISNUMBER($U$297),$B$294=1),$U$297,HLOOKUP(INDIRECT(ADDRESS(2,COLUMN())),OFFSET($AT$2,0,0,ROW()-1,40),ROW()-1,FALSE))</f>
        <v>14085</v>
      </c>
      <c r="V177">
        <f ca="1">IF(AND(ISNUMBER($V$297),$B$294=1),$V$297,HLOOKUP(INDIRECT(ADDRESS(2,COLUMN())),OFFSET($AT$2,0,0,ROW()-1,40),ROW()-1,FALSE))</f>
        <v>18354</v>
      </c>
      <c r="W177">
        <f ca="1">IF(AND(ISNUMBER($W$297),$B$294=1),$W$297,HLOOKUP(INDIRECT(ADDRESS(2,COLUMN())),OFFSET($AT$2,0,0,ROW()-1,40),ROW()-1,FALSE))</f>
        <v>17312</v>
      </c>
      <c r="X177">
        <f ca="1">IF(AND(ISNUMBER($X$297),$B$294=1),$X$297,HLOOKUP(INDIRECT(ADDRESS(2,COLUMN())),OFFSET($AT$2,0,0,ROW()-1,40),ROW()-1,FALSE))</f>
        <v>16633</v>
      </c>
      <c r="Y177">
        <f ca="1">IF(AND(ISNUMBER($Y$297),$B$294=1),$Y$297,HLOOKUP(INDIRECT(ADDRESS(2,COLUMN())),OFFSET($AT$2,0,0,ROW()-1,40),ROW()-1,FALSE))</f>
        <v>20034</v>
      </c>
      <c r="Z177">
        <f ca="1">IF(AND(ISNUMBER($Z$297),$B$294=1),$Z$297,HLOOKUP(INDIRECT(ADDRESS(2,COLUMN())),OFFSET($AT$2,0,0,ROW()-1,40),ROW()-1,FALSE))</f>
        <v>15876</v>
      </c>
      <c r="AA177">
        <f ca="1">IF(AND(ISNUMBER($AA$297),$B$294=1),$AA$297,HLOOKUP(INDIRECT(ADDRESS(2,COLUMN())),OFFSET($AT$2,0,0,ROW()-1,40),ROW()-1,FALSE))</f>
        <v>15949</v>
      </c>
      <c r="AB177">
        <f ca="1">IF(AND(ISNUMBER($AB$297),$B$294=1),$AB$297,HLOOKUP(INDIRECT(ADDRESS(2,COLUMN())),OFFSET($AT$2,0,0,ROW()-1,40),ROW()-1,FALSE))</f>
        <v>20773</v>
      </c>
      <c r="AC177">
        <f ca="1">IF(AND(ISNUMBER($AC$297),$B$294=1),$AC$297,HLOOKUP(INDIRECT(ADDRESS(2,COLUMN())),OFFSET($AT$2,0,0,ROW()-1,40),ROW()-1,FALSE))</f>
        <v>19204</v>
      </c>
      <c r="AD177">
        <f ca="1">IF(AND(ISNUMBER($AD$297),$B$294=1),$AD$297,HLOOKUP(INDIRECT(ADDRESS(2,COLUMN())),OFFSET($AT$2,0,0,ROW()-1,40),ROW()-1,FALSE))</f>
        <v>19256</v>
      </c>
      <c r="AE177">
        <f ca="1">IF(AND(ISNUMBER($AE$297),$B$294=1),$AE$297,HLOOKUP(INDIRECT(ADDRESS(2,COLUMN())),OFFSET($AT$2,0,0,ROW()-1,40),ROW()-1,FALSE))</f>
        <v>20978</v>
      </c>
      <c r="AF177">
        <f ca="1">IF(AND(ISNUMBER($AF$297),$B$294=1),$AF$297,HLOOKUP(INDIRECT(ADDRESS(2,COLUMN())),OFFSET($AT$2,0,0,ROW()-1,40),ROW()-1,FALSE))</f>
        <v>21999</v>
      </c>
      <c r="AG177">
        <f ca="1">IF(AND(ISNUMBER($AG$297),$B$294=1),$AG$297,HLOOKUP(INDIRECT(ADDRESS(2,COLUMN())),OFFSET($AT$2,0,0,ROW()-1,40),ROW()-1,FALSE))</f>
        <v>23392</v>
      </c>
      <c r="AH177">
        <f ca="1">IF(AND(ISNUMBER($AH$297),$B$294=1),$AH$297,HLOOKUP(INDIRECT(ADDRESS(2,COLUMN())),OFFSET($AT$2,0,0,ROW()-1,40),ROW()-1,FALSE))</f>
        <v>25366</v>
      </c>
      <c r="AI177">
        <f ca="1">IF(AND(ISNUMBER($AI$297),$B$294=1),$AI$297,HLOOKUP(INDIRECT(ADDRESS(2,COLUMN())),OFFSET($AT$2,0,0,ROW()-1,40),ROW()-1,FALSE))</f>
        <v>21506</v>
      </c>
      <c r="AJ177">
        <f ca="1">IF(AND(ISNUMBER($AJ$297),$B$294=1),$AJ$297,HLOOKUP(INDIRECT(ADDRESS(2,COLUMN())),OFFSET($AT$2,0,0,ROW()-1,40),ROW()-1,FALSE))</f>
        <v>20509</v>
      </c>
      <c r="AK177">
        <f ca="1">IF(AND(ISNUMBER($AK$297),$B$294=1),$AK$297,HLOOKUP(INDIRECT(ADDRESS(2,COLUMN())),OFFSET($AT$2,0,0,ROW()-1,40),ROW()-1,FALSE))</f>
        <v>20628</v>
      </c>
      <c r="AL177">
        <f ca="1">IF(AND(ISNUMBER($AL$297),$B$294=1),$AL$297,HLOOKUP(INDIRECT(ADDRESS(2,COLUMN())),OFFSET($AT$2,0,0,ROW()-1,40),ROW()-1,FALSE))</f>
        <v>17820</v>
      </c>
      <c r="AM177">
        <f ca="1">IF(AND(ISNUMBER($AM$297),$B$294=1),$AM$297,HLOOKUP(INDIRECT(ADDRESS(2,COLUMN())),OFFSET($AT$2,0,0,ROW()-1,40),ROW()-1,FALSE))</f>
        <v>17373</v>
      </c>
      <c r="AN177">
        <f ca="1">IF(AND(ISNUMBER($AN$297),$B$294=1),$AN$297,HLOOKUP(INDIRECT(ADDRESS(2,COLUMN())),OFFSET($AT$2,0,0,ROW()-1,40),ROW()-1,FALSE))</f>
        <v>23379</v>
      </c>
      <c r="AO177">
        <f ca="1">IF(AND(ISNUMBER($AO$297),$B$294=1),$AO$297,HLOOKUP(INDIRECT(ADDRESS(2,COLUMN())),OFFSET($AT$2,0,0,ROW()-1,40),ROW()-1,FALSE))</f>
        <v>16706</v>
      </c>
      <c r="AP177">
        <f ca="1">IF(AND(ISNUMBER($AP$297),$B$294=1),$AP$297,HLOOKUP(INDIRECT(ADDRESS(2,COLUMN())),OFFSET($AT$2,0,0,ROW()-1,40),ROW()-1,FALSE))</f>
        <v>22032</v>
      </c>
      <c r="AQ177">
        <f ca="1">IF(AND(ISNUMBER($AQ$297),$B$294=1),$AQ$297,HLOOKUP(INDIRECT(ADDRESS(2,COLUMN())),OFFSET($AT$2,0,0,ROW()-1,40),ROW()-1,FALSE))</f>
        <v>20078</v>
      </c>
      <c r="AR177">
        <f ca="1">IF(AND(ISNUMBER($AR$297),$B$294=1),$AR$297,HLOOKUP(INDIRECT(ADDRESS(2,COLUMN())),OFFSET($AT$2,0,0,ROW()-1,40),ROW()-1,FALSE))</f>
        <v>19627</v>
      </c>
      <c r="AS177">
        <f ca="1">IF(AND(ISNUMBER($AS$297),$B$294=1),$AS$297,HLOOKUP(INDIRECT(ADDRESS(2,COLUMN())),OFFSET($AT$2,0,0,ROW()-1,40),ROW()-1,FALSE))</f>
        <v>18793</v>
      </c>
      <c r="AT177">
        <f>17928</f>
        <v>17928</v>
      </c>
      <c r="AU177">
        <f>17667</f>
        <v>17667</v>
      </c>
      <c r="AV177">
        <f>17166</f>
        <v>17166</v>
      </c>
      <c r="AW177">
        <f>15317</f>
        <v>15317</v>
      </c>
      <c r="AX177">
        <f>17310</f>
        <v>17310</v>
      </c>
      <c r="AY177">
        <f>16248</f>
        <v>16248</v>
      </c>
      <c r="AZ177">
        <f>13836</f>
        <v>13836</v>
      </c>
      <c r="BA177">
        <f>14793</f>
        <v>14793</v>
      </c>
      <c r="BB177">
        <f>11200</f>
        <v>11200</v>
      </c>
      <c r="BC177">
        <f>10944</f>
        <v>10944</v>
      </c>
      <c r="BD177">
        <f>15629</f>
        <v>15629</v>
      </c>
      <c r="BE177">
        <f>13943</f>
        <v>13943</v>
      </c>
      <c r="BF177">
        <f>13618</f>
        <v>13618</v>
      </c>
      <c r="BG177">
        <f>14968</f>
        <v>14968</v>
      </c>
      <c r="BH177">
        <f>16262</f>
        <v>16262</v>
      </c>
      <c r="BI177">
        <f>14085</f>
        <v>14085</v>
      </c>
      <c r="BJ177">
        <f>18354</f>
        <v>18354</v>
      </c>
      <c r="BK177">
        <f>17312</f>
        <v>17312</v>
      </c>
      <c r="BL177">
        <f>16633</f>
        <v>16633</v>
      </c>
      <c r="BM177">
        <f>20034</f>
        <v>20034</v>
      </c>
      <c r="BN177">
        <f>15876</f>
        <v>15876</v>
      </c>
      <c r="BO177">
        <f>15949</f>
        <v>15949</v>
      </c>
      <c r="BP177">
        <f>20773</f>
        <v>20773</v>
      </c>
      <c r="BQ177">
        <f>19204</f>
        <v>19204</v>
      </c>
      <c r="BR177">
        <f>19256</f>
        <v>19256</v>
      </c>
      <c r="BS177">
        <f>20978</f>
        <v>20978</v>
      </c>
      <c r="BT177">
        <f>21999</f>
        <v>21999</v>
      </c>
      <c r="BU177">
        <f>23392</f>
        <v>23392</v>
      </c>
      <c r="BV177">
        <f>25366</f>
        <v>25366</v>
      </c>
      <c r="BW177">
        <f>21506</f>
        <v>21506</v>
      </c>
      <c r="BX177">
        <f>20509</f>
        <v>20509</v>
      </c>
      <c r="BY177">
        <f>20628</f>
        <v>20628</v>
      </c>
      <c r="BZ177">
        <f>17820</f>
        <v>17820</v>
      </c>
      <c r="CA177">
        <f>17373</f>
        <v>17373</v>
      </c>
      <c r="CB177">
        <f>23379</f>
        <v>23379</v>
      </c>
      <c r="CC177">
        <f>16706</f>
        <v>16706</v>
      </c>
      <c r="CD177">
        <f>22032</f>
        <v>22032</v>
      </c>
      <c r="CE177">
        <f>20078</f>
        <v>20078</v>
      </c>
      <c r="CF177">
        <f>19627</f>
        <v>19627</v>
      </c>
      <c r="CG177">
        <f>18793</f>
        <v>18793</v>
      </c>
    </row>
    <row r="178" spans="1:85" x14ac:dyDescent="0.25">
      <c r="A178" t="str">
        <f>"    Daimler - Freightliner"</f>
        <v xml:space="preserve">    Daimler - Freightliner</v>
      </c>
      <c r="B178" t="str">
        <f>"DAI GR Equity"</f>
        <v>DAI GR Equity</v>
      </c>
      <c r="C178" t="str">
        <f t="shared" ref="C178:C185" si="7">"X1701"</f>
        <v>X1701</v>
      </c>
      <c r="D178" t="str">
        <f t="shared" ref="D178:D185" si="8">"WARDS_RETAIL_SALES_UNITS"</f>
        <v>WARDS_RETAIL_SALES_UNITS</v>
      </c>
      <c r="E178" t="str">
        <f t="shared" si="6"/>
        <v>Dynamic</v>
      </c>
      <c r="F178">
        <f ca="1">IF(AND(ISNUMBER($F$298),$B$294=1),$F$298,HLOOKUP(INDIRECT(ADDRESS(2,COLUMN())),OFFSET($AT$2,0,0,ROW()-1,40),ROW()-1,FALSE))</f>
        <v>6334</v>
      </c>
      <c r="G178">
        <f ca="1">IF(AND(ISNUMBER($G$298),$B$294=1),$G$298,HLOOKUP(INDIRECT(ADDRESS(2,COLUMN())),OFFSET($AT$2,0,0,ROW()-1,40),ROW()-1,FALSE))</f>
        <v>7252</v>
      </c>
      <c r="H178">
        <f ca="1">IF(AND(ISNUMBER($H$298),$B$294=1),$H$298,HLOOKUP(INDIRECT(ADDRESS(2,COLUMN())),OFFSET($AT$2,0,0,ROW()-1,40),ROW()-1,FALSE))</f>
        <v>5848</v>
      </c>
      <c r="I178">
        <f ca="1">IF(AND(ISNUMBER($I$298),$B$294=1),$I$298,HLOOKUP(INDIRECT(ADDRESS(2,COLUMN())),OFFSET($AT$2,0,0,ROW()-1,40),ROW()-1,FALSE))</f>
        <v>5787</v>
      </c>
      <c r="J178">
        <f ca="1">IF(AND(ISNUMBER($J$298),$B$294=1),$J$298,HLOOKUP(INDIRECT(ADDRESS(2,COLUMN())),OFFSET($AT$2,0,0,ROW()-1,40),ROW()-1,FALSE))</f>
        <v>6313</v>
      </c>
      <c r="K178">
        <f ca="1">IF(AND(ISNUMBER($K$298),$B$294=1),$K$298,HLOOKUP(INDIRECT(ADDRESS(2,COLUMN())),OFFSET($AT$2,0,0,ROW()-1,40),ROW()-1,FALSE))</f>
        <v>6900</v>
      </c>
      <c r="L178">
        <f ca="1">IF(AND(ISNUMBER($L$298),$B$294=1),$L$298,HLOOKUP(INDIRECT(ADDRESS(2,COLUMN())),OFFSET($AT$2,0,0,ROW()-1,40),ROW()-1,FALSE))</f>
        <v>4965</v>
      </c>
      <c r="M178">
        <f ca="1">IF(AND(ISNUMBER($M$298),$B$294=1),$M$298,HLOOKUP(INDIRECT(ADDRESS(2,COLUMN())),OFFSET($AT$2,0,0,ROW()-1,40),ROW()-1,FALSE))</f>
        <v>5322</v>
      </c>
      <c r="N178">
        <f ca="1">IF(AND(ISNUMBER($N$298),$B$294=1),$N$298,HLOOKUP(INDIRECT(ADDRESS(2,COLUMN())),OFFSET($AT$2,0,0,ROW()-1,40),ROW()-1,FALSE))</f>
        <v>4310</v>
      </c>
      <c r="O178">
        <f ca="1">IF(AND(ISNUMBER($O$298),$B$294=1),$O$298,HLOOKUP(INDIRECT(ADDRESS(2,COLUMN())),OFFSET($AT$2,0,0,ROW()-1,40),ROW()-1,FALSE))</f>
        <v>4077</v>
      </c>
      <c r="P178">
        <f ca="1">IF(AND(ISNUMBER($P$298),$B$294=1),$P$298,HLOOKUP(INDIRECT(ADDRESS(2,COLUMN())),OFFSET($AT$2,0,0,ROW()-1,40),ROW()-1,FALSE))</f>
        <v>4375</v>
      </c>
      <c r="Q178">
        <f ca="1">IF(AND(ISNUMBER($Q$298),$B$294=1),$Q$298,HLOOKUP(INDIRECT(ADDRESS(2,COLUMN())),OFFSET($AT$2,0,0,ROW()-1,40),ROW()-1,FALSE))</f>
        <v>5538</v>
      </c>
      <c r="R178">
        <f ca="1">IF(AND(ISNUMBER($R$298),$B$294=1),$R$298,HLOOKUP(INDIRECT(ADDRESS(2,COLUMN())),OFFSET($AT$2,0,0,ROW()-1,40),ROW()-1,FALSE))</f>
        <v>4371</v>
      </c>
      <c r="S178">
        <f ca="1">IF(AND(ISNUMBER($S$298),$B$294=1),$S$298,HLOOKUP(INDIRECT(ADDRESS(2,COLUMN())),OFFSET($AT$2,0,0,ROW()-1,40),ROW()-1,FALSE))</f>
        <v>5131</v>
      </c>
      <c r="T178">
        <f ca="1">IF(AND(ISNUMBER($T$298),$B$294=1),$T$298,HLOOKUP(INDIRECT(ADDRESS(2,COLUMN())),OFFSET($AT$2,0,0,ROW()-1,40),ROW()-1,FALSE))</f>
        <v>6127</v>
      </c>
      <c r="U178">
        <f ca="1">IF(AND(ISNUMBER($U$298),$B$294=1),$U$298,HLOOKUP(INDIRECT(ADDRESS(2,COLUMN())),OFFSET($AT$2,0,0,ROW()-1,40),ROW()-1,FALSE))</f>
        <v>4912</v>
      </c>
      <c r="V178">
        <f ca="1">IF(AND(ISNUMBER($V$298),$B$294=1),$V$298,HLOOKUP(INDIRECT(ADDRESS(2,COLUMN())),OFFSET($AT$2,0,0,ROW()-1,40),ROW()-1,FALSE))</f>
        <v>6725</v>
      </c>
      <c r="W178">
        <f ca="1">IF(AND(ISNUMBER($W$298),$B$294=1),$W$298,HLOOKUP(INDIRECT(ADDRESS(2,COLUMN())),OFFSET($AT$2,0,0,ROW()-1,40),ROW()-1,FALSE))</f>
        <v>7012</v>
      </c>
      <c r="X178">
        <f ca="1">IF(AND(ISNUMBER($X$298),$B$294=1),$X$298,HLOOKUP(INDIRECT(ADDRESS(2,COLUMN())),OFFSET($AT$2,0,0,ROW()-1,40),ROW()-1,FALSE))</f>
        <v>6358</v>
      </c>
      <c r="Y178">
        <f ca="1">IF(AND(ISNUMBER($Y$298),$B$294=1),$Y$298,HLOOKUP(INDIRECT(ADDRESS(2,COLUMN())),OFFSET($AT$2,0,0,ROW()-1,40),ROW()-1,FALSE))</f>
        <v>8562</v>
      </c>
      <c r="Z178">
        <f ca="1">IF(AND(ISNUMBER($Z$298),$B$294=1),$Z$298,HLOOKUP(INDIRECT(ADDRESS(2,COLUMN())),OFFSET($AT$2,0,0,ROW()-1,40),ROW()-1,FALSE))</f>
        <v>6487</v>
      </c>
      <c r="AA178">
        <f ca="1">IF(AND(ISNUMBER($AA$298),$B$294=1),$AA$298,HLOOKUP(INDIRECT(ADDRESS(2,COLUMN())),OFFSET($AT$2,0,0,ROW()-1,40),ROW()-1,FALSE))</f>
        <v>6915</v>
      </c>
      <c r="AB178">
        <f ca="1">IF(AND(ISNUMBER($AB$298),$B$294=1),$AB$298,HLOOKUP(INDIRECT(ADDRESS(2,COLUMN())),OFFSET($AT$2,0,0,ROW()-1,40),ROW()-1,FALSE))</f>
        <v>6846</v>
      </c>
      <c r="AC178">
        <f ca="1">IF(AND(ISNUMBER($AC$298),$B$294=1),$AC$298,HLOOKUP(INDIRECT(ADDRESS(2,COLUMN())),OFFSET($AT$2,0,0,ROW()-1,40),ROW()-1,FALSE))</f>
        <v>9208</v>
      </c>
      <c r="AD178">
        <f ca="1">IF(AND(ISNUMBER($AD$298),$B$294=1),$AD$298,HLOOKUP(INDIRECT(ADDRESS(2,COLUMN())),OFFSET($AT$2,0,0,ROW()-1,40),ROW()-1,FALSE))</f>
        <v>8033</v>
      </c>
      <c r="AE178">
        <f ca="1">IF(AND(ISNUMBER($AE$298),$B$294=1),$AE$298,HLOOKUP(INDIRECT(ADDRESS(2,COLUMN())),OFFSET($AT$2,0,0,ROW()-1,40),ROW()-1,FALSE))</f>
        <v>8025</v>
      </c>
      <c r="AF178">
        <f ca="1">IF(AND(ISNUMBER($AF$298),$B$294=1),$AF$298,HLOOKUP(INDIRECT(ADDRESS(2,COLUMN())),OFFSET($AT$2,0,0,ROW()-1,40),ROW()-1,FALSE))</f>
        <v>8272</v>
      </c>
      <c r="AG178">
        <f ca="1">IF(AND(ISNUMBER($AG$298),$B$294=1),$AG$298,HLOOKUP(INDIRECT(ADDRESS(2,COLUMN())),OFFSET($AT$2,0,0,ROW()-1,40),ROW()-1,FALSE))</f>
        <v>9114</v>
      </c>
      <c r="AH178">
        <f ca="1">IF(AND(ISNUMBER($AH$298),$B$294=1),$AH$298,HLOOKUP(INDIRECT(ADDRESS(2,COLUMN())),OFFSET($AT$2,0,0,ROW()-1,40),ROW()-1,FALSE))</f>
        <v>9386</v>
      </c>
      <c r="AI178">
        <f ca="1">IF(AND(ISNUMBER($AI$298),$B$294=1),$AI$298,HLOOKUP(INDIRECT(ADDRESS(2,COLUMN())),OFFSET($AT$2,0,0,ROW()-1,40),ROW()-1,FALSE))</f>
        <v>8254</v>
      </c>
      <c r="AJ178">
        <f ca="1">IF(AND(ISNUMBER($AJ$298),$B$294=1),$AJ$298,HLOOKUP(INDIRECT(ADDRESS(2,COLUMN())),OFFSET($AT$2,0,0,ROW()-1,40),ROW()-1,FALSE))</f>
        <v>6689</v>
      </c>
      <c r="AK178">
        <f ca="1">IF(AND(ISNUMBER($AK$298),$B$294=1),$AK$298,HLOOKUP(INDIRECT(ADDRESS(2,COLUMN())),OFFSET($AT$2,0,0,ROW()-1,40),ROW()-1,FALSE))</f>
        <v>6776</v>
      </c>
      <c r="AL178">
        <f ca="1">IF(AND(ISNUMBER($AL$298),$B$294=1),$AL$298,HLOOKUP(INDIRECT(ADDRESS(2,COLUMN())),OFFSET($AT$2,0,0,ROW()-1,40),ROW()-1,FALSE))</f>
        <v>7002</v>
      </c>
      <c r="AM178">
        <f ca="1">IF(AND(ISNUMBER($AM$298),$B$294=1),$AM$298,HLOOKUP(INDIRECT(ADDRESS(2,COLUMN())),OFFSET($AT$2,0,0,ROW()-1,40),ROW()-1,FALSE))</f>
        <v>7755</v>
      </c>
      <c r="AN178">
        <f ca="1">IF(AND(ISNUMBER($AN$298),$B$294=1),$AN$298,HLOOKUP(INDIRECT(ADDRESS(2,COLUMN())),OFFSET($AT$2,0,0,ROW()-1,40),ROW()-1,FALSE))</f>
        <v>8187</v>
      </c>
      <c r="AO178">
        <f ca="1">IF(AND(ISNUMBER($AO$298),$B$294=1),$AO$298,HLOOKUP(INDIRECT(ADDRESS(2,COLUMN())),OFFSET($AT$2,0,0,ROW()-1,40),ROW()-1,FALSE))</f>
        <v>5691</v>
      </c>
      <c r="AP178">
        <f ca="1">IF(AND(ISNUMBER($AP$298),$B$294=1),$AP$298,HLOOKUP(INDIRECT(ADDRESS(2,COLUMN())),OFFSET($AT$2,0,0,ROW()-1,40),ROW()-1,FALSE))</f>
        <v>8153</v>
      </c>
      <c r="AQ178">
        <f ca="1">IF(AND(ISNUMBER($AQ$298),$B$294=1),$AQ$298,HLOOKUP(INDIRECT(ADDRESS(2,COLUMN())),OFFSET($AT$2,0,0,ROW()-1,40),ROW()-1,FALSE))</f>
        <v>7226</v>
      </c>
      <c r="AR178">
        <f ca="1">IF(AND(ISNUMBER($AR$298),$B$294=1),$AR$298,HLOOKUP(INDIRECT(ADDRESS(2,COLUMN())),OFFSET($AT$2,0,0,ROW()-1,40),ROW()-1,FALSE))</f>
        <v>7027</v>
      </c>
      <c r="AS178">
        <f ca="1">IF(AND(ISNUMBER($AS$298),$B$294=1),$AS$298,HLOOKUP(INDIRECT(ADDRESS(2,COLUMN())),OFFSET($AT$2,0,0,ROW()-1,40),ROW()-1,FALSE))</f>
        <v>6451</v>
      </c>
      <c r="AT178">
        <f>6334</f>
        <v>6334</v>
      </c>
      <c r="AU178">
        <f>7252</f>
        <v>7252</v>
      </c>
      <c r="AV178">
        <f>5848</f>
        <v>5848</v>
      </c>
      <c r="AW178">
        <f>5787</f>
        <v>5787</v>
      </c>
      <c r="AX178">
        <f>6313</f>
        <v>6313</v>
      </c>
      <c r="AY178">
        <f>6900</f>
        <v>6900</v>
      </c>
      <c r="AZ178">
        <f>4965</f>
        <v>4965</v>
      </c>
      <c r="BA178">
        <f>5322</f>
        <v>5322</v>
      </c>
      <c r="BB178">
        <f>4310</f>
        <v>4310</v>
      </c>
      <c r="BC178">
        <f>4077</f>
        <v>4077</v>
      </c>
      <c r="BD178">
        <f>4375</f>
        <v>4375</v>
      </c>
      <c r="BE178">
        <f>5538</f>
        <v>5538</v>
      </c>
      <c r="BF178">
        <f>4371</f>
        <v>4371</v>
      </c>
      <c r="BG178">
        <f>5131</f>
        <v>5131</v>
      </c>
      <c r="BH178">
        <f>6127</f>
        <v>6127</v>
      </c>
      <c r="BI178">
        <f>4912</f>
        <v>4912</v>
      </c>
      <c r="BJ178">
        <f>6725</f>
        <v>6725</v>
      </c>
      <c r="BK178">
        <f>7012</f>
        <v>7012</v>
      </c>
      <c r="BL178">
        <f>6358</f>
        <v>6358</v>
      </c>
      <c r="BM178">
        <f>8562</f>
        <v>8562</v>
      </c>
      <c r="BN178">
        <f>6487</f>
        <v>6487</v>
      </c>
      <c r="BO178">
        <f>6915</f>
        <v>6915</v>
      </c>
      <c r="BP178">
        <f>6846</f>
        <v>6846</v>
      </c>
      <c r="BQ178">
        <f>9208</f>
        <v>9208</v>
      </c>
      <c r="BR178">
        <f>8033</f>
        <v>8033</v>
      </c>
      <c r="BS178">
        <f>8025</f>
        <v>8025</v>
      </c>
      <c r="BT178">
        <f>8272</f>
        <v>8272</v>
      </c>
      <c r="BU178">
        <f>9114</f>
        <v>9114</v>
      </c>
      <c r="BV178">
        <f>9386</f>
        <v>9386</v>
      </c>
      <c r="BW178">
        <f>8254</f>
        <v>8254</v>
      </c>
      <c r="BX178">
        <f>6689</f>
        <v>6689</v>
      </c>
      <c r="BY178">
        <f>6776</f>
        <v>6776</v>
      </c>
      <c r="BZ178">
        <f>7002</f>
        <v>7002</v>
      </c>
      <c r="CA178">
        <f>7755</f>
        <v>7755</v>
      </c>
      <c r="CB178">
        <f>8187</f>
        <v>8187</v>
      </c>
      <c r="CC178">
        <f>5691</f>
        <v>5691</v>
      </c>
      <c r="CD178">
        <f>8153</f>
        <v>8153</v>
      </c>
      <c r="CE178">
        <f>7226</f>
        <v>7226</v>
      </c>
      <c r="CF178">
        <f>7027</f>
        <v>7027</v>
      </c>
      <c r="CG178">
        <f>6451</f>
        <v>6451</v>
      </c>
    </row>
    <row r="179" spans="1:85" x14ac:dyDescent="0.25">
      <c r="A179" t="str">
        <f>"    Daimler - Western Star"</f>
        <v xml:space="preserve">    Daimler - Western Star</v>
      </c>
      <c r="B179" t="str">
        <f>"DAI GR Equity"</f>
        <v>DAI GR Equity</v>
      </c>
      <c r="C179" t="str">
        <f t="shared" si="7"/>
        <v>X1701</v>
      </c>
      <c r="D179" t="str">
        <f t="shared" si="8"/>
        <v>WARDS_RETAIL_SALES_UNITS</v>
      </c>
      <c r="E179" t="str">
        <f t="shared" si="6"/>
        <v>Dynamic</v>
      </c>
      <c r="F179">
        <f ca="1">IF(AND(ISNUMBER($F$299),$B$294=1),$F$299,HLOOKUP(INDIRECT(ADDRESS(2,COLUMN())),OFFSET($AT$2,0,0,ROW()-1,40),ROW()-1,FALSE))</f>
        <v>373</v>
      </c>
      <c r="G179">
        <f ca="1">IF(AND(ISNUMBER($G$299),$B$294=1),$G$299,HLOOKUP(INDIRECT(ADDRESS(2,COLUMN())),OFFSET($AT$2,0,0,ROW()-1,40),ROW()-1,FALSE))</f>
        <v>413</v>
      </c>
      <c r="H179">
        <f ca="1">IF(AND(ISNUMBER($H$299),$B$294=1),$H$299,HLOOKUP(INDIRECT(ADDRESS(2,COLUMN())),OFFSET($AT$2,0,0,ROW()-1,40),ROW()-1,FALSE))</f>
        <v>473</v>
      </c>
      <c r="I179">
        <f ca="1">IF(AND(ISNUMBER($I$299),$B$294=1),$I$299,HLOOKUP(INDIRECT(ADDRESS(2,COLUMN())),OFFSET($AT$2,0,0,ROW()-1,40),ROW()-1,FALSE))</f>
        <v>442</v>
      </c>
      <c r="J179">
        <f ca="1">IF(AND(ISNUMBER($J$299),$B$294=1),$J$299,HLOOKUP(INDIRECT(ADDRESS(2,COLUMN())),OFFSET($AT$2,0,0,ROW()-1,40),ROW()-1,FALSE))</f>
        <v>560</v>
      </c>
      <c r="K179">
        <f ca="1">IF(AND(ISNUMBER($K$299),$B$294=1),$K$299,HLOOKUP(INDIRECT(ADDRESS(2,COLUMN())),OFFSET($AT$2,0,0,ROW()-1,40),ROW()-1,FALSE))</f>
        <v>405</v>
      </c>
      <c r="L179">
        <f ca="1">IF(AND(ISNUMBER($L$299),$B$294=1),$L$299,HLOOKUP(INDIRECT(ADDRESS(2,COLUMN())),OFFSET($AT$2,0,0,ROW()-1,40),ROW()-1,FALSE))</f>
        <v>432</v>
      </c>
      <c r="M179">
        <f ca="1">IF(AND(ISNUMBER($M$299),$B$294=1),$M$299,HLOOKUP(INDIRECT(ADDRESS(2,COLUMN())),OFFSET($AT$2,0,0,ROW()-1,40),ROW()-1,FALSE))</f>
        <v>447</v>
      </c>
      <c r="N179">
        <f ca="1">IF(AND(ISNUMBER($N$299),$B$294=1),$N$299,HLOOKUP(INDIRECT(ADDRESS(2,COLUMN())),OFFSET($AT$2,0,0,ROW()-1,40),ROW()-1,FALSE))</f>
        <v>281</v>
      </c>
      <c r="O179">
        <f ca="1">IF(AND(ISNUMBER($O$299),$B$294=1),$O$299,HLOOKUP(INDIRECT(ADDRESS(2,COLUMN())),OFFSET($AT$2,0,0,ROW()-1,40),ROW()-1,FALSE))</f>
        <v>272</v>
      </c>
      <c r="P179">
        <f ca="1">IF(AND(ISNUMBER($P$299),$B$294=1),$P$299,HLOOKUP(INDIRECT(ADDRESS(2,COLUMN())),OFFSET($AT$2,0,0,ROW()-1,40),ROW()-1,FALSE))</f>
        <v>521</v>
      </c>
      <c r="Q179">
        <f ca="1">IF(AND(ISNUMBER($Q$299),$B$294=1),$Q$299,HLOOKUP(INDIRECT(ADDRESS(2,COLUMN())),OFFSET($AT$2,0,0,ROW()-1,40),ROW()-1,FALSE))</f>
        <v>403</v>
      </c>
      <c r="R179">
        <f ca="1">IF(AND(ISNUMBER($R$299),$B$294=1),$R$299,HLOOKUP(INDIRECT(ADDRESS(2,COLUMN())),OFFSET($AT$2,0,0,ROW()-1,40),ROW()-1,FALSE))</f>
        <v>323</v>
      </c>
      <c r="S179">
        <f ca="1">IF(AND(ISNUMBER($S$299),$B$294=1),$S$299,HLOOKUP(INDIRECT(ADDRESS(2,COLUMN())),OFFSET($AT$2,0,0,ROW()-1,40),ROW()-1,FALSE))</f>
        <v>333</v>
      </c>
      <c r="T179">
        <f ca="1">IF(AND(ISNUMBER($T$299),$B$294=1),$T$299,HLOOKUP(INDIRECT(ADDRESS(2,COLUMN())),OFFSET($AT$2,0,0,ROW()-1,40),ROW()-1,FALSE))</f>
        <v>386</v>
      </c>
      <c r="U179">
        <f ca="1">IF(AND(ISNUMBER($U$299),$B$294=1),$U$299,HLOOKUP(INDIRECT(ADDRESS(2,COLUMN())),OFFSET($AT$2,0,0,ROW()-1,40),ROW()-1,FALSE))</f>
        <v>385</v>
      </c>
      <c r="V179">
        <f ca="1">IF(AND(ISNUMBER($V$299),$B$294=1),$V$299,HLOOKUP(INDIRECT(ADDRESS(2,COLUMN())),OFFSET($AT$2,0,0,ROW()-1,40),ROW()-1,FALSE))</f>
        <v>453</v>
      </c>
      <c r="W179">
        <f ca="1">IF(AND(ISNUMBER($W$299),$B$294=1),$W$299,HLOOKUP(INDIRECT(ADDRESS(2,COLUMN())),OFFSET($AT$2,0,0,ROW()-1,40),ROW()-1,FALSE))</f>
        <v>463</v>
      </c>
      <c r="X179">
        <f ca="1">IF(AND(ISNUMBER($X$299),$B$294=1),$X$299,HLOOKUP(INDIRECT(ADDRESS(2,COLUMN())),OFFSET($AT$2,0,0,ROW()-1,40),ROW()-1,FALSE))</f>
        <v>483</v>
      </c>
      <c r="Y179">
        <f ca="1">IF(AND(ISNUMBER($Y$299),$B$294=1),$Y$299,HLOOKUP(INDIRECT(ADDRESS(2,COLUMN())),OFFSET($AT$2,0,0,ROW()-1,40),ROW()-1,FALSE))</f>
        <v>475</v>
      </c>
      <c r="Z179">
        <f ca="1">IF(AND(ISNUMBER($Z$299),$B$294=1),$Z$299,HLOOKUP(INDIRECT(ADDRESS(2,COLUMN())),OFFSET($AT$2,0,0,ROW()-1,40),ROW()-1,FALSE))</f>
        <v>371</v>
      </c>
      <c r="AA179">
        <f ca="1">IF(AND(ISNUMBER($AA$299),$B$294=1),$AA$299,HLOOKUP(INDIRECT(ADDRESS(2,COLUMN())),OFFSET($AT$2,0,0,ROW()-1,40),ROW()-1,FALSE))</f>
        <v>353</v>
      </c>
      <c r="AB179">
        <f ca="1">IF(AND(ISNUMBER($AB$299),$B$294=1),$AB$299,HLOOKUP(INDIRECT(ADDRESS(2,COLUMN())),OFFSET($AT$2,0,0,ROW()-1,40),ROW()-1,FALSE))</f>
        <v>576</v>
      </c>
      <c r="AC179">
        <f ca="1">IF(AND(ISNUMBER($AC$299),$B$294=1),$AC$299,HLOOKUP(INDIRECT(ADDRESS(2,COLUMN())),OFFSET($AT$2,0,0,ROW()-1,40),ROW()-1,FALSE))</f>
        <v>382</v>
      </c>
      <c r="AD179">
        <f ca="1">IF(AND(ISNUMBER($AD$299),$B$294=1),$AD$299,HLOOKUP(INDIRECT(ADDRESS(2,COLUMN())),OFFSET($AT$2,0,0,ROW()-1,40),ROW()-1,FALSE))</f>
        <v>392</v>
      </c>
      <c r="AE179">
        <f ca="1">IF(AND(ISNUMBER($AE$299),$B$294=1),$AE$299,HLOOKUP(INDIRECT(ADDRESS(2,COLUMN())),OFFSET($AT$2,0,0,ROW()-1,40),ROW()-1,FALSE))</f>
        <v>375</v>
      </c>
      <c r="AF179">
        <f ca="1">IF(AND(ISNUMBER($AF$299),$B$294=1),$AF$299,HLOOKUP(INDIRECT(ADDRESS(2,COLUMN())),OFFSET($AT$2,0,0,ROW()-1,40),ROW()-1,FALSE))</f>
        <v>406</v>
      </c>
      <c r="AG179">
        <f ca="1">IF(AND(ISNUMBER($AG$299),$B$294=1),$AG$299,HLOOKUP(INDIRECT(ADDRESS(2,COLUMN())),OFFSET($AT$2,0,0,ROW()-1,40),ROW()-1,FALSE))</f>
        <v>355</v>
      </c>
      <c r="AH179">
        <f ca="1">IF(AND(ISNUMBER($AH$299),$B$294=1),$AH$299,HLOOKUP(INDIRECT(ADDRESS(2,COLUMN())),OFFSET($AT$2,0,0,ROW()-1,40),ROW()-1,FALSE))</f>
        <v>536</v>
      </c>
      <c r="AI179">
        <f ca="1">IF(AND(ISNUMBER($AI$299),$B$294=1),$AI$299,HLOOKUP(INDIRECT(ADDRESS(2,COLUMN())),OFFSET($AT$2,0,0,ROW()-1,40),ROW()-1,FALSE))</f>
        <v>391</v>
      </c>
      <c r="AJ179">
        <f ca="1">IF(AND(ISNUMBER($AJ$299),$B$294=1),$AJ$299,HLOOKUP(INDIRECT(ADDRESS(2,COLUMN())),OFFSET($AT$2,0,0,ROW()-1,40),ROW()-1,FALSE))</f>
        <v>376</v>
      </c>
      <c r="AK179">
        <f ca="1">IF(AND(ISNUMBER($AK$299),$B$294=1),$AK$299,HLOOKUP(INDIRECT(ADDRESS(2,COLUMN())),OFFSET($AT$2,0,0,ROW()-1,40),ROW()-1,FALSE))</f>
        <v>407</v>
      </c>
      <c r="AL179">
        <f ca="1">IF(AND(ISNUMBER($AL$299),$B$294=1),$AL$299,HLOOKUP(INDIRECT(ADDRESS(2,COLUMN())),OFFSET($AT$2,0,0,ROW()-1,40),ROW()-1,FALSE))</f>
        <v>333</v>
      </c>
      <c r="AM179">
        <f ca="1">IF(AND(ISNUMBER($AM$299),$B$294=1),$AM$299,HLOOKUP(INDIRECT(ADDRESS(2,COLUMN())),OFFSET($AT$2,0,0,ROW()-1,40),ROW()-1,FALSE))</f>
        <v>325</v>
      </c>
      <c r="AN179">
        <f ca="1">IF(AND(ISNUMBER($AN$299),$B$294=1),$AN$299,HLOOKUP(INDIRECT(ADDRESS(2,COLUMN())),OFFSET($AT$2,0,0,ROW()-1,40),ROW()-1,FALSE))</f>
        <v>646</v>
      </c>
      <c r="AO179">
        <f ca="1">IF(AND(ISNUMBER($AO$299),$B$294=1),$AO$299,HLOOKUP(INDIRECT(ADDRESS(2,COLUMN())),OFFSET($AT$2,0,0,ROW()-1,40),ROW()-1,FALSE))</f>
        <v>289</v>
      </c>
      <c r="AP179">
        <f ca="1">IF(AND(ISNUMBER($AP$299),$B$294=1),$AP$299,HLOOKUP(INDIRECT(ADDRESS(2,COLUMN())),OFFSET($AT$2,0,0,ROW()-1,40),ROW()-1,FALSE))</f>
        <v>349</v>
      </c>
      <c r="AQ179">
        <f ca="1">IF(AND(ISNUMBER($AQ$299),$B$294=1),$AQ$299,HLOOKUP(INDIRECT(ADDRESS(2,COLUMN())),OFFSET($AT$2,0,0,ROW()-1,40),ROW()-1,FALSE))</f>
        <v>250</v>
      </c>
      <c r="AR179">
        <f ca="1">IF(AND(ISNUMBER($AR$299),$B$294=1),$AR$299,HLOOKUP(INDIRECT(ADDRESS(2,COLUMN())),OFFSET($AT$2,0,0,ROW()-1,40),ROW()-1,FALSE))</f>
        <v>370</v>
      </c>
      <c r="AS179">
        <f ca="1">IF(AND(ISNUMBER($AS$299),$B$294=1),$AS$299,HLOOKUP(INDIRECT(ADDRESS(2,COLUMN())),OFFSET($AT$2,0,0,ROW()-1,40),ROW()-1,FALSE))</f>
        <v>221</v>
      </c>
      <c r="AT179">
        <f>373</f>
        <v>373</v>
      </c>
      <c r="AU179">
        <f>413</f>
        <v>413</v>
      </c>
      <c r="AV179">
        <f>473</f>
        <v>473</v>
      </c>
      <c r="AW179">
        <f>442</f>
        <v>442</v>
      </c>
      <c r="AX179">
        <f>560</f>
        <v>560</v>
      </c>
      <c r="AY179">
        <f>405</f>
        <v>405</v>
      </c>
      <c r="AZ179">
        <f>432</f>
        <v>432</v>
      </c>
      <c r="BA179">
        <f>447</f>
        <v>447</v>
      </c>
      <c r="BB179">
        <f>281</f>
        <v>281</v>
      </c>
      <c r="BC179">
        <f>272</f>
        <v>272</v>
      </c>
      <c r="BD179">
        <f>521</f>
        <v>521</v>
      </c>
      <c r="BE179">
        <f>403</f>
        <v>403</v>
      </c>
      <c r="BF179">
        <f>323</f>
        <v>323</v>
      </c>
      <c r="BG179">
        <f>333</f>
        <v>333</v>
      </c>
      <c r="BH179">
        <f>386</f>
        <v>386</v>
      </c>
      <c r="BI179">
        <f>385</f>
        <v>385</v>
      </c>
      <c r="BJ179">
        <f>453</f>
        <v>453</v>
      </c>
      <c r="BK179">
        <f>463</f>
        <v>463</v>
      </c>
      <c r="BL179">
        <f>483</f>
        <v>483</v>
      </c>
      <c r="BM179">
        <f>475</f>
        <v>475</v>
      </c>
      <c r="BN179">
        <f>371</f>
        <v>371</v>
      </c>
      <c r="BO179">
        <f>353</f>
        <v>353</v>
      </c>
      <c r="BP179">
        <f>576</f>
        <v>576</v>
      </c>
      <c r="BQ179">
        <f>382</f>
        <v>382</v>
      </c>
      <c r="BR179">
        <f>392</f>
        <v>392</v>
      </c>
      <c r="BS179">
        <f>375</f>
        <v>375</v>
      </c>
      <c r="BT179">
        <f>406</f>
        <v>406</v>
      </c>
      <c r="BU179">
        <f>355</f>
        <v>355</v>
      </c>
      <c r="BV179">
        <f>536</f>
        <v>536</v>
      </c>
      <c r="BW179">
        <f>391</f>
        <v>391</v>
      </c>
      <c r="BX179">
        <f>376</f>
        <v>376</v>
      </c>
      <c r="BY179">
        <f>407</f>
        <v>407</v>
      </c>
      <c r="BZ179">
        <f>333</f>
        <v>333</v>
      </c>
      <c r="CA179">
        <f>325</f>
        <v>325</v>
      </c>
      <c r="CB179">
        <f>646</f>
        <v>646</v>
      </c>
      <c r="CC179">
        <f>289</f>
        <v>289</v>
      </c>
      <c r="CD179">
        <f>349</f>
        <v>349</v>
      </c>
      <c r="CE179">
        <f>250</f>
        <v>250</v>
      </c>
      <c r="CF179">
        <f>370</f>
        <v>370</v>
      </c>
      <c r="CG179">
        <f>221</f>
        <v>221</v>
      </c>
    </row>
    <row r="180" spans="1:85" x14ac:dyDescent="0.25">
      <c r="A180" t="str">
        <f>"    Daimler - Sterling"</f>
        <v xml:space="preserve">    Daimler - Sterling</v>
      </c>
      <c r="B180" t="str">
        <f>"DAI GR Equity"</f>
        <v>DAI GR Equity</v>
      </c>
      <c r="C180" t="str">
        <f t="shared" si="7"/>
        <v>X1701</v>
      </c>
      <c r="D180" t="str">
        <f t="shared" si="8"/>
        <v>WARDS_RETAIL_SALES_UNITS</v>
      </c>
      <c r="E180" t="str">
        <f t="shared" si="6"/>
        <v>Dynamic</v>
      </c>
      <c r="F180" t="str">
        <f ca="1">IF(AND(ISNUMBER($F$300),$B$294=1),$F$300,HLOOKUP(INDIRECT(ADDRESS(2,COLUMN())),OFFSET($AT$2,0,0,ROW()-1,40),ROW()-1,FALSE))</f>
        <v/>
      </c>
      <c r="G180" t="str">
        <f ca="1">IF(AND(ISNUMBER($G$300),$B$294=1),$G$300,HLOOKUP(INDIRECT(ADDRESS(2,COLUMN())),OFFSET($AT$2,0,0,ROW()-1,40),ROW()-1,FALSE))</f>
        <v/>
      </c>
      <c r="H180" t="str">
        <f ca="1">IF(AND(ISNUMBER($H$300),$B$294=1),$H$300,HLOOKUP(INDIRECT(ADDRESS(2,COLUMN())),OFFSET($AT$2,0,0,ROW()-1,40),ROW()-1,FALSE))</f>
        <v/>
      </c>
      <c r="I180" t="str">
        <f ca="1">IF(AND(ISNUMBER($I$300),$B$294=1),$I$300,HLOOKUP(INDIRECT(ADDRESS(2,COLUMN())),OFFSET($AT$2,0,0,ROW()-1,40),ROW()-1,FALSE))</f>
        <v/>
      </c>
      <c r="J180" t="str">
        <f ca="1">IF(AND(ISNUMBER($J$300),$B$294=1),$J$300,HLOOKUP(INDIRECT(ADDRESS(2,COLUMN())),OFFSET($AT$2,0,0,ROW()-1,40),ROW()-1,FALSE))</f>
        <v/>
      </c>
      <c r="K180" t="str">
        <f ca="1">IF(AND(ISNUMBER($K$300),$B$294=1),$K$300,HLOOKUP(INDIRECT(ADDRESS(2,COLUMN())),OFFSET($AT$2,0,0,ROW()-1,40),ROW()-1,FALSE))</f>
        <v/>
      </c>
      <c r="L180" t="str">
        <f ca="1">IF(AND(ISNUMBER($L$300),$B$294=1),$L$300,HLOOKUP(INDIRECT(ADDRESS(2,COLUMN())),OFFSET($AT$2,0,0,ROW()-1,40),ROW()-1,FALSE))</f>
        <v/>
      </c>
      <c r="M180" t="str">
        <f ca="1">IF(AND(ISNUMBER($M$300),$B$294=1),$M$300,HLOOKUP(INDIRECT(ADDRESS(2,COLUMN())),OFFSET($AT$2,0,0,ROW()-1,40),ROW()-1,FALSE))</f>
        <v/>
      </c>
      <c r="N180" t="str">
        <f ca="1">IF(AND(ISNUMBER($N$300),$B$294=1),$N$300,HLOOKUP(INDIRECT(ADDRESS(2,COLUMN())),OFFSET($AT$2,0,0,ROW()-1,40),ROW()-1,FALSE))</f>
        <v/>
      </c>
      <c r="O180" t="str">
        <f ca="1">IF(AND(ISNUMBER($O$300),$B$294=1),$O$300,HLOOKUP(INDIRECT(ADDRESS(2,COLUMN())),OFFSET($AT$2,0,0,ROW()-1,40),ROW()-1,FALSE))</f>
        <v/>
      </c>
      <c r="P180" t="str">
        <f ca="1">IF(AND(ISNUMBER($P$300),$B$294=1),$P$300,HLOOKUP(INDIRECT(ADDRESS(2,COLUMN())),OFFSET($AT$2,0,0,ROW()-1,40),ROW()-1,FALSE))</f>
        <v/>
      </c>
      <c r="Q180" t="str">
        <f ca="1">IF(AND(ISNUMBER($Q$300),$B$294=1),$Q$300,HLOOKUP(INDIRECT(ADDRESS(2,COLUMN())),OFFSET($AT$2,0,0,ROW()-1,40),ROW()-1,FALSE))</f>
        <v/>
      </c>
      <c r="R180" t="str">
        <f ca="1">IF(AND(ISNUMBER($R$300),$B$294=1),$R$300,HLOOKUP(INDIRECT(ADDRESS(2,COLUMN())),OFFSET($AT$2,0,0,ROW()-1,40),ROW()-1,FALSE))</f>
        <v/>
      </c>
      <c r="S180" t="str">
        <f ca="1">IF(AND(ISNUMBER($S$300),$B$294=1),$S$300,HLOOKUP(INDIRECT(ADDRESS(2,COLUMN())),OFFSET($AT$2,0,0,ROW()-1,40),ROW()-1,FALSE))</f>
        <v/>
      </c>
      <c r="T180" t="str">
        <f ca="1">IF(AND(ISNUMBER($T$300),$B$294=1),$T$300,HLOOKUP(INDIRECT(ADDRESS(2,COLUMN())),OFFSET($AT$2,0,0,ROW()-1,40),ROW()-1,FALSE))</f>
        <v/>
      </c>
      <c r="U180" t="str">
        <f ca="1">IF(AND(ISNUMBER($U$300),$B$294=1),$U$300,HLOOKUP(INDIRECT(ADDRESS(2,COLUMN())),OFFSET($AT$2,0,0,ROW()-1,40),ROW()-1,FALSE))</f>
        <v/>
      </c>
      <c r="V180" t="str">
        <f ca="1">IF(AND(ISNUMBER($V$300),$B$294=1),$V$300,HLOOKUP(INDIRECT(ADDRESS(2,COLUMN())),OFFSET($AT$2,0,0,ROW()-1,40),ROW()-1,FALSE))</f>
        <v/>
      </c>
      <c r="W180" t="str">
        <f ca="1">IF(AND(ISNUMBER($W$300),$B$294=1),$W$300,HLOOKUP(INDIRECT(ADDRESS(2,COLUMN())),OFFSET($AT$2,0,0,ROW()-1,40),ROW()-1,FALSE))</f>
        <v/>
      </c>
      <c r="X180" t="str">
        <f ca="1">IF(AND(ISNUMBER($X$300),$B$294=1),$X$300,HLOOKUP(INDIRECT(ADDRESS(2,COLUMN())),OFFSET($AT$2,0,0,ROW()-1,40),ROW()-1,FALSE))</f>
        <v/>
      </c>
      <c r="Y180" t="str">
        <f ca="1">IF(AND(ISNUMBER($Y$300),$B$294=1),$Y$300,HLOOKUP(INDIRECT(ADDRESS(2,COLUMN())),OFFSET($AT$2,0,0,ROW()-1,40),ROW()-1,FALSE))</f>
        <v/>
      </c>
      <c r="Z180" t="str">
        <f ca="1">IF(AND(ISNUMBER($Z$300),$B$294=1),$Z$300,HLOOKUP(INDIRECT(ADDRESS(2,COLUMN())),OFFSET($AT$2,0,0,ROW()-1,40),ROW()-1,FALSE))</f>
        <v/>
      </c>
      <c r="AA180" t="str">
        <f ca="1">IF(AND(ISNUMBER($AA$300),$B$294=1),$AA$300,HLOOKUP(INDIRECT(ADDRESS(2,COLUMN())),OFFSET($AT$2,0,0,ROW()-1,40),ROW()-1,FALSE))</f>
        <v/>
      </c>
      <c r="AB180" t="str">
        <f ca="1">IF(AND(ISNUMBER($AB$300),$B$294=1),$AB$300,HLOOKUP(INDIRECT(ADDRESS(2,COLUMN())),OFFSET($AT$2,0,0,ROW()-1,40),ROW()-1,FALSE))</f>
        <v/>
      </c>
      <c r="AC180" t="str">
        <f ca="1">IF(AND(ISNUMBER($AC$300),$B$294=1),$AC$300,HLOOKUP(INDIRECT(ADDRESS(2,COLUMN())),OFFSET($AT$2,0,0,ROW()-1,40),ROW()-1,FALSE))</f>
        <v/>
      </c>
      <c r="AD180" t="str">
        <f ca="1">IF(AND(ISNUMBER($AD$300),$B$294=1),$AD$300,HLOOKUP(INDIRECT(ADDRESS(2,COLUMN())),OFFSET($AT$2,0,0,ROW()-1,40),ROW()-1,FALSE))</f>
        <v/>
      </c>
      <c r="AE180" t="str">
        <f ca="1">IF(AND(ISNUMBER($AE$300),$B$294=1),$AE$300,HLOOKUP(INDIRECT(ADDRESS(2,COLUMN())),OFFSET($AT$2,0,0,ROW()-1,40),ROW()-1,FALSE))</f>
        <v/>
      </c>
      <c r="AF180" t="str">
        <f ca="1">IF(AND(ISNUMBER($AF$300),$B$294=1),$AF$300,HLOOKUP(INDIRECT(ADDRESS(2,COLUMN())),OFFSET($AT$2,0,0,ROW()-1,40),ROW()-1,FALSE))</f>
        <v/>
      </c>
      <c r="AG180" t="str">
        <f ca="1">IF(AND(ISNUMBER($AG$300),$B$294=1),$AG$300,HLOOKUP(INDIRECT(ADDRESS(2,COLUMN())),OFFSET($AT$2,0,0,ROW()-1,40),ROW()-1,FALSE))</f>
        <v/>
      </c>
      <c r="AH180" t="str">
        <f ca="1">IF(AND(ISNUMBER($AH$300),$B$294=1),$AH$300,HLOOKUP(INDIRECT(ADDRESS(2,COLUMN())),OFFSET($AT$2,0,0,ROW()-1,40),ROW()-1,FALSE))</f>
        <v/>
      </c>
      <c r="AI180" t="str">
        <f ca="1">IF(AND(ISNUMBER($AI$300),$B$294=1),$AI$300,HLOOKUP(INDIRECT(ADDRESS(2,COLUMN())),OFFSET($AT$2,0,0,ROW()-1,40),ROW()-1,FALSE))</f>
        <v/>
      </c>
      <c r="AJ180" t="str">
        <f ca="1">IF(AND(ISNUMBER($AJ$300),$B$294=1),$AJ$300,HLOOKUP(INDIRECT(ADDRESS(2,COLUMN())),OFFSET($AT$2,0,0,ROW()-1,40),ROW()-1,FALSE))</f>
        <v/>
      </c>
      <c r="AK180" t="str">
        <f ca="1">IF(AND(ISNUMBER($AK$300),$B$294=1),$AK$300,HLOOKUP(INDIRECT(ADDRESS(2,COLUMN())),OFFSET($AT$2,0,0,ROW()-1,40),ROW()-1,FALSE))</f>
        <v/>
      </c>
      <c r="AL180" t="str">
        <f ca="1">IF(AND(ISNUMBER($AL$300),$B$294=1),$AL$300,HLOOKUP(INDIRECT(ADDRESS(2,COLUMN())),OFFSET($AT$2,0,0,ROW()-1,40),ROW()-1,FALSE))</f>
        <v/>
      </c>
      <c r="AM180" t="str">
        <f ca="1">IF(AND(ISNUMBER($AM$300),$B$294=1),$AM$300,HLOOKUP(INDIRECT(ADDRESS(2,COLUMN())),OFFSET($AT$2,0,0,ROW()-1,40),ROW()-1,FALSE))</f>
        <v/>
      </c>
      <c r="AN180" t="str">
        <f ca="1">IF(AND(ISNUMBER($AN$300),$B$294=1),$AN$300,HLOOKUP(INDIRECT(ADDRESS(2,COLUMN())),OFFSET($AT$2,0,0,ROW()-1,40),ROW()-1,FALSE))</f>
        <v/>
      </c>
      <c r="AO180" t="str">
        <f ca="1">IF(AND(ISNUMBER($AO$300),$B$294=1),$AO$300,HLOOKUP(INDIRECT(ADDRESS(2,COLUMN())),OFFSET($AT$2,0,0,ROW()-1,40),ROW()-1,FALSE))</f>
        <v/>
      </c>
      <c r="AP180" t="str">
        <f ca="1">IF(AND(ISNUMBER($AP$300),$B$294=1),$AP$300,HLOOKUP(INDIRECT(ADDRESS(2,COLUMN())),OFFSET($AT$2,0,0,ROW()-1,40),ROW()-1,FALSE))</f>
        <v/>
      </c>
      <c r="AQ180" t="str">
        <f ca="1">IF(AND(ISNUMBER($AQ$300),$B$294=1),$AQ$300,HLOOKUP(INDIRECT(ADDRESS(2,COLUMN())),OFFSET($AT$2,0,0,ROW()-1,40),ROW()-1,FALSE))</f>
        <v/>
      </c>
      <c r="AR180" t="str">
        <f ca="1">IF(AND(ISNUMBER($AR$300),$B$294=1),$AR$300,HLOOKUP(INDIRECT(ADDRESS(2,COLUMN())),OFFSET($AT$2,0,0,ROW()-1,40),ROW()-1,FALSE))</f>
        <v/>
      </c>
      <c r="AS180" t="str">
        <f ca="1">IF(AND(ISNUMBER($AS$300),$B$294=1),$AS$300,HLOOKUP(INDIRECT(ADDRESS(2,COLUMN())),OFFSET($AT$2,0,0,ROW()-1,40),ROW()-1,FALSE))</f>
        <v/>
      </c>
      <c r="AT180" t="str">
        <f>""</f>
        <v/>
      </c>
      <c r="AU180" t="str">
        <f>""</f>
        <v/>
      </c>
      <c r="AV180" t="str">
        <f>""</f>
        <v/>
      </c>
      <c r="AW180" t="str">
        <f>""</f>
        <v/>
      </c>
      <c r="AX180" t="str">
        <f>""</f>
        <v/>
      </c>
      <c r="AY180" t="str">
        <f>""</f>
        <v/>
      </c>
      <c r="AZ180" t="str">
        <f>""</f>
        <v/>
      </c>
      <c r="BA180" t="str">
        <f>""</f>
        <v/>
      </c>
      <c r="BB180" t="str">
        <f>""</f>
        <v/>
      </c>
      <c r="BC180" t="str">
        <f>""</f>
        <v/>
      </c>
      <c r="BD180" t="str">
        <f>""</f>
        <v/>
      </c>
      <c r="BE180" t="str">
        <f>""</f>
        <v/>
      </c>
      <c r="BF180" t="str">
        <f>""</f>
        <v/>
      </c>
      <c r="BG180" t="str">
        <f>""</f>
        <v/>
      </c>
      <c r="BH180" t="str">
        <f>""</f>
        <v/>
      </c>
      <c r="BI180" t="str">
        <f>""</f>
        <v/>
      </c>
      <c r="BJ180" t="str">
        <f>""</f>
        <v/>
      </c>
      <c r="BK180" t="str">
        <f>""</f>
        <v/>
      </c>
      <c r="BL180" t="str">
        <f>""</f>
        <v/>
      </c>
      <c r="BM180" t="str">
        <f>""</f>
        <v/>
      </c>
      <c r="BN180" t="str">
        <f>""</f>
        <v/>
      </c>
      <c r="BO180" t="str">
        <f>""</f>
        <v/>
      </c>
      <c r="BP180" t="str">
        <f>""</f>
        <v/>
      </c>
      <c r="BQ180" t="str">
        <f>""</f>
        <v/>
      </c>
      <c r="BR180" t="str">
        <f>""</f>
        <v/>
      </c>
      <c r="BS180" t="str">
        <f>""</f>
        <v/>
      </c>
      <c r="BT180" t="str">
        <f>""</f>
        <v/>
      </c>
      <c r="BU180" t="str">
        <f>""</f>
        <v/>
      </c>
      <c r="BV180" t="str">
        <f>""</f>
        <v/>
      </c>
      <c r="BW180" t="str">
        <f>""</f>
        <v/>
      </c>
      <c r="BX180" t="str">
        <f>""</f>
        <v/>
      </c>
      <c r="BY180" t="str">
        <f>""</f>
        <v/>
      </c>
      <c r="BZ180" t="str">
        <f>""</f>
        <v/>
      </c>
      <c r="CA180" t="str">
        <f>""</f>
        <v/>
      </c>
      <c r="CB180" t="str">
        <f>""</f>
        <v/>
      </c>
      <c r="CC180" t="str">
        <f>""</f>
        <v/>
      </c>
      <c r="CD180" t="str">
        <f>""</f>
        <v/>
      </c>
      <c r="CE180" t="str">
        <f>""</f>
        <v/>
      </c>
      <c r="CF180" t="str">
        <f>""</f>
        <v/>
      </c>
      <c r="CG180" t="str">
        <f>""</f>
        <v/>
      </c>
    </row>
    <row r="181" spans="1:85" x14ac:dyDescent="0.25">
      <c r="A181" t="str">
        <f>"    PACCAR - Kenworth"</f>
        <v xml:space="preserve">    PACCAR - Kenworth</v>
      </c>
      <c r="B181" t="str">
        <f>"PCAR US Equity"</f>
        <v>PCAR US Equity</v>
      </c>
      <c r="C181" t="str">
        <f t="shared" si="7"/>
        <v>X1701</v>
      </c>
      <c r="D181" t="str">
        <f t="shared" si="8"/>
        <v>WARDS_RETAIL_SALES_UNITS</v>
      </c>
      <c r="E181" t="str">
        <f t="shared" si="6"/>
        <v>Dynamic</v>
      </c>
      <c r="F181">
        <f ca="1">IF(AND(ISNUMBER($F$301),$B$294=1),$F$301,HLOOKUP(INDIRECT(ADDRESS(2,COLUMN())),OFFSET($AT$2,0,0,ROW()-1,40),ROW()-1,FALSE))</f>
        <v>2769</v>
      </c>
      <c r="G181">
        <f ca="1">IF(AND(ISNUMBER($G$301),$B$294=1),$G$301,HLOOKUP(INDIRECT(ADDRESS(2,COLUMN())),OFFSET($AT$2,0,0,ROW()-1,40),ROW()-1,FALSE))</f>
        <v>2689</v>
      </c>
      <c r="H181">
        <f ca="1">IF(AND(ISNUMBER($H$301),$B$294=1),$H$301,HLOOKUP(INDIRECT(ADDRESS(2,COLUMN())),OFFSET($AT$2,0,0,ROW()-1,40),ROW()-1,FALSE))</f>
        <v>2427</v>
      </c>
      <c r="I181">
        <f ca="1">IF(AND(ISNUMBER($I$301),$B$294=1),$I$301,HLOOKUP(INDIRECT(ADDRESS(2,COLUMN())),OFFSET($AT$2,0,0,ROW()-1,40),ROW()-1,FALSE))</f>
        <v>2432</v>
      </c>
      <c r="J181">
        <f ca="1">IF(AND(ISNUMBER($J$301),$B$294=1),$J$301,HLOOKUP(INDIRECT(ADDRESS(2,COLUMN())),OFFSET($AT$2,0,0,ROW()-1,40),ROW()-1,FALSE))</f>
        <v>2530</v>
      </c>
      <c r="K181">
        <f ca="1">IF(AND(ISNUMBER($K$301),$B$294=1),$K$301,HLOOKUP(INDIRECT(ADDRESS(2,COLUMN())),OFFSET($AT$2,0,0,ROW()-1,40),ROW()-1,FALSE))</f>
        <v>2414</v>
      </c>
      <c r="L181">
        <f ca="1">IF(AND(ISNUMBER($L$301),$B$294=1),$L$301,HLOOKUP(INDIRECT(ADDRESS(2,COLUMN())),OFFSET($AT$2,0,0,ROW()-1,40),ROW()-1,FALSE))</f>
        <v>2323</v>
      </c>
      <c r="M181">
        <f ca="1">IF(AND(ISNUMBER($M$301),$B$294=1),$M$301,HLOOKUP(INDIRECT(ADDRESS(2,COLUMN())),OFFSET($AT$2,0,0,ROW()-1,40),ROW()-1,FALSE))</f>
        <v>2112</v>
      </c>
      <c r="N181">
        <f ca="1">IF(AND(ISNUMBER($N$301),$B$294=1),$N$301,HLOOKUP(INDIRECT(ADDRESS(2,COLUMN())),OFFSET($AT$2,0,0,ROW()-1,40),ROW()-1,FALSE))</f>
        <v>1331</v>
      </c>
      <c r="O181">
        <f ca="1">IF(AND(ISNUMBER($O$301),$B$294=1),$O$301,HLOOKUP(INDIRECT(ADDRESS(2,COLUMN())),OFFSET($AT$2,0,0,ROW()-1,40),ROW()-1,FALSE))</f>
        <v>1188</v>
      </c>
      <c r="P181">
        <f ca="1">IF(AND(ISNUMBER($P$301),$B$294=1),$P$301,HLOOKUP(INDIRECT(ADDRESS(2,COLUMN())),OFFSET($AT$2,0,0,ROW()-1,40),ROW()-1,FALSE))</f>
        <v>3079</v>
      </c>
      <c r="Q181">
        <f ca="1">IF(AND(ISNUMBER($Q$301),$B$294=1),$Q$301,HLOOKUP(INDIRECT(ADDRESS(2,COLUMN())),OFFSET($AT$2,0,0,ROW()-1,40),ROW()-1,FALSE))</f>
        <v>1965</v>
      </c>
      <c r="R181">
        <f ca="1">IF(AND(ISNUMBER($R$301),$B$294=1),$R$301,HLOOKUP(INDIRECT(ADDRESS(2,COLUMN())),OFFSET($AT$2,0,0,ROW()-1,40),ROW()-1,FALSE))</f>
        <v>2108</v>
      </c>
      <c r="S181">
        <f ca="1">IF(AND(ISNUMBER($S$301),$B$294=1),$S$301,HLOOKUP(INDIRECT(ADDRESS(2,COLUMN())),OFFSET($AT$2,0,0,ROW()-1,40),ROW()-1,FALSE))</f>
        <v>2791</v>
      </c>
      <c r="T181">
        <f ca="1">IF(AND(ISNUMBER($T$301),$B$294=1),$T$301,HLOOKUP(INDIRECT(ADDRESS(2,COLUMN())),OFFSET($AT$2,0,0,ROW()-1,40),ROW()-1,FALSE))</f>
        <v>2516</v>
      </c>
      <c r="U181">
        <f ca="1">IF(AND(ISNUMBER($U$301),$B$294=1),$U$301,HLOOKUP(INDIRECT(ADDRESS(2,COLUMN())),OFFSET($AT$2,0,0,ROW()-1,40),ROW()-1,FALSE))</f>
        <v>2333</v>
      </c>
      <c r="V181">
        <f ca="1">IF(AND(ISNUMBER($V$301),$B$294=1),$V$301,HLOOKUP(INDIRECT(ADDRESS(2,COLUMN())),OFFSET($AT$2,0,0,ROW()-1,40),ROW()-1,FALSE))</f>
        <v>2741</v>
      </c>
      <c r="W181">
        <f ca="1">IF(AND(ISNUMBER($W$301),$B$294=1),$W$301,HLOOKUP(INDIRECT(ADDRESS(2,COLUMN())),OFFSET($AT$2,0,0,ROW()-1,40),ROW()-1,FALSE))</f>
        <v>2587</v>
      </c>
      <c r="X181">
        <f ca="1">IF(AND(ISNUMBER($X$301),$B$294=1),$X$301,HLOOKUP(INDIRECT(ADDRESS(2,COLUMN())),OFFSET($AT$2,0,0,ROW()-1,40),ROW()-1,FALSE))</f>
        <v>2538</v>
      </c>
      <c r="Y181">
        <f ca="1">IF(AND(ISNUMBER($Y$301),$B$294=1),$Y$301,HLOOKUP(INDIRECT(ADDRESS(2,COLUMN())),OFFSET($AT$2,0,0,ROW()-1,40),ROW()-1,FALSE))</f>
        <v>2926</v>
      </c>
      <c r="Z181">
        <f ca="1">IF(AND(ISNUMBER($Z$301),$B$294=1),$Z$301,HLOOKUP(INDIRECT(ADDRESS(2,COLUMN())),OFFSET($AT$2,0,0,ROW()-1,40),ROW()-1,FALSE))</f>
        <v>2208</v>
      </c>
      <c r="AA181">
        <f ca="1">IF(AND(ISNUMBER($AA$301),$B$294=1),$AA$301,HLOOKUP(INDIRECT(ADDRESS(2,COLUMN())),OFFSET($AT$2,0,0,ROW()-1,40),ROW()-1,FALSE))</f>
        <v>1682</v>
      </c>
      <c r="AB181">
        <f ca="1">IF(AND(ISNUMBER($AB$301),$B$294=1),$AB$301,HLOOKUP(INDIRECT(ADDRESS(2,COLUMN())),OFFSET($AT$2,0,0,ROW()-1,40),ROW()-1,FALSE))</f>
        <v>3019</v>
      </c>
      <c r="AC181">
        <f ca="1">IF(AND(ISNUMBER($AC$301),$B$294=1),$AC$301,HLOOKUP(INDIRECT(ADDRESS(2,COLUMN())),OFFSET($AT$2,0,0,ROW()-1,40),ROW()-1,FALSE))</f>
        <v>2672</v>
      </c>
      <c r="AD181">
        <f ca="1">IF(AND(ISNUMBER($AD$301),$B$294=1),$AD$301,HLOOKUP(INDIRECT(ADDRESS(2,COLUMN())),OFFSET($AT$2,0,0,ROW()-1,40),ROW()-1,FALSE))</f>
        <v>2922</v>
      </c>
      <c r="AE181">
        <f ca="1">IF(AND(ISNUMBER($AE$301),$B$294=1),$AE$301,HLOOKUP(INDIRECT(ADDRESS(2,COLUMN())),OFFSET($AT$2,0,0,ROW()-1,40),ROW()-1,FALSE))</f>
        <v>3390</v>
      </c>
      <c r="AF181">
        <f ca="1">IF(AND(ISNUMBER($AF$301),$B$294=1),$AF$301,HLOOKUP(INDIRECT(ADDRESS(2,COLUMN())),OFFSET($AT$2,0,0,ROW()-1,40),ROW()-1,FALSE))</f>
        <v>3598</v>
      </c>
      <c r="AG181">
        <f ca="1">IF(AND(ISNUMBER($AG$301),$B$294=1),$AG$301,HLOOKUP(INDIRECT(ADDRESS(2,COLUMN())),OFFSET($AT$2,0,0,ROW()-1,40),ROW()-1,FALSE))</f>
        <v>3486</v>
      </c>
      <c r="AH181">
        <f ca="1">IF(AND(ISNUMBER($AH$301),$B$294=1),$AH$301,HLOOKUP(INDIRECT(ADDRESS(2,COLUMN())),OFFSET($AT$2,0,0,ROW()-1,40),ROW()-1,FALSE))</f>
        <v>3734</v>
      </c>
      <c r="AI181">
        <f ca="1">IF(AND(ISNUMBER($AI$301),$B$294=1),$AI$301,HLOOKUP(INDIRECT(ADDRESS(2,COLUMN())),OFFSET($AT$2,0,0,ROW()-1,40),ROW()-1,FALSE))</f>
        <v>3145</v>
      </c>
      <c r="AJ181">
        <f ca="1">IF(AND(ISNUMBER($AJ$301),$B$294=1),$AJ$301,HLOOKUP(INDIRECT(ADDRESS(2,COLUMN())),OFFSET($AT$2,0,0,ROW()-1,40),ROW()-1,FALSE))</f>
        <v>3417</v>
      </c>
      <c r="AK181">
        <f ca="1">IF(AND(ISNUMBER($AK$301),$B$294=1),$AK$301,HLOOKUP(INDIRECT(ADDRESS(2,COLUMN())),OFFSET($AT$2,0,0,ROW()-1,40),ROW()-1,FALSE))</f>
        <v>2952</v>
      </c>
      <c r="AL181">
        <f ca="1">IF(AND(ISNUMBER($AL$301),$B$294=1),$AL$301,HLOOKUP(INDIRECT(ADDRESS(2,COLUMN())),OFFSET($AT$2,0,0,ROW()-1,40),ROW()-1,FALSE))</f>
        <v>2695</v>
      </c>
      <c r="AM181">
        <f ca="1">IF(AND(ISNUMBER($AM$301),$B$294=1),$AM$301,HLOOKUP(INDIRECT(ADDRESS(2,COLUMN())),OFFSET($AT$2,0,0,ROW()-1,40),ROW()-1,FALSE))</f>
        <v>2171</v>
      </c>
      <c r="AN181">
        <f ca="1">IF(AND(ISNUMBER($AN$301),$B$294=1),$AN$301,HLOOKUP(INDIRECT(ADDRESS(2,COLUMN())),OFFSET($AT$2,0,0,ROW()-1,40),ROW()-1,FALSE))</f>
        <v>3625</v>
      </c>
      <c r="AO181">
        <f ca="1">IF(AND(ISNUMBER($AO$301),$B$294=1),$AO$301,HLOOKUP(INDIRECT(ADDRESS(2,COLUMN())),OFFSET($AT$2,0,0,ROW()-1,40),ROW()-1,FALSE))</f>
        <v>2665</v>
      </c>
      <c r="AP181">
        <f ca="1">IF(AND(ISNUMBER($AP$301),$B$294=1),$AP$301,HLOOKUP(INDIRECT(ADDRESS(2,COLUMN())),OFFSET($AT$2,0,0,ROW()-1,40),ROW()-1,FALSE))</f>
        <v>3048</v>
      </c>
      <c r="AQ181">
        <f ca="1">IF(AND(ISNUMBER($AQ$301),$B$294=1),$AQ$301,HLOOKUP(INDIRECT(ADDRESS(2,COLUMN())),OFFSET($AT$2,0,0,ROW()-1,40),ROW()-1,FALSE))</f>
        <v>2780</v>
      </c>
      <c r="AR181">
        <f ca="1">IF(AND(ISNUMBER($AR$301),$B$294=1),$AR$301,HLOOKUP(INDIRECT(ADDRESS(2,COLUMN())),OFFSET($AT$2,0,0,ROW()-1,40),ROW()-1,FALSE))</f>
        <v>2634</v>
      </c>
      <c r="AS181">
        <f ca="1">IF(AND(ISNUMBER($AS$301),$B$294=1),$AS$301,HLOOKUP(INDIRECT(ADDRESS(2,COLUMN())),OFFSET($AT$2,0,0,ROW()-1,40),ROW()-1,FALSE))</f>
        <v>2698</v>
      </c>
      <c r="AT181">
        <f>2769</f>
        <v>2769</v>
      </c>
      <c r="AU181">
        <f>2689</f>
        <v>2689</v>
      </c>
      <c r="AV181">
        <f>2427</f>
        <v>2427</v>
      </c>
      <c r="AW181">
        <f>2432</f>
        <v>2432</v>
      </c>
      <c r="AX181">
        <f>2530</f>
        <v>2530</v>
      </c>
      <c r="AY181">
        <f>2414</f>
        <v>2414</v>
      </c>
      <c r="AZ181">
        <f>2323</f>
        <v>2323</v>
      </c>
      <c r="BA181">
        <f>2112</f>
        <v>2112</v>
      </c>
      <c r="BB181">
        <f>1331</f>
        <v>1331</v>
      </c>
      <c r="BC181">
        <f>1188</f>
        <v>1188</v>
      </c>
      <c r="BD181">
        <f>3079</f>
        <v>3079</v>
      </c>
      <c r="BE181">
        <f>1965</f>
        <v>1965</v>
      </c>
      <c r="BF181">
        <f>2108</f>
        <v>2108</v>
      </c>
      <c r="BG181">
        <f>2791</f>
        <v>2791</v>
      </c>
      <c r="BH181">
        <f>2516</f>
        <v>2516</v>
      </c>
      <c r="BI181">
        <f>2333</f>
        <v>2333</v>
      </c>
      <c r="BJ181">
        <f>2741</f>
        <v>2741</v>
      </c>
      <c r="BK181">
        <f>2587</f>
        <v>2587</v>
      </c>
      <c r="BL181">
        <f>2538</f>
        <v>2538</v>
      </c>
      <c r="BM181">
        <f>2926</f>
        <v>2926</v>
      </c>
      <c r="BN181">
        <f>2208</f>
        <v>2208</v>
      </c>
      <c r="BO181">
        <f>1682</f>
        <v>1682</v>
      </c>
      <c r="BP181">
        <f>3019</f>
        <v>3019</v>
      </c>
      <c r="BQ181">
        <f>2672</f>
        <v>2672</v>
      </c>
      <c r="BR181">
        <f>2922</f>
        <v>2922</v>
      </c>
      <c r="BS181">
        <f>3390</f>
        <v>3390</v>
      </c>
      <c r="BT181">
        <f>3598</f>
        <v>3598</v>
      </c>
      <c r="BU181">
        <f>3486</f>
        <v>3486</v>
      </c>
      <c r="BV181">
        <f>3734</f>
        <v>3734</v>
      </c>
      <c r="BW181">
        <f>3145</f>
        <v>3145</v>
      </c>
      <c r="BX181">
        <f>3417</f>
        <v>3417</v>
      </c>
      <c r="BY181">
        <f>2952</f>
        <v>2952</v>
      </c>
      <c r="BZ181">
        <f>2695</f>
        <v>2695</v>
      </c>
      <c r="CA181">
        <f>2171</f>
        <v>2171</v>
      </c>
      <c r="CB181">
        <f>3625</f>
        <v>3625</v>
      </c>
      <c r="CC181">
        <f>2665</f>
        <v>2665</v>
      </c>
      <c r="CD181">
        <f>3048</f>
        <v>3048</v>
      </c>
      <c r="CE181">
        <f>2780</f>
        <v>2780</v>
      </c>
      <c r="CF181">
        <f>2634</f>
        <v>2634</v>
      </c>
      <c r="CG181">
        <f>2698</f>
        <v>2698</v>
      </c>
    </row>
    <row r="182" spans="1:85" x14ac:dyDescent="0.25">
      <c r="A182" t="str">
        <f>"    PACCAR - Peterbilt"</f>
        <v xml:space="preserve">    PACCAR - Peterbilt</v>
      </c>
      <c r="B182" t="str">
        <f>"PCAR US Equity"</f>
        <v>PCAR US Equity</v>
      </c>
      <c r="C182" t="str">
        <f t="shared" si="7"/>
        <v>X1701</v>
      </c>
      <c r="D182" t="str">
        <f t="shared" si="8"/>
        <v>WARDS_RETAIL_SALES_UNITS</v>
      </c>
      <c r="E182" t="str">
        <f t="shared" si="6"/>
        <v>Dynamic</v>
      </c>
      <c r="F182">
        <f ca="1">IF(AND(ISNUMBER($F$302),$B$294=1),$F$302,HLOOKUP(INDIRECT(ADDRESS(2,COLUMN())),OFFSET($AT$2,0,0,ROW()-1,40),ROW()-1,FALSE))</f>
        <v>3076</v>
      </c>
      <c r="G182">
        <f ca="1">IF(AND(ISNUMBER($G$302),$B$294=1),$G$302,HLOOKUP(INDIRECT(ADDRESS(2,COLUMN())),OFFSET($AT$2,0,0,ROW()-1,40),ROW()-1,FALSE))</f>
        <v>2604</v>
      </c>
      <c r="H182">
        <f ca="1">IF(AND(ISNUMBER($H$302),$B$294=1),$H$302,HLOOKUP(INDIRECT(ADDRESS(2,COLUMN())),OFFSET($AT$2,0,0,ROW()-1,40),ROW()-1,FALSE))</f>
        <v>2761</v>
      </c>
      <c r="I182">
        <f ca="1">IF(AND(ISNUMBER($I$302),$B$294=1),$I$302,HLOOKUP(INDIRECT(ADDRESS(2,COLUMN())),OFFSET($AT$2,0,0,ROW()-1,40),ROW()-1,FALSE))</f>
        <v>2587</v>
      </c>
      <c r="J182">
        <f ca="1">IF(AND(ISNUMBER($J$302),$B$294=1),$J$302,HLOOKUP(INDIRECT(ADDRESS(2,COLUMN())),OFFSET($AT$2,0,0,ROW()-1,40),ROW()-1,FALSE))</f>
        <v>2781</v>
      </c>
      <c r="K182">
        <f ca="1">IF(AND(ISNUMBER($K$302),$B$294=1),$K$302,HLOOKUP(INDIRECT(ADDRESS(2,COLUMN())),OFFSET($AT$2,0,0,ROW()-1,40),ROW()-1,FALSE))</f>
        <v>2454</v>
      </c>
      <c r="L182">
        <f ca="1">IF(AND(ISNUMBER($L$302),$B$294=1),$L$302,HLOOKUP(INDIRECT(ADDRESS(2,COLUMN())),OFFSET($AT$2,0,0,ROW()-1,40),ROW()-1,FALSE))</f>
        <v>2285</v>
      </c>
      <c r="M182">
        <f ca="1">IF(AND(ISNUMBER($M$302),$B$294=1),$M$302,HLOOKUP(INDIRECT(ADDRESS(2,COLUMN())),OFFSET($AT$2,0,0,ROW()-1,40),ROW()-1,FALSE))</f>
        <v>2192</v>
      </c>
      <c r="N182">
        <f ca="1">IF(AND(ISNUMBER($N$302),$B$294=1),$N$302,HLOOKUP(INDIRECT(ADDRESS(2,COLUMN())),OFFSET($AT$2,0,0,ROW()-1,40),ROW()-1,FALSE))</f>
        <v>1816</v>
      </c>
      <c r="O182">
        <f ca="1">IF(AND(ISNUMBER($O$302),$B$294=1),$O$302,HLOOKUP(INDIRECT(ADDRESS(2,COLUMN())),OFFSET($AT$2,0,0,ROW()-1,40),ROW()-1,FALSE))</f>
        <v>1862</v>
      </c>
      <c r="P182">
        <f ca="1">IF(AND(ISNUMBER($P$302),$B$294=1),$P$302,HLOOKUP(INDIRECT(ADDRESS(2,COLUMN())),OFFSET($AT$2,0,0,ROW()-1,40),ROW()-1,FALSE))</f>
        <v>2120</v>
      </c>
      <c r="Q182">
        <f ca="1">IF(AND(ISNUMBER($Q$302),$B$294=1),$Q$302,HLOOKUP(INDIRECT(ADDRESS(2,COLUMN())),OFFSET($AT$2,0,0,ROW()-1,40),ROW()-1,FALSE))</f>
        <v>2062</v>
      </c>
      <c r="R182">
        <f ca="1">IF(AND(ISNUMBER($R$302),$B$294=1),$R$302,HLOOKUP(INDIRECT(ADDRESS(2,COLUMN())),OFFSET($AT$2,0,0,ROW()-1,40),ROW()-1,FALSE))</f>
        <v>2069</v>
      </c>
      <c r="S182">
        <f ca="1">IF(AND(ISNUMBER($S$302),$B$294=1),$S$302,HLOOKUP(INDIRECT(ADDRESS(2,COLUMN())),OFFSET($AT$2,0,0,ROW()-1,40),ROW()-1,FALSE))</f>
        <v>2152</v>
      </c>
      <c r="T182">
        <f ca="1">IF(AND(ISNUMBER($T$302),$B$294=1),$T$302,HLOOKUP(INDIRECT(ADDRESS(2,COLUMN())),OFFSET($AT$2,0,0,ROW()-1,40),ROW()-1,FALSE))</f>
        <v>2260</v>
      </c>
      <c r="U182">
        <f ca="1">IF(AND(ISNUMBER($U$302),$B$294=1),$U$302,HLOOKUP(INDIRECT(ADDRESS(2,COLUMN())),OFFSET($AT$2,0,0,ROW()-1,40),ROW()-1,FALSE))</f>
        <v>2236</v>
      </c>
      <c r="V182">
        <f ca="1">IF(AND(ISNUMBER($V$302),$B$294=1),$V$302,HLOOKUP(INDIRECT(ADDRESS(2,COLUMN())),OFFSET($AT$2,0,0,ROW()-1,40),ROW()-1,FALSE))</f>
        <v>2333</v>
      </c>
      <c r="W182">
        <f ca="1">IF(AND(ISNUMBER($W$302),$B$294=1),$W$302,HLOOKUP(INDIRECT(ADDRESS(2,COLUMN())),OFFSET($AT$2,0,0,ROW()-1,40),ROW()-1,FALSE))</f>
        <v>2347</v>
      </c>
      <c r="X182">
        <f ca="1">IF(AND(ISNUMBER($X$302),$B$294=1),$X$302,HLOOKUP(INDIRECT(ADDRESS(2,COLUMN())),OFFSET($AT$2,0,0,ROW()-1,40),ROW()-1,FALSE))</f>
        <v>2332</v>
      </c>
      <c r="Y182">
        <f ca="1">IF(AND(ISNUMBER($Y$302),$B$294=1),$Y$302,HLOOKUP(INDIRECT(ADDRESS(2,COLUMN())),OFFSET($AT$2,0,0,ROW()-1,40),ROW()-1,FALSE))</f>
        <v>2327</v>
      </c>
      <c r="Z182">
        <f ca="1">IF(AND(ISNUMBER($Z$302),$B$294=1),$Z$302,HLOOKUP(INDIRECT(ADDRESS(2,COLUMN())),OFFSET($AT$2,0,0,ROW()-1,40),ROW()-1,FALSE))</f>
        <v>2169</v>
      </c>
      <c r="AA182">
        <f ca="1">IF(AND(ISNUMBER($AA$302),$B$294=1),$AA$302,HLOOKUP(INDIRECT(ADDRESS(2,COLUMN())),OFFSET($AT$2,0,0,ROW()-1,40),ROW()-1,FALSE))</f>
        <v>2124</v>
      </c>
      <c r="AB182">
        <f ca="1">IF(AND(ISNUMBER($AB$302),$B$294=1),$AB$302,HLOOKUP(INDIRECT(ADDRESS(2,COLUMN())),OFFSET($AT$2,0,0,ROW()-1,40),ROW()-1,FALSE))</f>
        <v>2419</v>
      </c>
      <c r="AC182">
        <f ca="1">IF(AND(ISNUMBER($AC$302),$B$294=1),$AC$302,HLOOKUP(INDIRECT(ADDRESS(2,COLUMN())),OFFSET($AT$2,0,0,ROW()-1,40),ROW()-1,FALSE))</f>
        <v>1857</v>
      </c>
      <c r="AD182">
        <f ca="1">IF(AND(ISNUMBER($AD$302),$B$294=1),$AD$302,HLOOKUP(INDIRECT(ADDRESS(2,COLUMN())),OFFSET($AT$2,0,0,ROW()-1,40),ROW()-1,FALSE))</f>
        <v>2212</v>
      </c>
      <c r="AE182">
        <f ca="1">IF(AND(ISNUMBER($AE$302),$B$294=1),$AE$302,HLOOKUP(INDIRECT(ADDRESS(2,COLUMN())),OFFSET($AT$2,0,0,ROW()-1,40),ROW()-1,FALSE))</f>
        <v>2812</v>
      </c>
      <c r="AF182">
        <f ca="1">IF(AND(ISNUMBER($AF$302),$B$294=1),$AF$302,HLOOKUP(INDIRECT(ADDRESS(2,COLUMN())),OFFSET($AT$2,0,0,ROW()-1,40),ROW()-1,FALSE))</f>
        <v>3036</v>
      </c>
      <c r="AG182">
        <f ca="1">IF(AND(ISNUMBER($AG$302),$B$294=1),$AG$302,HLOOKUP(INDIRECT(ADDRESS(2,COLUMN())),OFFSET($AT$2,0,0,ROW()-1,40),ROW()-1,FALSE))</f>
        <v>3075</v>
      </c>
      <c r="AH182">
        <f ca="1">IF(AND(ISNUMBER($AH$302),$B$294=1),$AH$302,HLOOKUP(INDIRECT(ADDRESS(2,COLUMN())),OFFSET($AT$2,0,0,ROW()-1,40),ROW()-1,FALSE))</f>
        <v>2935</v>
      </c>
      <c r="AI182">
        <f ca="1">IF(AND(ISNUMBER($AI$302),$B$294=1),$AI$302,HLOOKUP(INDIRECT(ADDRESS(2,COLUMN())),OFFSET($AT$2,0,0,ROW()-1,40),ROW()-1,FALSE))</f>
        <v>2894</v>
      </c>
      <c r="AJ182">
        <f ca="1">IF(AND(ISNUMBER($AJ$302),$B$294=1),$AJ$302,HLOOKUP(INDIRECT(ADDRESS(2,COLUMN())),OFFSET($AT$2,0,0,ROW()-1,40),ROW()-1,FALSE))</f>
        <v>2981</v>
      </c>
      <c r="AK182">
        <f ca="1">IF(AND(ISNUMBER($AK$302),$B$294=1),$AK$302,HLOOKUP(INDIRECT(ADDRESS(2,COLUMN())),OFFSET($AT$2,0,0,ROW()-1,40),ROW()-1,FALSE))</f>
        <v>2792</v>
      </c>
      <c r="AL182">
        <f ca="1">IF(AND(ISNUMBER($AL$302),$B$294=1),$AL$302,HLOOKUP(INDIRECT(ADDRESS(2,COLUMN())),OFFSET($AT$2,0,0,ROW()-1,40),ROW()-1,FALSE))</f>
        <v>2470</v>
      </c>
      <c r="AM182">
        <f ca="1">IF(AND(ISNUMBER($AM$302),$B$294=1),$AM$302,HLOOKUP(INDIRECT(ADDRESS(2,COLUMN())),OFFSET($AT$2,0,0,ROW()-1,40),ROW()-1,FALSE))</f>
        <v>2238</v>
      </c>
      <c r="AN182">
        <f ca="1">IF(AND(ISNUMBER($AN$302),$B$294=1),$AN$302,HLOOKUP(INDIRECT(ADDRESS(2,COLUMN())),OFFSET($AT$2,0,0,ROW()-1,40),ROW()-1,FALSE))</f>
        <v>2890</v>
      </c>
      <c r="AO182">
        <f ca="1">IF(AND(ISNUMBER($AO$302),$B$294=1),$AO$302,HLOOKUP(INDIRECT(ADDRESS(2,COLUMN())),OFFSET($AT$2,0,0,ROW()-1,40),ROW()-1,FALSE))</f>
        <v>2673</v>
      </c>
      <c r="AP182">
        <f ca="1">IF(AND(ISNUMBER($AP$302),$B$294=1),$AP$302,HLOOKUP(INDIRECT(ADDRESS(2,COLUMN())),OFFSET($AT$2,0,0,ROW()-1,40),ROW()-1,FALSE))</f>
        <v>3080</v>
      </c>
      <c r="AQ182">
        <f ca="1">IF(AND(ISNUMBER($AQ$302),$B$294=1),$AQ$302,HLOOKUP(INDIRECT(ADDRESS(2,COLUMN())),OFFSET($AT$2,0,0,ROW()-1,40),ROW()-1,FALSE))</f>
        <v>2792</v>
      </c>
      <c r="AR182">
        <f ca="1">IF(AND(ISNUMBER($AR$302),$B$294=1),$AR$302,HLOOKUP(INDIRECT(ADDRESS(2,COLUMN())),OFFSET($AT$2,0,0,ROW()-1,40),ROW()-1,FALSE))</f>
        <v>2635</v>
      </c>
      <c r="AS182">
        <f ca="1">IF(AND(ISNUMBER($AS$302),$B$294=1),$AS$302,HLOOKUP(INDIRECT(ADDRESS(2,COLUMN())),OFFSET($AT$2,0,0,ROW()-1,40),ROW()-1,FALSE))</f>
        <v>2520</v>
      </c>
      <c r="AT182">
        <f>3076</f>
        <v>3076</v>
      </c>
      <c r="AU182">
        <f>2604</f>
        <v>2604</v>
      </c>
      <c r="AV182">
        <f>2761</f>
        <v>2761</v>
      </c>
      <c r="AW182">
        <f>2587</f>
        <v>2587</v>
      </c>
      <c r="AX182">
        <f>2781</f>
        <v>2781</v>
      </c>
      <c r="AY182">
        <f>2454</f>
        <v>2454</v>
      </c>
      <c r="AZ182">
        <f>2285</f>
        <v>2285</v>
      </c>
      <c r="BA182">
        <f>2192</f>
        <v>2192</v>
      </c>
      <c r="BB182">
        <f>1816</f>
        <v>1816</v>
      </c>
      <c r="BC182">
        <f>1862</f>
        <v>1862</v>
      </c>
      <c r="BD182">
        <f>2120</f>
        <v>2120</v>
      </c>
      <c r="BE182">
        <f>2062</f>
        <v>2062</v>
      </c>
      <c r="BF182">
        <f>2069</f>
        <v>2069</v>
      </c>
      <c r="BG182">
        <f>2152</f>
        <v>2152</v>
      </c>
      <c r="BH182">
        <f>2260</f>
        <v>2260</v>
      </c>
      <c r="BI182">
        <f>2236</f>
        <v>2236</v>
      </c>
      <c r="BJ182">
        <f>2333</f>
        <v>2333</v>
      </c>
      <c r="BK182">
        <f>2347</f>
        <v>2347</v>
      </c>
      <c r="BL182">
        <f>2332</f>
        <v>2332</v>
      </c>
      <c r="BM182">
        <f>2327</f>
        <v>2327</v>
      </c>
      <c r="BN182">
        <f>2169</f>
        <v>2169</v>
      </c>
      <c r="BO182">
        <f>2124</f>
        <v>2124</v>
      </c>
      <c r="BP182">
        <f>2419</f>
        <v>2419</v>
      </c>
      <c r="BQ182">
        <f>1857</f>
        <v>1857</v>
      </c>
      <c r="BR182">
        <f>2212</f>
        <v>2212</v>
      </c>
      <c r="BS182">
        <f>2812</f>
        <v>2812</v>
      </c>
      <c r="BT182">
        <f>3036</f>
        <v>3036</v>
      </c>
      <c r="BU182">
        <f>3075</f>
        <v>3075</v>
      </c>
      <c r="BV182">
        <f>2935</f>
        <v>2935</v>
      </c>
      <c r="BW182">
        <f>2894</f>
        <v>2894</v>
      </c>
      <c r="BX182">
        <f>2981</f>
        <v>2981</v>
      </c>
      <c r="BY182">
        <f>2792</f>
        <v>2792</v>
      </c>
      <c r="BZ182">
        <f>2470</f>
        <v>2470</v>
      </c>
      <c r="CA182">
        <f>2238</f>
        <v>2238</v>
      </c>
      <c r="CB182">
        <f>2890</f>
        <v>2890</v>
      </c>
      <c r="CC182">
        <f>2673</f>
        <v>2673</v>
      </c>
      <c r="CD182">
        <f>3080</f>
        <v>3080</v>
      </c>
      <c r="CE182">
        <f>2792</f>
        <v>2792</v>
      </c>
      <c r="CF182">
        <f>2635</f>
        <v>2635</v>
      </c>
      <c r="CG182">
        <f>2520</f>
        <v>2520</v>
      </c>
    </row>
    <row r="183" spans="1:85" x14ac:dyDescent="0.25">
      <c r="A183" t="str">
        <f>"    Volvo - Volvo Truck"</f>
        <v xml:space="preserve">    Volvo - Volvo Truck</v>
      </c>
      <c r="B183" t="str">
        <f>"VOLVB SS Equity"</f>
        <v>VOLVB SS Equity</v>
      </c>
      <c r="C183" t="str">
        <f t="shared" si="7"/>
        <v>X1701</v>
      </c>
      <c r="D183" t="str">
        <f t="shared" si="8"/>
        <v>WARDS_RETAIL_SALES_UNITS</v>
      </c>
      <c r="E183" t="str">
        <f t="shared" si="6"/>
        <v>Dynamic</v>
      </c>
      <c r="F183">
        <f ca="1">IF(AND(ISNUMBER($F$303),$B$294=1),$F$303,HLOOKUP(INDIRECT(ADDRESS(2,COLUMN())),OFFSET($AT$2,0,0,ROW()-1,40),ROW()-1,FALSE))</f>
        <v>1500</v>
      </c>
      <c r="G183">
        <f ca="1">IF(AND(ISNUMBER($G$303),$B$294=1),$G$303,HLOOKUP(INDIRECT(ADDRESS(2,COLUMN())),OFFSET($AT$2,0,0,ROW()-1,40),ROW()-1,FALSE))</f>
        <v>1384</v>
      </c>
      <c r="H183">
        <f ca="1">IF(AND(ISNUMBER($H$303),$B$294=1),$H$303,HLOOKUP(INDIRECT(ADDRESS(2,COLUMN())),OFFSET($AT$2,0,0,ROW()-1,40),ROW()-1,FALSE))</f>
        <v>1513</v>
      </c>
      <c r="I183">
        <f ca="1">IF(AND(ISNUMBER($I$303),$B$294=1),$I$303,HLOOKUP(INDIRECT(ADDRESS(2,COLUMN())),OFFSET($AT$2,0,0,ROW()-1,40),ROW()-1,FALSE))</f>
        <v>1282</v>
      </c>
      <c r="J183">
        <f ca="1">IF(AND(ISNUMBER($J$303),$B$294=1),$J$303,HLOOKUP(INDIRECT(ADDRESS(2,COLUMN())),OFFSET($AT$2,0,0,ROW()-1,40),ROW()-1,FALSE))</f>
        <v>1630</v>
      </c>
      <c r="K183">
        <f ca="1">IF(AND(ISNUMBER($K$303),$B$294=1),$K$303,HLOOKUP(INDIRECT(ADDRESS(2,COLUMN())),OFFSET($AT$2,0,0,ROW()-1,40),ROW()-1,FALSE))</f>
        <v>1351</v>
      </c>
      <c r="L183">
        <f ca="1">IF(AND(ISNUMBER($L$303),$B$294=1),$L$303,HLOOKUP(INDIRECT(ADDRESS(2,COLUMN())),OFFSET($AT$2,0,0,ROW()-1,40),ROW()-1,FALSE))</f>
        <v>1226</v>
      </c>
      <c r="M183">
        <f ca="1">IF(AND(ISNUMBER($M$303),$B$294=1),$M$303,HLOOKUP(INDIRECT(ADDRESS(2,COLUMN())),OFFSET($AT$2,0,0,ROW()-1,40),ROW()-1,FALSE))</f>
        <v>1640</v>
      </c>
      <c r="N183">
        <f ca="1">IF(AND(ISNUMBER($N$303),$B$294=1),$N$303,HLOOKUP(INDIRECT(ADDRESS(2,COLUMN())),OFFSET($AT$2,0,0,ROW()-1,40),ROW()-1,FALSE))</f>
        <v>1048</v>
      </c>
      <c r="O183">
        <f ca="1">IF(AND(ISNUMBER($O$303),$B$294=1),$O$303,HLOOKUP(INDIRECT(ADDRESS(2,COLUMN())),OFFSET($AT$2,0,0,ROW()-1,40),ROW()-1,FALSE))</f>
        <v>1178</v>
      </c>
      <c r="P183">
        <f ca="1">IF(AND(ISNUMBER($P$303),$B$294=1),$P$303,HLOOKUP(INDIRECT(ADDRESS(2,COLUMN())),OFFSET($AT$2,0,0,ROW()-1,40),ROW()-1,FALSE))</f>
        <v>2354</v>
      </c>
      <c r="Q183">
        <f ca="1">IF(AND(ISNUMBER($Q$303),$B$294=1),$Q$303,HLOOKUP(INDIRECT(ADDRESS(2,COLUMN())),OFFSET($AT$2,0,0,ROW()-1,40),ROW()-1,FALSE))</f>
        <v>1451</v>
      </c>
      <c r="R183">
        <f ca="1">IF(AND(ISNUMBER($R$303),$B$294=1),$R$303,HLOOKUP(INDIRECT(ADDRESS(2,COLUMN())),OFFSET($AT$2,0,0,ROW()-1,40),ROW()-1,FALSE))</f>
        <v>1414</v>
      </c>
      <c r="S183">
        <f ca="1">IF(AND(ISNUMBER($S$303),$B$294=1),$S$303,HLOOKUP(INDIRECT(ADDRESS(2,COLUMN())),OFFSET($AT$2,0,0,ROW()-1,40),ROW()-1,FALSE))</f>
        <v>1557</v>
      </c>
      <c r="T183">
        <f ca="1">IF(AND(ISNUMBER($T$303),$B$294=1),$T$303,HLOOKUP(INDIRECT(ADDRESS(2,COLUMN())),OFFSET($AT$2,0,0,ROW()-1,40),ROW()-1,FALSE))</f>
        <v>1696</v>
      </c>
      <c r="U183">
        <f ca="1">IF(AND(ISNUMBER($U$303),$B$294=1),$U$303,HLOOKUP(INDIRECT(ADDRESS(2,COLUMN())),OFFSET($AT$2,0,0,ROW()-1,40),ROW()-1,FALSE))</f>
        <v>1562</v>
      </c>
      <c r="V183">
        <f ca="1">IF(AND(ISNUMBER($V$303),$B$294=1),$V$303,HLOOKUP(INDIRECT(ADDRESS(2,COLUMN())),OFFSET($AT$2,0,0,ROW()-1,40),ROW()-1,FALSE))</f>
        <v>2465</v>
      </c>
      <c r="W183">
        <f ca="1">IF(AND(ISNUMBER($W$303),$B$294=1),$W$303,HLOOKUP(INDIRECT(ADDRESS(2,COLUMN())),OFFSET($AT$2,0,0,ROW()-1,40),ROW()-1,FALSE))</f>
        <v>1775</v>
      </c>
      <c r="X183">
        <f ca="1">IF(AND(ISNUMBER($X$303),$B$294=1),$X$303,HLOOKUP(INDIRECT(ADDRESS(2,COLUMN())),OFFSET($AT$2,0,0,ROW()-1,40),ROW()-1,FALSE))</f>
        <v>1828</v>
      </c>
      <c r="Y183">
        <f ca="1">IF(AND(ISNUMBER($Y$303),$B$294=1),$Y$303,HLOOKUP(INDIRECT(ADDRESS(2,COLUMN())),OFFSET($AT$2,0,0,ROW()-1,40),ROW()-1,FALSE))</f>
        <v>1468</v>
      </c>
      <c r="Z183">
        <f ca="1">IF(AND(ISNUMBER($Z$303),$B$294=1),$Z$303,HLOOKUP(INDIRECT(ADDRESS(2,COLUMN())),OFFSET($AT$2,0,0,ROW()-1,40),ROW()-1,FALSE))</f>
        <v>1888</v>
      </c>
      <c r="AA183">
        <f ca="1">IF(AND(ISNUMBER($AA$303),$B$294=1),$AA$303,HLOOKUP(INDIRECT(ADDRESS(2,COLUMN())),OFFSET($AT$2,0,0,ROW()-1,40),ROW()-1,FALSE))</f>
        <v>1085</v>
      </c>
      <c r="AB183">
        <f ca="1">IF(AND(ISNUMBER($AB$303),$B$294=1),$AB$303,HLOOKUP(INDIRECT(ADDRESS(2,COLUMN())),OFFSET($AT$2,0,0,ROW()-1,40),ROW()-1,FALSE))</f>
        <v>3394</v>
      </c>
      <c r="AC183">
        <f ca="1">IF(AND(ISNUMBER($AC$303),$B$294=1),$AC$303,HLOOKUP(INDIRECT(ADDRESS(2,COLUMN())),OFFSET($AT$2,0,0,ROW()-1,40),ROW()-1,FALSE))</f>
        <v>2192</v>
      </c>
      <c r="AD183">
        <f ca="1">IF(AND(ISNUMBER($AD$303),$B$294=1),$AD$303,HLOOKUP(INDIRECT(ADDRESS(2,COLUMN())),OFFSET($AT$2,0,0,ROW()-1,40),ROW()-1,FALSE))</f>
        <v>2317</v>
      </c>
      <c r="AE183">
        <f ca="1">IF(AND(ISNUMBER($AE$303),$B$294=1),$AE$303,HLOOKUP(INDIRECT(ADDRESS(2,COLUMN())),OFFSET($AT$2,0,0,ROW()-1,40),ROW()-1,FALSE))</f>
        <v>2272</v>
      </c>
      <c r="AF183">
        <f ca="1">IF(AND(ISNUMBER($AF$303),$B$294=1),$AF$303,HLOOKUP(INDIRECT(ADDRESS(2,COLUMN())),OFFSET($AT$2,0,0,ROW()-1,40),ROW()-1,FALSE))</f>
        <v>2500</v>
      </c>
      <c r="AG183">
        <f ca="1">IF(AND(ISNUMBER($AG$303),$B$294=1),$AG$303,HLOOKUP(INDIRECT(ADDRESS(2,COLUMN())),OFFSET($AT$2,0,0,ROW()-1,40),ROW()-1,FALSE))</f>
        <v>2656</v>
      </c>
      <c r="AH183">
        <f ca="1">IF(AND(ISNUMBER($AH$303),$B$294=1),$AH$303,HLOOKUP(INDIRECT(ADDRESS(2,COLUMN())),OFFSET($AT$2,0,0,ROW()-1,40),ROW()-1,FALSE))</f>
        <v>3276</v>
      </c>
      <c r="AI183">
        <f ca="1">IF(AND(ISNUMBER($AI$303),$B$294=1),$AI$303,HLOOKUP(INDIRECT(ADDRESS(2,COLUMN())),OFFSET($AT$2,0,0,ROW()-1,40),ROW()-1,FALSE))</f>
        <v>2799</v>
      </c>
      <c r="AJ183">
        <f ca="1">IF(AND(ISNUMBER($AJ$303),$B$294=1),$AJ$303,HLOOKUP(INDIRECT(ADDRESS(2,COLUMN())),OFFSET($AT$2,0,0,ROW()-1,40),ROW()-1,FALSE))</f>
        <v>2712</v>
      </c>
      <c r="AK183">
        <f ca="1">IF(AND(ISNUMBER($AK$303),$B$294=1),$AK$303,HLOOKUP(INDIRECT(ADDRESS(2,COLUMN())),OFFSET($AT$2,0,0,ROW()-1,40),ROW()-1,FALSE))</f>
        <v>2874</v>
      </c>
      <c r="AL183">
        <f ca="1">IF(AND(ISNUMBER($AL$303),$B$294=1),$AL$303,HLOOKUP(INDIRECT(ADDRESS(2,COLUMN())),OFFSET($AT$2,0,0,ROW()-1,40),ROW()-1,FALSE))</f>
        <v>2211</v>
      </c>
      <c r="AM183">
        <f ca="1">IF(AND(ISNUMBER($AM$303),$B$294=1),$AM$303,HLOOKUP(INDIRECT(ADDRESS(2,COLUMN())),OFFSET($AT$2,0,0,ROW()-1,40),ROW()-1,FALSE))</f>
        <v>1727</v>
      </c>
      <c r="AN183">
        <f ca="1">IF(AND(ISNUMBER($AN$303),$B$294=1),$AN$303,HLOOKUP(INDIRECT(ADDRESS(2,COLUMN())),OFFSET($AT$2,0,0,ROW()-1,40),ROW()-1,FALSE))</f>
        <v>2929</v>
      </c>
      <c r="AO183">
        <f ca="1">IF(AND(ISNUMBER($AO$303),$B$294=1),$AO$303,HLOOKUP(INDIRECT(ADDRESS(2,COLUMN())),OFFSET($AT$2,0,0,ROW()-1,40),ROW()-1,FALSE))</f>
        <v>1904</v>
      </c>
      <c r="AP183">
        <f ca="1">IF(AND(ISNUMBER($AP$303),$B$294=1),$AP$303,HLOOKUP(INDIRECT(ADDRESS(2,COLUMN())),OFFSET($AT$2,0,0,ROW()-1,40),ROW()-1,FALSE))</f>
        <v>2378</v>
      </c>
      <c r="AQ183">
        <f ca="1">IF(AND(ISNUMBER($AQ$303),$B$294=1),$AQ$303,HLOOKUP(INDIRECT(ADDRESS(2,COLUMN())),OFFSET($AT$2,0,0,ROW()-1,40),ROW()-1,FALSE))</f>
        <v>2477</v>
      </c>
      <c r="AR183">
        <f ca="1">IF(AND(ISNUMBER($AR$303),$B$294=1),$AR$303,HLOOKUP(INDIRECT(ADDRESS(2,COLUMN())),OFFSET($AT$2,0,0,ROW()-1,40),ROW()-1,FALSE))</f>
        <v>2326</v>
      </c>
      <c r="AS183">
        <f ca="1">IF(AND(ISNUMBER($AS$303),$B$294=1),$AS$303,HLOOKUP(INDIRECT(ADDRESS(2,COLUMN())),OFFSET($AT$2,0,0,ROW()-1,40),ROW()-1,FALSE))</f>
        <v>1930</v>
      </c>
      <c r="AT183">
        <f>1500</f>
        <v>1500</v>
      </c>
      <c r="AU183">
        <f>1384</f>
        <v>1384</v>
      </c>
      <c r="AV183">
        <f>1513</f>
        <v>1513</v>
      </c>
      <c r="AW183">
        <f>1282</f>
        <v>1282</v>
      </c>
      <c r="AX183">
        <f>1630</f>
        <v>1630</v>
      </c>
      <c r="AY183">
        <f>1351</f>
        <v>1351</v>
      </c>
      <c r="AZ183">
        <f>1226</f>
        <v>1226</v>
      </c>
      <c r="BA183">
        <f>1640</f>
        <v>1640</v>
      </c>
      <c r="BB183">
        <f>1048</f>
        <v>1048</v>
      </c>
      <c r="BC183">
        <f>1178</f>
        <v>1178</v>
      </c>
      <c r="BD183">
        <f>2354</f>
        <v>2354</v>
      </c>
      <c r="BE183">
        <f>1451</f>
        <v>1451</v>
      </c>
      <c r="BF183">
        <f>1414</f>
        <v>1414</v>
      </c>
      <c r="BG183">
        <f>1557</f>
        <v>1557</v>
      </c>
      <c r="BH183">
        <f>1696</f>
        <v>1696</v>
      </c>
      <c r="BI183">
        <f>1562</f>
        <v>1562</v>
      </c>
      <c r="BJ183">
        <f>2465</f>
        <v>2465</v>
      </c>
      <c r="BK183">
        <f>1775</f>
        <v>1775</v>
      </c>
      <c r="BL183">
        <f>1828</f>
        <v>1828</v>
      </c>
      <c r="BM183">
        <f>1468</f>
        <v>1468</v>
      </c>
      <c r="BN183">
        <f>1888</f>
        <v>1888</v>
      </c>
      <c r="BO183">
        <f>1085</f>
        <v>1085</v>
      </c>
      <c r="BP183">
        <f>3394</f>
        <v>3394</v>
      </c>
      <c r="BQ183">
        <f>2192</f>
        <v>2192</v>
      </c>
      <c r="BR183">
        <f>2317</f>
        <v>2317</v>
      </c>
      <c r="BS183">
        <f>2272</f>
        <v>2272</v>
      </c>
      <c r="BT183">
        <f>2500</f>
        <v>2500</v>
      </c>
      <c r="BU183">
        <f>2656</f>
        <v>2656</v>
      </c>
      <c r="BV183">
        <f>3276</f>
        <v>3276</v>
      </c>
      <c r="BW183">
        <f>2799</f>
        <v>2799</v>
      </c>
      <c r="BX183">
        <f>2712</f>
        <v>2712</v>
      </c>
      <c r="BY183">
        <f>2874</f>
        <v>2874</v>
      </c>
      <c r="BZ183">
        <f>2211</f>
        <v>2211</v>
      </c>
      <c r="CA183">
        <f>1727</f>
        <v>1727</v>
      </c>
      <c r="CB183">
        <f>2929</f>
        <v>2929</v>
      </c>
      <c r="CC183">
        <f>1904</f>
        <v>1904</v>
      </c>
      <c r="CD183">
        <f>2378</f>
        <v>2378</v>
      </c>
      <c r="CE183">
        <f>2477</f>
        <v>2477</v>
      </c>
      <c r="CF183">
        <f>2326</f>
        <v>2326</v>
      </c>
      <c r="CG183">
        <f>1930</f>
        <v>1930</v>
      </c>
    </row>
    <row r="184" spans="1:85" x14ac:dyDescent="0.25">
      <c r="A184" t="str">
        <f>"    Volvo - Mack"</f>
        <v xml:space="preserve">    Volvo - Mack</v>
      </c>
      <c r="B184" t="str">
        <f>"VOLVB SS Equity"</f>
        <v>VOLVB SS Equity</v>
      </c>
      <c r="C184" t="str">
        <f t="shared" si="7"/>
        <v>X1701</v>
      </c>
      <c r="D184" t="str">
        <f t="shared" si="8"/>
        <v>WARDS_RETAIL_SALES_UNITS</v>
      </c>
      <c r="E184" t="str">
        <f t="shared" si="6"/>
        <v>Dynamic</v>
      </c>
      <c r="F184">
        <f ca="1">IF(AND(ISNUMBER($F$304),$B$294=1),$F$304,HLOOKUP(INDIRECT(ADDRESS(2,COLUMN())),OFFSET($AT$2,0,0,ROW()-1,40),ROW()-1,FALSE))</f>
        <v>1063</v>
      </c>
      <c r="G184">
        <f ca="1">IF(AND(ISNUMBER($G$304),$B$294=1),$G$304,HLOOKUP(INDIRECT(ADDRESS(2,COLUMN())),OFFSET($AT$2,0,0,ROW()-1,40),ROW()-1,FALSE))</f>
        <v>1312</v>
      </c>
      <c r="H184">
        <f ca="1">IF(AND(ISNUMBER($H$304),$B$294=1),$H$304,HLOOKUP(INDIRECT(ADDRESS(2,COLUMN())),OFFSET($AT$2,0,0,ROW()-1,40),ROW()-1,FALSE))</f>
        <v>1372</v>
      </c>
      <c r="I184">
        <f ca="1">IF(AND(ISNUMBER($I$304),$B$294=1),$I$304,HLOOKUP(INDIRECT(ADDRESS(2,COLUMN())),OFFSET($AT$2,0,0,ROW()-1,40),ROW()-1,FALSE))</f>
        <v>1141</v>
      </c>
      <c r="J184">
        <f ca="1">IF(AND(ISNUMBER($J$304),$B$294=1),$J$304,HLOOKUP(INDIRECT(ADDRESS(2,COLUMN())),OFFSET($AT$2,0,0,ROW()-1,40),ROW()-1,FALSE))</f>
        <v>1764</v>
      </c>
      <c r="K184">
        <f ca="1">IF(AND(ISNUMBER($K$304),$B$294=1),$K$304,HLOOKUP(INDIRECT(ADDRESS(2,COLUMN())),OFFSET($AT$2,0,0,ROW()-1,40),ROW()-1,FALSE))</f>
        <v>1176</v>
      </c>
      <c r="L184">
        <f ca="1">IF(AND(ISNUMBER($L$304),$B$294=1),$L$304,HLOOKUP(INDIRECT(ADDRESS(2,COLUMN())),OFFSET($AT$2,0,0,ROW()-1,40),ROW()-1,FALSE))</f>
        <v>1061</v>
      </c>
      <c r="M184">
        <f ca="1">IF(AND(ISNUMBER($M$304),$B$294=1),$M$304,HLOOKUP(INDIRECT(ADDRESS(2,COLUMN())),OFFSET($AT$2,0,0,ROW()-1,40),ROW()-1,FALSE))</f>
        <v>1658</v>
      </c>
      <c r="N184">
        <f ca="1">IF(AND(ISNUMBER($N$304),$B$294=1),$N$304,HLOOKUP(INDIRECT(ADDRESS(2,COLUMN())),OFFSET($AT$2,0,0,ROW()-1,40),ROW()-1,FALSE))</f>
        <v>1105</v>
      </c>
      <c r="O184">
        <f ca="1">IF(AND(ISNUMBER($O$304),$B$294=1),$O$304,HLOOKUP(INDIRECT(ADDRESS(2,COLUMN())),OFFSET($AT$2,0,0,ROW()-1,40),ROW()-1,FALSE))</f>
        <v>1070</v>
      </c>
      <c r="P184">
        <f ca="1">IF(AND(ISNUMBER($P$304),$B$294=1),$P$304,HLOOKUP(INDIRECT(ADDRESS(2,COLUMN())),OFFSET($AT$2,0,0,ROW()-1,40),ROW()-1,FALSE))</f>
        <v>1903</v>
      </c>
      <c r="Q184">
        <f ca="1">IF(AND(ISNUMBER($Q$304),$B$294=1),$Q$304,HLOOKUP(INDIRECT(ADDRESS(2,COLUMN())),OFFSET($AT$2,0,0,ROW()-1,40),ROW()-1,FALSE))</f>
        <v>1096</v>
      </c>
      <c r="R184">
        <f ca="1">IF(AND(ISNUMBER($R$304),$B$294=1),$R$304,HLOOKUP(INDIRECT(ADDRESS(2,COLUMN())),OFFSET($AT$2,0,0,ROW()-1,40),ROW()-1,FALSE))</f>
        <v>1142</v>
      </c>
      <c r="S184">
        <f ca="1">IF(AND(ISNUMBER($S$304),$B$294=1),$S$304,HLOOKUP(INDIRECT(ADDRESS(2,COLUMN())),OFFSET($AT$2,0,0,ROW()-1,40),ROW()-1,FALSE))</f>
        <v>1372</v>
      </c>
      <c r="T184">
        <f ca="1">IF(AND(ISNUMBER($T$304),$B$294=1),$T$304,HLOOKUP(INDIRECT(ADDRESS(2,COLUMN())),OFFSET($AT$2,0,0,ROW()-1,40),ROW()-1,FALSE))</f>
        <v>1292</v>
      </c>
      <c r="U184">
        <f ca="1">IF(AND(ISNUMBER($U$304),$B$294=1),$U$304,HLOOKUP(INDIRECT(ADDRESS(2,COLUMN())),OFFSET($AT$2,0,0,ROW()-1,40),ROW()-1,FALSE))</f>
        <v>1370</v>
      </c>
      <c r="V184">
        <f ca="1">IF(AND(ISNUMBER($V$304),$B$294=1),$V$304,HLOOKUP(INDIRECT(ADDRESS(2,COLUMN())),OFFSET($AT$2,0,0,ROW()-1,40),ROW()-1,FALSE))</f>
        <v>2055</v>
      </c>
      <c r="W184">
        <f ca="1">IF(AND(ISNUMBER($W$304),$B$294=1),$W$304,HLOOKUP(INDIRECT(ADDRESS(2,COLUMN())),OFFSET($AT$2,0,0,ROW()-1,40),ROW()-1,FALSE))</f>
        <v>1376</v>
      </c>
      <c r="X184">
        <f ca="1">IF(AND(ISNUMBER($X$304),$B$294=1),$X$304,HLOOKUP(INDIRECT(ADDRESS(2,COLUMN())),OFFSET($AT$2,0,0,ROW()-1,40),ROW()-1,FALSE))</f>
        <v>1194</v>
      </c>
      <c r="Y184">
        <f ca="1">IF(AND(ISNUMBER($Y$304),$B$294=1),$Y$304,HLOOKUP(INDIRECT(ADDRESS(2,COLUMN())),OFFSET($AT$2,0,0,ROW()-1,40),ROW()-1,FALSE))</f>
        <v>1918</v>
      </c>
      <c r="Z184">
        <f ca="1">IF(AND(ISNUMBER($Z$304),$B$294=1),$Z$304,HLOOKUP(INDIRECT(ADDRESS(2,COLUMN())),OFFSET($AT$2,0,0,ROW()-1,40),ROW()-1,FALSE))</f>
        <v>1254</v>
      </c>
      <c r="AA184">
        <f ca="1">IF(AND(ISNUMBER($AA$304),$B$294=1),$AA$304,HLOOKUP(INDIRECT(ADDRESS(2,COLUMN())),OFFSET($AT$2,0,0,ROW()-1,40),ROW()-1,FALSE))</f>
        <v>1181</v>
      </c>
      <c r="AB184">
        <f ca="1">IF(AND(ISNUMBER($AB$304),$B$294=1),$AB$304,HLOOKUP(INDIRECT(ADDRESS(2,COLUMN())),OFFSET($AT$2,0,0,ROW()-1,40),ROW()-1,FALSE))</f>
        <v>2350</v>
      </c>
      <c r="AC184">
        <f ca="1">IF(AND(ISNUMBER($AC$304),$B$294=1),$AC$304,HLOOKUP(INDIRECT(ADDRESS(2,COLUMN())),OFFSET($AT$2,0,0,ROW()-1,40),ROW()-1,FALSE))</f>
        <v>1471</v>
      </c>
      <c r="AD184">
        <f ca="1">IF(AND(ISNUMBER($AD$304),$B$294=1),$AD$304,HLOOKUP(INDIRECT(ADDRESS(2,COLUMN())),OFFSET($AT$2,0,0,ROW()-1,40),ROW()-1,FALSE))</f>
        <v>1220</v>
      </c>
      <c r="AE184">
        <f ca="1">IF(AND(ISNUMBER($AE$304),$B$294=1),$AE$304,HLOOKUP(INDIRECT(ADDRESS(2,COLUMN())),OFFSET($AT$2,0,0,ROW()-1,40),ROW()-1,FALSE))</f>
        <v>1810</v>
      </c>
      <c r="AF184">
        <f ca="1">IF(AND(ISNUMBER($AF$304),$B$294=1),$AF$304,HLOOKUP(INDIRECT(ADDRESS(2,COLUMN())),OFFSET($AT$2,0,0,ROW()-1,40),ROW()-1,FALSE))</f>
        <v>1764</v>
      </c>
      <c r="AG184">
        <f ca="1">IF(AND(ISNUMBER($AG$304),$B$294=1),$AG$304,HLOOKUP(INDIRECT(ADDRESS(2,COLUMN())),OFFSET($AT$2,0,0,ROW()-1,40),ROW()-1,FALSE))</f>
        <v>1748</v>
      </c>
      <c r="AH184">
        <f ca="1">IF(AND(ISNUMBER($AH$304),$B$294=1),$AH$304,HLOOKUP(INDIRECT(ADDRESS(2,COLUMN())),OFFSET($AT$2,0,0,ROW()-1,40),ROW()-1,FALSE))</f>
        <v>2145</v>
      </c>
      <c r="AI184">
        <f ca="1">IF(AND(ISNUMBER($AI$304),$B$294=1),$AI$304,HLOOKUP(INDIRECT(ADDRESS(2,COLUMN())),OFFSET($AT$2,0,0,ROW()-1,40),ROW()-1,FALSE))</f>
        <v>1618</v>
      </c>
      <c r="AJ184">
        <f ca="1">IF(AND(ISNUMBER($AJ$304),$B$294=1),$AJ$304,HLOOKUP(INDIRECT(ADDRESS(2,COLUMN())),OFFSET($AT$2,0,0,ROW()-1,40),ROW()-1,FALSE))</f>
        <v>1747</v>
      </c>
      <c r="AK184">
        <f ca="1">IF(AND(ISNUMBER($AK$304),$B$294=1),$AK$304,HLOOKUP(INDIRECT(ADDRESS(2,COLUMN())),OFFSET($AT$2,0,0,ROW()-1,40),ROW()-1,FALSE))</f>
        <v>1753</v>
      </c>
      <c r="AL184">
        <f ca="1">IF(AND(ISNUMBER($AL$304),$B$294=1),$AL$304,HLOOKUP(INDIRECT(ADDRESS(2,COLUMN())),OFFSET($AT$2,0,0,ROW()-1,40),ROW()-1,FALSE))</f>
        <v>1206</v>
      </c>
      <c r="AM184">
        <f ca="1">IF(AND(ISNUMBER($AM$304),$B$294=1),$AM$304,HLOOKUP(INDIRECT(ADDRESS(2,COLUMN())),OFFSET($AT$2,0,0,ROW()-1,40),ROW()-1,FALSE))</f>
        <v>994</v>
      </c>
      <c r="AN184">
        <f ca="1">IF(AND(ISNUMBER($AN$304),$B$294=1),$AN$304,HLOOKUP(INDIRECT(ADDRESS(2,COLUMN())),OFFSET($AT$2,0,0,ROW()-1,40),ROW()-1,FALSE))</f>
        <v>2825</v>
      </c>
      <c r="AO184">
        <f ca="1">IF(AND(ISNUMBER($AO$304),$B$294=1),$AO$304,HLOOKUP(INDIRECT(ADDRESS(2,COLUMN())),OFFSET($AT$2,0,0,ROW()-1,40),ROW()-1,FALSE))</f>
        <v>1704</v>
      </c>
      <c r="AP184">
        <f ca="1">IF(AND(ISNUMBER($AP$304),$B$294=1),$AP$304,HLOOKUP(INDIRECT(ADDRESS(2,COLUMN())),OFFSET($AT$2,0,0,ROW()-1,40),ROW()-1,FALSE))</f>
        <v>1507</v>
      </c>
      <c r="AQ184">
        <f ca="1">IF(AND(ISNUMBER($AQ$304),$B$294=1),$AQ$304,HLOOKUP(INDIRECT(ADDRESS(2,COLUMN())),OFFSET($AT$2,0,0,ROW()-1,40),ROW()-1,FALSE))</f>
        <v>1656</v>
      </c>
      <c r="AR184">
        <f ca="1">IF(AND(ISNUMBER($AR$304),$B$294=1),$AR$304,HLOOKUP(INDIRECT(ADDRESS(2,COLUMN())),OFFSET($AT$2,0,0,ROW()-1,40),ROW()-1,FALSE))</f>
        <v>1862</v>
      </c>
      <c r="AS184">
        <f ca="1">IF(AND(ISNUMBER($AS$304),$B$294=1),$AS$304,HLOOKUP(INDIRECT(ADDRESS(2,COLUMN())),OFFSET($AT$2,0,0,ROW()-1,40),ROW()-1,FALSE))</f>
        <v>1873</v>
      </c>
      <c r="AT184">
        <f>1063</f>
        <v>1063</v>
      </c>
      <c r="AU184">
        <f>1312</f>
        <v>1312</v>
      </c>
      <c r="AV184">
        <f>1372</f>
        <v>1372</v>
      </c>
      <c r="AW184">
        <f>1141</f>
        <v>1141</v>
      </c>
      <c r="AX184">
        <f>1764</f>
        <v>1764</v>
      </c>
      <c r="AY184">
        <f>1176</f>
        <v>1176</v>
      </c>
      <c r="AZ184">
        <f>1061</f>
        <v>1061</v>
      </c>
      <c r="BA184">
        <f>1658</f>
        <v>1658</v>
      </c>
      <c r="BB184">
        <f>1105</f>
        <v>1105</v>
      </c>
      <c r="BC184">
        <f>1070</f>
        <v>1070</v>
      </c>
      <c r="BD184">
        <f>1903</f>
        <v>1903</v>
      </c>
      <c r="BE184">
        <f>1096</f>
        <v>1096</v>
      </c>
      <c r="BF184">
        <f>1142</f>
        <v>1142</v>
      </c>
      <c r="BG184">
        <f>1372</f>
        <v>1372</v>
      </c>
      <c r="BH184">
        <f>1292</f>
        <v>1292</v>
      </c>
      <c r="BI184">
        <f>1370</f>
        <v>1370</v>
      </c>
      <c r="BJ184">
        <f>2055</f>
        <v>2055</v>
      </c>
      <c r="BK184">
        <f>1376</f>
        <v>1376</v>
      </c>
      <c r="BL184">
        <f>1194</f>
        <v>1194</v>
      </c>
      <c r="BM184">
        <f>1918</f>
        <v>1918</v>
      </c>
      <c r="BN184">
        <f>1254</f>
        <v>1254</v>
      </c>
      <c r="BO184">
        <f>1181</f>
        <v>1181</v>
      </c>
      <c r="BP184">
        <f>2350</f>
        <v>2350</v>
      </c>
      <c r="BQ184">
        <f>1471</f>
        <v>1471</v>
      </c>
      <c r="BR184">
        <f>1220</f>
        <v>1220</v>
      </c>
      <c r="BS184">
        <f>1810</f>
        <v>1810</v>
      </c>
      <c r="BT184">
        <f>1764</f>
        <v>1764</v>
      </c>
      <c r="BU184">
        <f>1748</f>
        <v>1748</v>
      </c>
      <c r="BV184">
        <f>2145</f>
        <v>2145</v>
      </c>
      <c r="BW184">
        <f>1618</f>
        <v>1618</v>
      </c>
      <c r="BX184">
        <f>1747</f>
        <v>1747</v>
      </c>
      <c r="BY184">
        <f>1753</f>
        <v>1753</v>
      </c>
      <c r="BZ184">
        <f>1206</f>
        <v>1206</v>
      </c>
      <c r="CA184">
        <f>994</f>
        <v>994</v>
      </c>
      <c r="CB184">
        <f>2825</f>
        <v>2825</v>
      </c>
      <c r="CC184">
        <f>1704</f>
        <v>1704</v>
      </c>
      <c r="CD184">
        <f>1507</f>
        <v>1507</v>
      </c>
      <c r="CE184">
        <f>1656</f>
        <v>1656</v>
      </c>
      <c r="CF184">
        <f>1862</f>
        <v>1862</v>
      </c>
      <c r="CG184">
        <f>1873</f>
        <v>1873</v>
      </c>
    </row>
    <row r="185" spans="1:85" x14ac:dyDescent="0.25">
      <c r="A185" t="str">
        <f>"    Navistar - International"</f>
        <v xml:space="preserve">    Navistar - International</v>
      </c>
      <c r="B185" t="str">
        <f>"NAV US Equity"</f>
        <v>NAV US Equity</v>
      </c>
      <c r="C185" t="str">
        <f t="shared" si="7"/>
        <v>X1701</v>
      </c>
      <c r="D185" t="str">
        <f t="shared" si="8"/>
        <v>WARDS_RETAIL_SALES_UNITS</v>
      </c>
      <c r="E185" t="str">
        <f t="shared" si="6"/>
        <v>Dynamic</v>
      </c>
      <c r="F185">
        <f ca="1">IF(AND(ISNUMBER($F$305),$B$294=1),$F$305,HLOOKUP(INDIRECT(ADDRESS(2,COLUMN())),OFFSET($AT$2,0,0,ROW()-1,40),ROW()-1,FALSE))</f>
        <v>2801</v>
      </c>
      <c r="G185">
        <f ca="1">IF(AND(ISNUMBER($G$305),$B$294=1),$G$305,HLOOKUP(INDIRECT(ADDRESS(2,COLUMN())),OFFSET($AT$2,0,0,ROW()-1,40),ROW()-1,FALSE))</f>
        <v>1995</v>
      </c>
      <c r="H185">
        <f ca="1">IF(AND(ISNUMBER($H$305),$B$294=1),$H$305,HLOOKUP(INDIRECT(ADDRESS(2,COLUMN())),OFFSET($AT$2,0,0,ROW()-1,40),ROW()-1,FALSE))</f>
        <v>2751</v>
      </c>
      <c r="I185">
        <f ca="1">IF(AND(ISNUMBER($I$305),$B$294=1),$I$305,HLOOKUP(INDIRECT(ADDRESS(2,COLUMN())),OFFSET($AT$2,0,0,ROW()-1,40),ROW()-1,FALSE))</f>
        <v>1625</v>
      </c>
      <c r="J185">
        <f ca="1">IF(AND(ISNUMBER($J$305),$B$294=1),$J$305,HLOOKUP(INDIRECT(ADDRESS(2,COLUMN())),OFFSET($AT$2,0,0,ROW()-1,40),ROW()-1,FALSE))</f>
        <v>1710</v>
      </c>
      <c r="K185">
        <f ca="1">IF(AND(ISNUMBER($K$305),$B$294=1),$K$305,HLOOKUP(INDIRECT(ADDRESS(2,COLUMN())),OFFSET($AT$2,0,0,ROW()-1,40),ROW()-1,FALSE))</f>
        <v>1537</v>
      </c>
      <c r="L185">
        <f ca="1">IF(AND(ISNUMBER($L$305),$B$294=1),$L$305,HLOOKUP(INDIRECT(ADDRESS(2,COLUMN())),OFFSET($AT$2,0,0,ROW()-1,40),ROW()-1,FALSE))</f>
        <v>1535</v>
      </c>
      <c r="M185">
        <f ca="1">IF(AND(ISNUMBER($M$305),$B$294=1),$M$305,HLOOKUP(INDIRECT(ADDRESS(2,COLUMN())),OFFSET($AT$2,0,0,ROW()-1,40),ROW()-1,FALSE))</f>
        <v>1420</v>
      </c>
      <c r="N185">
        <f ca="1">IF(AND(ISNUMBER($N$305),$B$294=1),$N$305,HLOOKUP(INDIRECT(ADDRESS(2,COLUMN())),OFFSET($AT$2,0,0,ROW()-1,40),ROW()-1,FALSE))</f>
        <v>1306</v>
      </c>
      <c r="O185">
        <f ca="1">IF(AND(ISNUMBER($O$305),$B$294=1),$O$305,HLOOKUP(INDIRECT(ADDRESS(2,COLUMN())),OFFSET($AT$2,0,0,ROW()-1,40),ROW()-1,FALSE))</f>
        <v>1293</v>
      </c>
      <c r="P185">
        <f ca="1">IF(AND(ISNUMBER($P$305),$B$294=1),$P$305,HLOOKUP(INDIRECT(ADDRESS(2,COLUMN())),OFFSET($AT$2,0,0,ROW()-1,40),ROW()-1,FALSE))</f>
        <v>1269</v>
      </c>
      <c r="Q185">
        <f ca="1">IF(AND(ISNUMBER($Q$305),$B$294=1),$Q$305,HLOOKUP(INDIRECT(ADDRESS(2,COLUMN())),OFFSET($AT$2,0,0,ROW()-1,40),ROW()-1,FALSE))</f>
        <v>1418</v>
      </c>
      <c r="R185">
        <f ca="1">IF(AND(ISNUMBER($R$305),$B$294=1),$R$305,HLOOKUP(INDIRECT(ADDRESS(2,COLUMN())),OFFSET($AT$2,0,0,ROW()-1,40),ROW()-1,FALSE))</f>
        <v>2188</v>
      </c>
      <c r="S185">
        <f ca="1">IF(AND(ISNUMBER($S$305),$B$294=1),$S$305,HLOOKUP(INDIRECT(ADDRESS(2,COLUMN())),OFFSET($AT$2,0,0,ROW()-1,40),ROW()-1,FALSE))</f>
        <v>1608</v>
      </c>
      <c r="T185">
        <f ca="1">IF(AND(ISNUMBER($T$305),$B$294=1),$T$305,HLOOKUP(INDIRECT(ADDRESS(2,COLUMN())),OFFSET($AT$2,0,0,ROW()-1,40),ROW()-1,FALSE))</f>
        <v>1967</v>
      </c>
      <c r="U185">
        <f ca="1">IF(AND(ISNUMBER($U$305),$B$294=1),$U$305,HLOOKUP(INDIRECT(ADDRESS(2,COLUMN())),OFFSET($AT$2,0,0,ROW()-1,40),ROW()-1,FALSE))</f>
        <v>1276</v>
      </c>
      <c r="V185">
        <f ca="1">IF(AND(ISNUMBER($V$305),$B$294=1),$V$305,HLOOKUP(INDIRECT(ADDRESS(2,COLUMN())),OFFSET($AT$2,0,0,ROW()-1,40),ROW()-1,FALSE))</f>
        <v>1552</v>
      </c>
      <c r="W185">
        <f ca="1">IF(AND(ISNUMBER($W$305),$B$294=1),$W$305,HLOOKUP(INDIRECT(ADDRESS(2,COLUMN())),OFFSET($AT$2,0,0,ROW()-1,40),ROW()-1,FALSE))</f>
        <v>1743</v>
      </c>
      <c r="X185">
        <f ca="1">IF(AND(ISNUMBER($X$305),$B$294=1),$X$305,HLOOKUP(INDIRECT(ADDRESS(2,COLUMN())),OFFSET($AT$2,0,0,ROW()-1,40),ROW()-1,FALSE))</f>
        <v>1893</v>
      </c>
      <c r="Y185">
        <f ca="1">IF(AND(ISNUMBER($Y$305),$B$294=1),$Y$305,HLOOKUP(INDIRECT(ADDRESS(2,COLUMN())),OFFSET($AT$2,0,0,ROW()-1,40),ROW()-1,FALSE))</f>
        <v>2354</v>
      </c>
      <c r="Z185">
        <f ca="1">IF(AND(ISNUMBER($Z$305),$B$294=1),$Z$305,HLOOKUP(INDIRECT(ADDRESS(2,COLUMN())),OFFSET($AT$2,0,0,ROW()-1,40),ROW()-1,FALSE))</f>
        <v>1499</v>
      </c>
      <c r="AA185">
        <f ca="1">IF(AND(ISNUMBER($AA$305),$B$294=1),$AA$305,HLOOKUP(INDIRECT(ADDRESS(2,COLUMN())),OFFSET($AT$2,0,0,ROW()-1,40),ROW()-1,FALSE))</f>
        <v>2605</v>
      </c>
      <c r="AB185">
        <f ca="1">IF(AND(ISNUMBER($AB$305),$B$294=1),$AB$305,HLOOKUP(INDIRECT(ADDRESS(2,COLUMN())),OFFSET($AT$2,0,0,ROW()-1,40),ROW()-1,FALSE))</f>
        <v>2166</v>
      </c>
      <c r="AC185">
        <f ca="1">IF(AND(ISNUMBER($AC$305),$B$294=1),$AC$305,HLOOKUP(INDIRECT(ADDRESS(2,COLUMN())),OFFSET($AT$2,0,0,ROW()-1,40),ROW()-1,FALSE))</f>
        <v>1420</v>
      </c>
      <c r="AD185">
        <f ca="1">IF(AND(ISNUMBER($AD$305),$B$294=1),$AD$305,HLOOKUP(INDIRECT(ADDRESS(2,COLUMN())),OFFSET($AT$2,0,0,ROW()-1,40),ROW()-1,FALSE))</f>
        <v>2155</v>
      </c>
      <c r="AE185">
        <f ca="1">IF(AND(ISNUMBER($AE$305),$B$294=1),$AE$305,HLOOKUP(INDIRECT(ADDRESS(2,COLUMN())),OFFSET($AT$2,0,0,ROW()-1,40),ROW()-1,FALSE))</f>
        <v>2290</v>
      </c>
      <c r="AF185">
        <f ca="1">IF(AND(ISNUMBER($AF$305),$B$294=1),$AF$305,HLOOKUP(INDIRECT(ADDRESS(2,COLUMN())),OFFSET($AT$2,0,0,ROW()-1,40),ROW()-1,FALSE))</f>
        <v>2408</v>
      </c>
      <c r="AG185">
        <f ca="1">IF(AND(ISNUMBER($AG$305),$B$294=1),$AG$305,HLOOKUP(INDIRECT(ADDRESS(2,COLUMN())),OFFSET($AT$2,0,0,ROW()-1,40),ROW()-1,FALSE))</f>
        <v>2945</v>
      </c>
      <c r="AH185">
        <f ca="1">IF(AND(ISNUMBER($AH$305),$B$294=1),$AH$305,HLOOKUP(INDIRECT(ADDRESS(2,COLUMN())),OFFSET($AT$2,0,0,ROW()-1,40),ROW()-1,FALSE))</f>
        <v>3339</v>
      </c>
      <c r="AI185">
        <f ca="1">IF(AND(ISNUMBER($AI$305),$B$294=1),$AI$305,HLOOKUP(INDIRECT(ADDRESS(2,COLUMN())),OFFSET($AT$2,0,0,ROW()-1,40),ROW()-1,FALSE))</f>
        <v>2401</v>
      </c>
      <c r="AJ185">
        <f ca="1">IF(AND(ISNUMBER($AJ$305),$B$294=1),$AJ$305,HLOOKUP(INDIRECT(ADDRESS(2,COLUMN())),OFFSET($AT$2,0,0,ROW()-1,40),ROW()-1,FALSE))</f>
        <v>2581</v>
      </c>
      <c r="AK185">
        <f ca="1">IF(AND(ISNUMBER($AK$305),$B$294=1),$AK$305,HLOOKUP(INDIRECT(ADDRESS(2,COLUMN())),OFFSET($AT$2,0,0,ROW()-1,40),ROW()-1,FALSE))</f>
        <v>3073</v>
      </c>
      <c r="AL185">
        <f ca="1">IF(AND(ISNUMBER($AL$305),$B$294=1),$AL$305,HLOOKUP(INDIRECT(ADDRESS(2,COLUMN())),OFFSET($AT$2,0,0,ROW()-1,40),ROW()-1,FALSE))</f>
        <v>1902</v>
      </c>
      <c r="AM185">
        <f ca="1">IF(AND(ISNUMBER($AM$305),$B$294=1),$AM$305,HLOOKUP(INDIRECT(ADDRESS(2,COLUMN())),OFFSET($AT$2,0,0,ROW()-1,40),ROW()-1,FALSE))</f>
        <v>2160</v>
      </c>
      <c r="AN185">
        <f ca="1">IF(AND(ISNUMBER($AN$305),$B$294=1),$AN$305,HLOOKUP(INDIRECT(ADDRESS(2,COLUMN())),OFFSET($AT$2,0,0,ROW()-1,40),ROW()-1,FALSE))</f>
        <v>2276</v>
      </c>
      <c r="AO185">
        <f ca="1">IF(AND(ISNUMBER($AO$305),$B$294=1),$AO$305,HLOOKUP(INDIRECT(ADDRESS(2,COLUMN())),OFFSET($AT$2,0,0,ROW()-1,40),ROW()-1,FALSE))</f>
        <v>1773</v>
      </c>
      <c r="AP185">
        <f ca="1">IF(AND(ISNUMBER($AP$305),$B$294=1),$AP$305,HLOOKUP(INDIRECT(ADDRESS(2,COLUMN())),OFFSET($AT$2,0,0,ROW()-1,40),ROW()-1,FALSE))</f>
        <v>3514</v>
      </c>
      <c r="AQ185">
        <f ca="1">IF(AND(ISNUMBER($AQ$305),$B$294=1),$AQ$305,HLOOKUP(INDIRECT(ADDRESS(2,COLUMN())),OFFSET($AT$2,0,0,ROW()-1,40),ROW()-1,FALSE))</f>
        <v>2892</v>
      </c>
      <c r="AR185">
        <f ca="1">IF(AND(ISNUMBER($AR$305),$B$294=1),$AR$305,HLOOKUP(INDIRECT(ADDRESS(2,COLUMN())),OFFSET($AT$2,0,0,ROW()-1,40),ROW()-1,FALSE))</f>
        <v>2762</v>
      </c>
      <c r="AS185">
        <f ca="1">IF(AND(ISNUMBER($AS$305),$B$294=1),$AS$305,HLOOKUP(INDIRECT(ADDRESS(2,COLUMN())),OFFSET($AT$2,0,0,ROW()-1,40),ROW()-1,FALSE))</f>
        <v>3088</v>
      </c>
      <c r="AT185">
        <f>2801</f>
        <v>2801</v>
      </c>
      <c r="AU185">
        <f>1995</f>
        <v>1995</v>
      </c>
      <c r="AV185">
        <f>2751</f>
        <v>2751</v>
      </c>
      <c r="AW185">
        <f>1625</f>
        <v>1625</v>
      </c>
      <c r="AX185">
        <f>1710</f>
        <v>1710</v>
      </c>
      <c r="AY185">
        <f>1537</f>
        <v>1537</v>
      </c>
      <c r="AZ185">
        <f>1535</f>
        <v>1535</v>
      </c>
      <c r="BA185">
        <f>1420</f>
        <v>1420</v>
      </c>
      <c r="BB185">
        <f>1306</f>
        <v>1306</v>
      </c>
      <c r="BC185">
        <f>1293</f>
        <v>1293</v>
      </c>
      <c r="BD185">
        <f>1269</f>
        <v>1269</v>
      </c>
      <c r="BE185">
        <f>1418</f>
        <v>1418</v>
      </c>
      <c r="BF185">
        <f>2188</f>
        <v>2188</v>
      </c>
      <c r="BG185">
        <f>1608</f>
        <v>1608</v>
      </c>
      <c r="BH185">
        <f>1967</f>
        <v>1967</v>
      </c>
      <c r="BI185">
        <f>1276</f>
        <v>1276</v>
      </c>
      <c r="BJ185">
        <f>1552</f>
        <v>1552</v>
      </c>
      <c r="BK185">
        <f>1743</f>
        <v>1743</v>
      </c>
      <c r="BL185">
        <f>1893</f>
        <v>1893</v>
      </c>
      <c r="BM185">
        <f>2354</f>
        <v>2354</v>
      </c>
      <c r="BN185">
        <f>1499</f>
        <v>1499</v>
      </c>
      <c r="BO185">
        <f>2605</f>
        <v>2605</v>
      </c>
      <c r="BP185">
        <f>2166</f>
        <v>2166</v>
      </c>
      <c r="BQ185">
        <f>1420</f>
        <v>1420</v>
      </c>
      <c r="BR185">
        <f>2155</f>
        <v>2155</v>
      </c>
      <c r="BS185">
        <f>2290</f>
        <v>2290</v>
      </c>
      <c r="BT185">
        <f>2408</f>
        <v>2408</v>
      </c>
      <c r="BU185">
        <f>2945</f>
        <v>2945</v>
      </c>
      <c r="BV185">
        <f>3339</f>
        <v>3339</v>
      </c>
      <c r="BW185">
        <f>2401</f>
        <v>2401</v>
      </c>
      <c r="BX185">
        <f>2581</f>
        <v>2581</v>
      </c>
      <c r="BY185">
        <f>3073</f>
        <v>3073</v>
      </c>
      <c r="BZ185">
        <f>1902</f>
        <v>1902</v>
      </c>
      <c r="CA185">
        <f>2160</f>
        <v>2160</v>
      </c>
      <c r="CB185">
        <f>2276</f>
        <v>2276</v>
      </c>
      <c r="CC185">
        <f>1773</f>
        <v>1773</v>
      </c>
      <c r="CD185">
        <f>3514</f>
        <v>3514</v>
      </c>
      <c r="CE185">
        <f>2892</f>
        <v>2892</v>
      </c>
      <c r="CF185">
        <f>2762</f>
        <v>2762</v>
      </c>
      <c r="CG185">
        <f>3088</f>
        <v>3088</v>
      </c>
    </row>
    <row r="186" spans="1:85" x14ac:dyDescent="0.25">
      <c r="A186" t="str">
        <f>"    Other"</f>
        <v xml:space="preserve">    Other</v>
      </c>
      <c r="B186" t="str">
        <f>""</f>
        <v/>
      </c>
      <c r="E186" t="str">
        <f>"Expression"</f>
        <v>Expression</v>
      </c>
      <c r="F186">
        <f t="shared" ref="F186:AS186" ca="1" si="9">HLOOKUP(INDIRECT(ADDRESS(2,COLUMN())),OFFSET($AT$2,0,0,ROW()-1,40),ROW()-1,FALSE)</f>
        <v>12</v>
      </c>
      <c r="G186">
        <f t="shared" ca="1" si="9"/>
        <v>18</v>
      </c>
      <c r="H186">
        <f t="shared" ca="1" si="9"/>
        <v>21</v>
      </c>
      <c r="I186">
        <f t="shared" ca="1" si="9"/>
        <v>21</v>
      </c>
      <c r="J186">
        <f t="shared" ca="1" si="9"/>
        <v>22</v>
      </c>
      <c r="K186">
        <f t="shared" ca="1" si="9"/>
        <v>11</v>
      </c>
      <c r="L186">
        <f t="shared" ca="1" si="9"/>
        <v>9</v>
      </c>
      <c r="M186">
        <f t="shared" ca="1" si="9"/>
        <v>2</v>
      </c>
      <c r="N186">
        <f t="shared" ca="1" si="9"/>
        <v>3</v>
      </c>
      <c r="O186">
        <f t="shared" ca="1" si="9"/>
        <v>4</v>
      </c>
      <c r="P186">
        <f t="shared" ca="1" si="9"/>
        <v>8</v>
      </c>
      <c r="Q186">
        <f t="shared" ca="1" si="9"/>
        <v>10</v>
      </c>
      <c r="R186">
        <f t="shared" ca="1" si="9"/>
        <v>3</v>
      </c>
      <c r="S186">
        <f t="shared" ca="1" si="9"/>
        <v>24</v>
      </c>
      <c r="T186">
        <f t="shared" ca="1" si="9"/>
        <v>18</v>
      </c>
      <c r="U186">
        <f t="shared" ca="1" si="9"/>
        <v>11</v>
      </c>
      <c r="V186">
        <f t="shared" ca="1" si="9"/>
        <v>30</v>
      </c>
      <c r="W186">
        <f t="shared" ca="1" si="9"/>
        <v>9</v>
      </c>
      <c r="X186">
        <f t="shared" ca="1" si="9"/>
        <v>7</v>
      </c>
      <c r="Y186">
        <f t="shared" ca="1" si="9"/>
        <v>4</v>
      </c>
      <c r="Z186">
        <f t="shared" ca="1" si="9"/>
        <v>0</v>
      </c>
      <c r="AA186">
        <f t="shared" ca="1" si="9"/>
        <v>4</v>
      </c>
      <c r="AB186">
        <f t="shared" ca="1" si="9"/>
        <v>3</v>
      </c>
      <c r="AC186">
        <f t="shared" ca="1" si="9"/>
        <v>2</v>
      </c>
      <c r="AD186">
        <f t="shared" ca="1" si="9"/>
        <v>5</v>
      </c>
      <c r="AE186">
        <f t="shared" ca="1" si="9"/>
        <v>4</v>
      </c>
      <c r="AF186">
        <f t="shared" ca="1" si="9"/>
        <v>15</v>
      </c>
      <c r="AG186">
        <f t="shared" ca="1" si="9"/>
        <v>13</v>
      </c>
      <c r="AH186">
        <f t="shared" ca="1" si="9"/>
        <v>15</v>
      </c>
      <c r="AI186">
        <f t="shared" ca="1" si="9"/>
        <v>4</v>
      </c>
      <c r="AJ186">
        <f t="shared" ca="1" si="9"/>
        <v>6</v>
      </c>
      <c r="AK186">
        <f t="shared" ca="1" si="9"/>
        <v>1</v>
      </c>
      <c r="AL186">
        <f t="shared" ca="1" si="9"/>
        <v>1</v>
      </c>
      <c r="AM186">
        <f t="shared" ca="1" si="9"/>
        <v>3</v>
      </c>
      <c r="AN186">
        <f t="shared" ca="1" si="9"/>
        <v>1</v>
      </c>
      <c r="AO186">
        <f t="shared" ca="1" si="9"/>
        <v>7</v>
      </c>
      <c r="AP186">
        <f t="shared" ca="1" si="9"/>
        <v>3</v>
      </c>
      <c r="AQ186">
        <f t="shared" ca="1" si="9"/>
        <v>5</v>
      </c>
      <c r="AR186">
        <f t="shared" ca="1" si="9"/>
        <v>11</v>
      </c>
      <c r="AS186">
        <f t="shared" ca="1" si="9"/>
        <v>12</v>
      </c>
      <c r="AT186">
        <f>12</f>
        <v>12</v>
      </c>
      <c r="AU186">
        <f>18</f>
        <v>18</v>
      </c>
      <c r="AV186">
        <f>21</f>
        <v>21</v>
      </c>
      <c r="AW186">
        <f>21</f>
        <v>21</v>
      </c>
      <c r="AX186">
        <f>22</f>
        <v>22</v>
      </c>
      <c r="AY186">
        <f>11</f>
        <v>11</v>
      </c>
      <c r="AZ186">
        <f>9</f>
        <v>9</v>
      </c>
      <c r="BA186">
        <f>2</f>
        <v>2</v>
      </c>
      <c r="BB186">
        <f>3</f>
        <v>3</v>
      </c>
      <c r="BC186">
        <f>4</f>
        <v>4</v>
      </c>
      <c r="BD186">
        <f>8</f>
        <v>8</v>
      </c>
      <c r="BE186">
        <f>10</f>
        <v>10</v>
      </c>
      <c r="BF186">
        <f>3</f>
        <v>3</v>
      </c>
      <c r="BG186">
        <f>24</f>
        <v>24</v>
      </c>
      <c r="BH186">
        <f>18</f>
        <v>18</v>
      </c>
      <c r="BI186">
        <f>11</f>
        <v>11</v>
      </c>
      <c r="BJ186">
        <f>30</f>
        <v>30</v>
      </c>
      <c r="BK186">
        <f>9</f>
        <v>9</v>
      </c>
      <c r="BL186">
        <f>7</f>
        <v>7</v>
      </c>
      <c r="BM186">
        <f>4</f>
        <v>4</v>
      </c>
      <c r="BN186">
        <f>0</f>
        <v>0</v>
      </c>
      <c r="BO186">
        <f>4</f>
        <v>4</v>
      </c>
      <c r="BP186">
        <f>3</f>
        <v>3</v>
      </c>
      <c r="BQ186">
        <f>2</f>
        <v>2</v>
      </c>
      <c r="BR186">
        <f>5</f>
        <v>5</v>
      </c>
      <c r="BS186">
        <f>4</f>
        <v>4</v>
      </c>
      <c r="BT186">
        <f>15</f>
        <v>15</v>
      </c>
      <c r="BU186">
        <f>13</f>
        <v>13</v>
      </c>
      <c r="BV186">
        <f>15</f>
        <v>15</v>
      </c>
      <c r="BW186">
        <f>4</f>
        <v>4</v>
      </c>
      <c r="BX186">
        <f>6</f>
        <v>6</v>
      </c>
      <c r="BY186">
        <f>1</f>
        <v>1</v>
      </c>
      <c r="BZ186">
        <f>1</f>
        <v>1</v>
      </c>
      <c r="CA186">
        <f>3</f>
        <v>3</v>
      </c>
      <c r="CB186">
        <f>1</f>
        <v>1</v>
      </c>
      <c r="CC186">
        <f>7</f>
        <v>7</v>
      </c>
      <c r="CD186">
        <f>3</f>
        <v>3</v>
      </c>
      <c r="CE186">
        <f>5</f>
        <v>5</v>
      </c>
      <c r="CF186">
        <f>11</f>
        <v>11</v>
      </c>
      <c r="CG186">
        <f>12</f>
        <v>12</v>
      </c>
    </row>
    <row r="187" spans="1:85" x14ac:dyDescent="0.25">
      <c r="A187" t="str">
        <f>"Canada (Class 8)"</f>
        <v>Canada (Class 8)</v>
      </c>
      <c r="B187" t="str">
        <f>"TRCKCA8S Index"</f>
        <v>TRCKCA8S Index</v>
      </c>
      <c r="C187" t="str">
        <f>"PR005"</f>
        <v>PR005</v>
      </c>
      <c r="D187" t="str">
        <f>"PX_LAST"</f>
        <v>PX_LAST</v>
      </c>
      <c r="E187" t="str">
        <f t="shared" ref="E187:E207" si="10">"Dynamic"</f>
        <v>Dynamic</v>
      </c>
      <c r="F187">
        <f ca="1">IF(AND(ISNUMBER($F$306),$B$294=1),$F$306,HLOOKUP(INDIRECT(ADDRESS(2,COLUMN())),OFFSET($AT$2,0,0,ROW()-1,40),ROW()-1,FALSE))</f>
        <v>2719</v>
      </c>
      <c r="G187">
        <f ca="1">IF(AND(ISNUMBER($G$306),$B$294=1),$G$306,HLOOKUP(INDIRECT(ADDRESS(2,COLUMN())),OFFSET($AT$2,0,0,ROW()-1,40),ROW()-1,FALSE))</f>
        <v>2426</v>
      </c>
      <c r="H187">
        <f ca="1">IF(AND(ISNUMBER($H$306),$B$294=1),$H$306,HLOOKUP(INDIRECT(ADDRESS(2,COLUMN())),OFFSET($AT$2,0,0,ROW()-1,40),ROW()-1,FALSE))</f>
        <v>2228</v>
      </c>
      <c r="I187">
        <f ca="1">IF(AND(ISNUMBER($I$306),$B$294=1),$I$306,HLOOKUP(INDIRECT(ADDRESS(2,COLUMN())),OFFSET($AT$2,0,0,ROW()-1,40),ROW()-1,FALSE))</f>
        <v>2086</v>
      </c>
      <c r="J187">
        <f ca="1">IF(AND(ISNUMBER($J$306),$B$294=1),$J$306,HLOOKUP(INDIRECT(ADDRESS(2,COLUMN())),OFFSET($AT$2,0,0,ROW()-1,40),ROW()-1,FALSE))</f>
        <v>2478</v>
      </c>
      <c r="K187">
        <f ca="1">IF(AND(ISNUMBER($K$306),$B$294=1),$K$306,HLOOKUP(INDIRECT(ADDRESS(2,COLUMN())),OFFSET($AT$2,0,0,ROW()-1,40),ROW()-1,FALSE))</f>
        <v>2395</v>
      </c>
      <c r="L187">
        <f ca="1">IF(AND(ISNUMBER($L$306),$B$294=1),$L$306,HLOOKUP(INDIRECT(ADDRESS(2,COLUMN())),OFFSET($AT$2,0,0,ROW()-1,40),ROW()-1,FALSE))</f>
        <v>1920</v>
      </c>
      <c r="M187">
        <f ca="1">IF(AND(ISNUMBER($M$306),$B$294=1),$M$306,HLOOKUP(INDIRECT(ADDRESS(2,COLUMN())),OFFSET($AT$2,0,0,ROW()-1,40),ROW()-1,FALSE))</f>
        <v>2051</v>
      </c>
      <c r="N187">
        <f ca="1">IF(AND(ISNUMBER($N$306),$B$294=1),$N$306,HLOOKUP(INDIRECT(ADDRESS(2,COLUMN())),OFFSET($AT$2,0,0,ROW()-1,40),ROW()-1,FALSE))</f>
        <v>1466</v>
      </c>
      <c r="O187">
        <f ca="1">IF(AND(ISNUMBER($O$306),$B$294=1),$O$306,HLOOKUP(INDIRECT(ADDRESS(2,COLUMN())),OFFSET($AT$2,0,0,ROW()-1,40),ROW()-1,FALSE))</f>
        <v>1377</v>
      </c>
      <c r="P187">
        <f ca="1">IF(AND(ISNUMBER($P$306),$B$294=1),$P$306,HLOOKUP(INDIRECT(ADDRESS(2,COLUMN())),OFFSET($AT$2,0,0,ROW()-1,40),ROW()-1,FALSE))</f>
        <v>1911</v>
      </c>
      <c r="Q187">
        <f ca="1">IF(AND(ISNUMBER($Q$306),$B$294=1),$Q$306,HLOOKUP(INDIRECT(ADDRESS(2,COLUMN())),OFFSET($AT$2,0,0,ROW()-1,40),ROW()-1,FALSE))</f>
        <v>1899</v>
      </c>
      <c r="R187">
        <f ca="1">IF(AND(ISNUMBER($R$306),$B$294=1),$R$306,HLOOKUP(INDIRECT(ADDRESS(2,COLUMN())),OFFSET($AT$2,0,0,ROW()-1,40),ROW()-1,FALSE))</f>
        <v>1979</v>
      </c>
      <c r="S187">
        <f ca="1">IF(AND(ISNUMBER($S$306),$B$294=1),$S$306,HLOOKUP(INDIRECT(ADDRESS(2,COLUMN())),OFFSET($AT$2,0,0,ROW()-1,40),ROW()-1,FALSE))</f>
        <v>2124</v>
      </c>
      <c r="T187">
        <f ca="1">IF(AND(ISNUMBER($T$306),$B$294=1),$T$306,HLOOKUP(INDIRECT(ADDRESS(2,COLUMN())),OFFSET($AT$2,0,0,ROW()-1,40),ROW()-1,FALSE))</f>
        <v>1810</v>
      </c>
      <c r="U187">
        <f ca="1">IF(AND(ISNUMBER($U$306),$B$294=1),$U$306,HLOOKUP(INDIRECT(ADDRESS(2,COLUMN())),OFFSET($AT$2,0,0,ROW()-1,40),ROW()-1,FALSE))</f>
        <v>1676</v>
      </c>
      <c r="V187">
        <f ca="1">IF(AND(ISNUMBER($V$306),$B$294=1),$V$306,HLOOKUP(INDIRECT(ADDRESS(2,COLUMN())),OFFSET($AT$2,0,0,ROW()-1,40),ROW()-1,FALSE))</f>
        <v>2016</v>
      </c>
      <c r="W187">
        <f ca="1">IF(AND(ISNUMBER($W$306),$B$294=1),$W$306,HLOOKUP(INDIRECT(ADDRESS(2,COLUMN())),OFFSET($AT$2,0,0,ROW()-1,40),ROW()-1,FALSE))</f>
        <v>2342</v>
      </c>
      <c r="X187">
        <f ca="1">IF(AND(ISNUMBER($X$306),$B$294=1),$X$306,HLOOKUP(INDIRECT(ADDRESS(2,COLUMN())),OFFSET($AT$2,0,0,ROW()-1,40),ROW()-1,FALSE))</f>
        <v>1955</v>
      </c>
      <c r="Y187">
        <f ca="1">IF(AND(ISNUMBER($Y$306),$B$294=1),$Y$306,HLOOKUP(INDIRECT(ADDRESS(2,COLUMN())),OFFSET($AT$2,0,0,ROW()-1,40),ROW()-1,FALSE))</f>
        <v>1915</v>
      </c>
      <c r="Z187">
        <f ca="1">IF(AND(ISNUMBER($Z$306),$B$294=1),$Z$306,HLOOKUP(INDIRECT(ADDRESS(2,COLUMN())),OFFSET($AT$2,0,0,ROW()-1,40),ROW()-1,FALSE))</f>
        <v>1858</v>
      </c>
      <c r="AA187">
        <f ca="1">IF(AND(ISNUMBER($AA$306),$B$294=1),$AA$306,HLOOKUP(INDIRECT(ADDRESS(2,COLUMN())),OFFSET($AT$2,0,0,ROW()-1,40),ROW()-1,FALSE))</f>
        <v>1552</v>
      </c>
      <c r="AB187">
        <f ca="1">IF(AND(ISNUMBER($AB$306),$B$294=1),$AB$306,HLOOKUP(INDIRECT(ADDRESS(2,COLUMN())),OFFSET($AT$2,0,0,ROW()-1,40),ROW()-1,FALSE))</f>
        <v>2327</v>
      </c>
      <c r="AC187">
        <f ca="1">IF(AND(ISNUMBER($AC$306),$B$294=1),$AC$306,HLOOKUP(INDIRECT(ADDRESS(2,COLUMN())),OFFSET($AT$2,0,0,ROW()-1,40),ROW()-1,FALSE))</f>
        <v>2203</v>
      </c>
      <c r="AD187">
        <f ca="1">IF(AND(ISNUMBER($AD$306),$B$294=1),$AD$306,HLOOKUP(INDIRECT(ADDRESS(2,COLUMN())),OFFSET($AT$2,0,0,ROW()-1,40),ROW()-1,FALSE))</f>
        <v>2636</v>
      </c>
      <c r="AE187">
        <f ca="1">IF(AND(ISNUMBER($AE$306),$B$294=1),$AE$306,HLOOKUP(INDIRECT(ADDRESS(2,COLUMN())),OFFSET($AT$2,0,0,ROW()-1,40),ROW()-1,FALSE))</f>
        <v>2906</v>
      </c>
      <c r="AF187">
        <f ca="1">IF(AND(ISNUMBER($AF$306),$B$294=1),$AF$306,HLOOKUP(INDIRECT(ADDRESS(2,COLUMN())),OFFSET($AT$2,0,0,ROW()-1,40),ROW()-1,FALSE))</f>
        <v>2114</v>
      </c>
      <c r="AG187">
        <f ca="1">IF(AND(ISNUMBER($AG$306),$B$294=1),$AG$306,HLOOKUP(INDIRECT(ADDRESS(2,COLUMN())),OFFSET($AT$2,0,0,ROW()-1,40),ROW()-1,FALSE))</f>
        <v>2463</v>
      </c>
      <c r="AH187">
        <f ca="1">IF(AND(ISNUMBER($AH$306),$B$294=1),$AH$306,HLOOKUP(INDIRECT(ADDRESS(2,COLUMN())),OFFSET($AT$2,0,0,ROW()-1,40),ROW()-1,FALSE))</f>
        <v>2625</v>
      </c>
      <c r="AI187">
        <f ca="1">IF(AND(ISNUMBER($AI$306),$B$294=1),$AI$306,HLOOKUP(INDIRECT(ADDRESS(2,COLUMN())),OFFSET($AT$2,0,0,ROW()-1,40),ROW()-1,FALSE))</f>
        <v>2647</v>
      </c>
      <c r="AJ187">
        <f ca="1">IF(AND(ISNUMBER($AJ$306),$B$294=1),$AJ$306,HLOOKUP(INDIRECT(ADDRESS(2,COLUMN())),OFFSET($AT$2,0,0,ROW()-1,40),ROW()-1,FALSE))</f>
        <v>2610</v>
      </c>
      <c r="AK187">
        <f ca="1">IF(AND(ISNUMBER($AK$306),$B$294=1),$AK$306,HLOOKUP(INDIRECT(ADDRESS(2,COLUMN())),OFFSET($AT$2,0,0,ROW()-1,40),ROW()-1,FALSE))</f>
        <v>2880</v>
      </c>
      <c r="AL187">
        <f ca="1">IF(AND(ISNUMBER($AL$306),$B$294=1),$AL$306,HLOOKUP(INDIRECT(ADDRESS(2,COLUMN())),OFFSET($AT$2,0,0,ROW()-1,40),ROW()-1,FALSE))</f>
        <v>2043</v>
      </c>
      <c r="AM187">
        <f ca="1">IF(AND(ISNUMBER($AM$306),$B$294=1),$AM$306,HLOOKUP(INDIRECT(ADDRESS(2,COLUMN())),OFFSET($AT$2,0,0,ROW()-1,40),ROW()-1,FALSE))</f>
        <v>2127</v>
      </c>
      <c r="AN187">
        <f ca="1">IF(AND(ISNUMBER($AN$306),$B$294=1),$AN$306,HLOOKUP(INDIRECT(ADDRESS(2,COLUMN())),OFFSET($AT$2,0,0,ROW()-1,40),ROW()-1,FALSE))</f>
        <v>2666</v>
      </c>
      <c r="AO187">
        <f ca="1">IF(AND(ISNUMBER($AO$306),$B$294=1),$AO$306,HLOOKUP(INDIRECT(ADDRESS(2,COLUMN())),OFFSET($AT$2,0,0,ROW()-1,40),ROW()-1,FALSE))</f>
        <v>2401</v>
      </c>
      <c r="AP187">
        <f ca="1">IF(AND(ISNUMBER($AP$306),$B$294=1),$AP$306,HLOOKUP(INDIRECT(ADDRESS(2,COLUMN())),OFFSET($AT$2,0,0,ROW()-1,40),ROW()-1,FALSE))</f>
        <v>2916</v>
      </c>
      <c r="AQ187">
        <f ca="1">IF(AND(ISNUMBER($AQ$306),$B$294=1),$AQ$306,HLOOKUP(INDIRECT(ADDRESS(2,COLUMN())),OFFSET($AT$2,0,0,ROW()-1,40),ROW()-1,FALSE))</f>
        <v>2554</v>
      </c>
      <c r="AR187">
        <f ca="1">IF(AND(ISNUMBER($AR$306),$B$294=1),$AR$306,HLOOKUP(INDIRECT(ADDRESS(2,COLUMN())),OFFSET($AT$2,0,0,ROW()-1,40),ROW()-1,FALSE))</f>
        <v>2157</v>
      </c>
      <c r="AS187">
        <f ca="1">IF(AND(ISNUMBER($AS$306),$B$294=1),$AS$306,HLOOKUP(INDIRECT(ADDRESS(2,COLUMN())),OFFSET($AT$2,0,0,ROW()-1,40),ROW()-1,FALSE))</f>
        <v>2536</v>
      </c>
      <c r="AT187">
        <f>2719</f>
        <v>2719</v>
      </c>
      <c r="AU187">
        <f>2426</f>
        <v>2426</v>
      </c>
      <c r="AV187">
        <f>2228</f>
        <v>2228</v>
      </c>
      <c r="AW187">
        <f>2086</f>
        <v>2086</v>
      </c>
      <c r="AX187">
        <f>2478</f>
        <v>2478</v>
      </c>
      <c r="AY187">
        <f>2395</f>
        <v>2395</v>
      </c>
      <c r="AZ187">
        <f>1920</f>
        <v>1920</v>
      </c>
      <c r="BA187">
        <f>2051</f>
        <v>2051</v>
      </c>
      <c r="BB187">
        <f>1466</f>
        <v>1466</v>
      </c>
      <c r="BC187">
        <f>1377</f>
        <v>1377</v>
      </c>
      <c r="BD187">
        <f>1911</f>
        <v>1911</v>
      </c>
      <c r="BE187">
        <f>1899</f>
        <v>1899</v>
      </c>
      <c r="BF187">
        <f>1979</f>
        <v>1979</v>
      </c>
      <c r="BG187">
        <f>2124</f>
        <v>2124</v>
      </c>
      <c r="BH187">
        <f>1810</f>
        <v>1810</v>
      </c>
      <c r="BI187">
        <f>1676</f>
        <v>1676</v>
      </c>
      <c r="BJ187">
        <f>2016</f>
        <v>2016</v>
      </c>
      <c r="BK187">
        <f>2342</f>
        <v>2342</v>
      </c>
      <c r="BL187">
        <f>1955</f>
        <v>1955</v>
      </c>
      <c r="BM187">
        <f>1915</f>
        <v>1915</v>
      </c>
      <c r="BN187">
        <f>1858</f>
        <v>1858</v>
      </c>
      <c r="BO187">
        <f>1552</f>
        <v>1552</v>
      </c>
      <c r="BP187">
        <f>2327</f>
        <v>2327</v>
      </c>
      <c r="BQ187">
        <f>2203</f>
        <v>2203</v>
      </c>
      <c r="BR187">
        <f>2636</f>
        <v>2636</v>
      </c>
      <c r="BS187">
        <f>2906</f>
        <v>2906</v>
      </c>
      <c r="BT187">
        <f>2114</f>
        <v>2114</v>
      </c>
      <c r="BU187">
        <f>2463</f>
        <v>2463</v>
      </c>
      <c r="BV187">
        <f>2625</f>
        <v>2625</v>
      </c>
      <c r="BW187">
        <f>2647</f>
        <v>2647</v>
      </c>
      <c r="BX187">
        <f>2610</f>
        <v>2610</v>
      </c>
      <c r="BY187">
        <f>2880</f>
        <v>2880</v>
      </c>
      <c r="BZ187">
        <f>2043</f>
        <v>2043</v>
      </c>
      <c r="CA187">
        <f>2127</f>
        <v>2127</v>
      </c>
      <c r="CB187">
        <f>2666</f>
        <v>2666</v>
      </c>
      <c r="CC187">
        <f>2401</f>
        <v>2401</v>
      </c>
      <c r="CD187">
        <f>2916</f>
        <v>2916</v>
      </c>
      <c r="CE187">
        <f>2554</f>
        <v>2554</v>
      </c>
      <c r="CF187">
        <f>2157</f>
        <v>2157</v>
      </c>
      <c r="CG187">
        <f>2536</f>
        <v>2536</v>
      </c>
    </row>
    <row r="188" spans="1:85" x14ac:dyDescent="0.25">
      <c r="A188" t="str">
        <f>"    Daimler - Freightliner"</f>
        <v xml:space="preserve">    Daimler - Freightliner</v>
      </c>
      <c r="B188" t="str">
        <f>"DAI GR Equity"</f>
        <v>DAI GR Equity</v>
      </c>
      <c r="C188" t="str">
        <f t="shared" ref="C188:C195" si="11">"X1701"</f>
        <v>X1701</v>
      </c>
      <c r="D188" t="str">
        <f t="shared" ref="D188:D195" si="12">"WARDS_RETAIL_SALES_UNITS"</f>
        <v>WARDS_RETAIL_SALES_UNITS</v>
      </c>
      <c r="E188" t="str">
        <f t="shared" si="10"/>
        <v>Dynamic</v>
      </c>
      <c r="F188">
        <f ca="1">IF(AND(ISNUMBER($F$307),$B$294=1),$F$307,HLOOKUP(INDIRECT(ADDRESS(2,COLUMN())),OFFSET($AT$2,0,0,ROW()-1,40),ROW()-1,FALSE))</f>
        <v>753</v>
      </c>
      <c r="G188">
        <f ca="1">IF(AND(ISNUMBER($G$307),$B$294=1),$G$307,HLOOKUP(INDIRECT(ADDRESS(2,COLUMN())),OFFSET($AT$2,0,0,ROW()-1,40),ROW()-1,FALSE))</f>
        <v>690</v>
      </c>
      <c r="H188">
        <f ca="1">IF(AND(ISNUMBER($H$307),$B$294=1),$H$307,HLOOKUP(INDIRECT(ADDRESS(2,COLUMN())),OFFSET($AT$2,0,0,ROW()-1,40),ROW()-1,FALSE))</f>
        <v>544</v>
      </c>
      <c r="I188">
        <f ca="1">IF(AND(ISNUMBER($I$307),$B$294=1),$I$307,HLOOKUP(INDIRECT(ADDRESS(2,COLUMN())),OFFSET($AT$2,0,0,ROW()-1,40),ROW()-1,FALSE))</f>
        <v>515</v>
      </c>
      <c r="J188">
        <f ca="1">IF(AND(ISNUMBER($J$307),$B$294=1),$J$307,HLOOKUP(INDIRECT(ADDRESS(2,COLUMN())),OFFSET($AT$2,0,0,ROW()-1,40),ROW()-1,FALSE))</f>
        <v>699</v>
      </c>
      <c r="K188">
        <f ca="1">IF(AND(ISNUMBER($K$307),$B$294=1),$K$307,HLOOKUP(INDIRECT(ADDRESS(2,COLUMN())),OFFSET($AT$2,0,0,ROW()-1,40),ROW()-1,FALSE))</f>
        <v>716</v>
      </c>
      <c r="L188">
        <f ca="1">IF(AND(ISNUMBER($L$307),$B$294=1),$L$307,HLOOKUP(INDIRECT(ADDRESS(2,COLUMN())),OFFSET($AT$2,0,0,ROW()-1,40),ROW()-1,FALSE))</f>
        <v>628</v>
      </c>
      <c r="M188">
        <f ca="1">IF(AND(ISNUMBER($M$307),$B$294=1),$M$307,HLOOKUP(INDIRECT(ADDRESS(2,COLUMN())),OFFSET($AT$2,0,0,ROW()-1,40),ROW()-1,FALSE))</f>
        <v>587</v>
      </c>
      <c r="N188">
        <f ca="1">IF(AND(ISNUMBER($N$307),$B$294=1),$N$307,HLOOKUP(INDIRECT(ADDRESS(2,COLUMN())),OFFSET($AT$2,0,0,ROW()-1,40),ROW()-1,FALSE))</f>
        <v>486</v>
      </c>
      <c r="O188">
        <f ca="1">IF(AND(ISNUMBER($O$307),$B$294=1),$O$307,HLOOKUP(INDIRECT(ADDRESS(2,COLUMN())),OFFSET($AT$2,0,0,ROW()-1,40),ROW()-1,FALSE))</f>
        <v>519</v>
      </c>
      <c r="P188">
        <f ca="1">IF(AND(ISNUMBER($P$307),$B$294=1),$P$307,HLOOKUP(INDIRECT(ADDRESS(2,COLUMN())),OFFSET($AT$2,0,0,ROW()-1,40),ROW()-1,FALSE))</f>
        <v>557</v>
      </c>
      <c r="Q188">
        <f ca="1">IF(AND(ISNUMBER($Q$307),$B$294=1),$Q$307,HLOOKUP(INDIRECT(ADDRESS(2,COLUMN())),OFFSET($AT$2,0,0,ROW()-1,40),ROW()-1,FALSE))</f>
        <v>693</v>
      </c>
      <c r="R188">
        <f ca="1">IF(AND(ISNUMBER($R$307),$B$294=1),$R$307,HLOOKUP(INDIRECT(ADDRESS(2,COLUMN())),OFFSET($AT$2,0,0,ROW()-1,40),ROW()-1,FALSE))</f>
        <v>525</v>
      </c>
      <c r="S188">
        <f ca="1">IF(AND(ISNUMBER($S$307),$B$294=1),$S$307,HLOOKUP(INDIRECT(ADDRESS(2,COLUMN())),OFFSET($AT$2,0,0,ROW()-1,40),ROW()-1,FALSE))</f>
        <v>669</v>
      </c>
      <c r="T188">
        <f ca="1">IF(AND(ISNUMBER($T$307),$B$294=1),$T$307,HLOOKUP(INDIRECT(ADDRESS(2,COLUMN())),OFFSET($AT$2,0,0,ROW()-1,40),ROW()-1,FALSE))</f>
        <v>557</v>
      </c>
      <c r="U188">
        <f ca="1">IF(AND(ISNUMBER($U$307),$B$294=1),$U$307,HLOOKUP(INDIRECT(ADDRESS(2,COLUMN())),OFFSET($AT$2,0,0,ROW()-1,40),ROW()-1,FALSE))</f>
        <v>571</v>
      </c>
      <c r="V188">
        <f ca="1">IF(AND(ISNUMBER($V$307),$B$294=1),$V$307,HLOOKUP(INDIRECT(ADDRESS(2,COLUMN())),OFFSET($AT$2,0,0,ROW()-1,40),ROW()-1,FALSE))</f>
        <v>607</v>
      </c>
      <c r="W188">
        <f ca="1">IF(AND(ISNUMBER($W$307),$B$294=1),$W$307,HLOOKUP(INDIRECT(ADDRESS(2,COLUMN())),OFFSET($AT$2,0,0,ROW()-1,40),ROW()-1,FALSE))</f>
        <v>808</v>
      </c>
      <c r="X188">
        <f ca="1">IF(AND(ISNUMBER($X$307),$B$294=1),$X$307,HLOOKUP(INDIRECT(ADDRESS(2,COLUMN())),OFFSET($AT$2,0,0,ROW()-1,40),ROW()-1,FALSE))</f>
        <v>615</v>
      </c>
      <c r="Y188">
        <f ca="1">IF(AND(ISNUMBER($Y$307),$B$294=1),$Y$307,HLOOKUP(INDIRECT(ADDRESS(2,COLUMN())),OFFSET($AT$2,0,0,ROW()-1,40),ROW()-1,FALSE))</f>
        <v>752</v>
      </c>
      <c r="Z188">
        <f ca="1">IF(AND(ISNUMBER($Z$307),$B$294=1),$Z$307,HLOOKUP(INDIRECT(ADDRESS(2,COLUMN())),OFFSET($AT$2,0,0,ROW()-1,40),ROW()-1,FALSE))</f>
        <v>758</v>
      </c>
      <c r="AA188">
        <f ca="1">IF(AND(ISNUMBER($AA$307),$B$294=1),$AA$307,HLOOKUP(INDIRECT(ADDRESS(2,COLUMN())),OFFSET($AT$2,0,0,ROW()-1,40),ROW()-1,FALSE))</f>
        <v>548</v>
      </c>
      <c r="AB188">
        <f ca="1">IF(AND(ISNUMBER($AB$307),$B$294=1),$AB$307,HLOOKUP(INDIRECT(ADDRESS(2,COLUMN())),OFFSET($AT$2,0,0,ROW()-1,40),ROW()-1,FALSE))</f>
        <v>719</v>
      </c>
      <c r="AC188">
        <f ca="1">IF(AND(ISNUMBER($AC$307),$B$294=1),$AC$307,HLOOKUP(INDIRECT(ADDRESS(2,COLUMN())),OFFSET($AT$2,0,0,ROW()-1,40),ROW()-1,FALSE))</f>
        <v>703</v>
      </c>
      <c r="AD188">
        <f ca="1">IF(AND(ISNUMBER($AD$307),$B$294=1),$AD$307,HLOOKUP(INDIRECT(ADDRESS(2,COLUMN())),OFFSET($AT$2,0,0,ROW()-1,40),ROW()-1,FALSE))</f>
        <v>877</v>
      </c>
      <c r="AE188">
        <f ca="1">IF(AND(ISNUMBER($AE$307),$B$294=1),$AE$307,HLOOKUP(INDIRECT(ADDRESS(2,COLUMN())),OFFSET($AT$2,0,0,ROW()-1,40),ROW()-1,FALSE))</f>
        <v>1052</v>
      </c>
      <c r="AF188">
        <f ca="1">IF(AND(ISNUMBER($AF$307),$B$294=1),$AF$307,HLOOKUP(INDIRECT(ADDRESS(2,COLUMN())),OFFSET($AT$2,0,0,ROW()-1,40),ROW()-1,FALSE))</f>
        <v>560</v>
      </c>
      <c r="AG188">
        <f ca="1">IF(AND(ISNUMBER($AG$307),$B$294=1),$AG$307,HLOOKUP(INDIRECT(ADDRESS(2,COLUMN())),OFFSET($AT$2,0,0,ROW()-1,40),ROW()-1,FALSE))</f>
        <v>675</v>
      </c>
      <c r="AH188">
        <f ca="1">IF(AND(ISNUMBER($AH$307),$B$294=1),$AH$307,HLOOKUP(INDIRECT(ADDRESS(2,COLUMN())),OFFSET($AT$2,0,0,ROW()-1,40),ROW()-1,FALSE))</f>
        <v>738</v>
      </c>
      <c r="AI188">
        <f ca="1">IF(AND(ISNUMBER($AI$307),$B$294=1),$AI$307,HLOOKUP(INDIRECT(ADDRESS(2,COLUMN())),OFFSET($AT$2,0,0,ROW()-1,40),ROW()-1,FALSE))</f>
        <v>653</v>
      </c>
      <c r="AJ188">
        <f ca="1">IF(AND(ISNUMBER($AJ$307),$B$294=1),$AJ$307,HLOOKUP(INDIRECT(ADDRESS(2,COLUMN())),OFFSET($AT$2,0,0,ROW()-1,40),ROW()-1,FALSE))</f>
        <v>739</v>
      </c>
      <c r="AK188">
        <f ca="1">IF(AND(ISNUMBER($AK$307),$B$294=1),$AK$307,HLOOKUP(INDIRECT(ADDRESS(2,COLUMN())),OFFSET($AT$2,0,0,ROW()-1,40),ROW()-1,FALSE))</f>
        <v>978</v>
      </c>
      <c r="AL188">
        <f ca="1">IF(AND(ISNUMBER($AL$307),$B$294=1),$AL$307,HLOOKUP(INDIRECT(ADDRESS(2,COLUMN())),OFFSET($AT$2,0,0,ROW()-1,40),ROW()-1,FALSE))</f>
        <v>613</v>
      </c>
      <c r="AM188">
        <f ca="1">IF(AND(ISNUMBER($AM$307),$B$294=1),$AM$307,HLOOKUP(INDIRECT(ADDRESS(2,COLUMN())),OFFSET($AT$2,0,0,ROW()-1,40),ROW()-1,FALSE))</f>
        <v>548</v>
      </c>
      <c r="AN188">
        <f ca="1">IF(AND(ISNUMBER($AN$307),$B$294=1),$AN$307,HLOOKUP(INDIRECT(ADDRESS(2,COLUMN())),OFFSET($AT$2,0,0,ROW()-1,40),ROW()-1,FALSE))</f>
        <v>716</v>
      </c>
      <c r="AO188">
        <f ca="1">IF(AND(ISNUMBER($AO$307),$B$294=1),$AO$307,HLOOKUP(INDIRECT(ADDRESS(2,COLUMN())),OFFSET($AT$2,0,0,ROW()-1,40),ROW()-1,FALSE))</f>
        <v>604</v>
      </c>
      <c r="AP188">
        <f ca="1">IF(AND(ISNUMBER($AP$307),$B$294=1),$AP$307,HLOOKUP(INDIRECT(ADDRESS(2,COLUMN())),OFFSET($AT$2,0,0,ROW()-1,40),ROW()-1,FALSE))</f>
        <v>848</v>
      </c>
      <c r="AQ188">
        <f ca="1">IF(AND(ISNUMBER($AQ$307),$B$294=1),$AQ$307,HLOOKUP(INDIRECT(ADDRESS(2,COLUMN())),OFFSET($AT$2,0,0,ROW()-1,40),ROW()-1,FALSE))</f>
        <v>639</v>
      </c>
      <c r="AR188">
        <f ca="1">IF(AND(ISNUMBER($AR$307),$B$294=1),$AR$307,HLOOKUP(INDIRECT(ADDRESS(2,COLUMN())),OFFSET($AT$2,0,0,ROW()-1,40),ROW()-1,FALSE))</f>
        <v>540</v>
      </c>
      <c r="AS188">
        <f ca="1">IF(AND(ISNUMBER($AS$307),$B$294=1),$AS$307,HLOOKUP(INDIRECT(ADDRESS(2,COLUMN())),OFFSET($AT$2,0,0,ROW()-1,40),ROW()-1,FALSE))</f>
        <v>609</v>
      </c>
      <c r="AT188">
        <f>753</f>
        <v>753</v>
      </c>
      <c r="AU188">
        <f>690</f>
        <v>690</v>
      </c>
      <c r="AV188">
        <f>544</f>
        <v>544</v>
      </c>
      <c r="AW188">
        <f>515</f>
        <v>515</v>
      </c>
      <c r="AX188">
        <f>699</f>
        <v>699</v>
      </c>
      <c r="AY188">
        <f>716</f>
        <v>716</v>
      </c>
      <c r="AZ188">
        <f>628</f>
        <v>628</v>
      </c>
      <c r="BA188">
        <f>587</f>
        <v>587</v>
      </c>
      <c r="BB188">
        <f>486</f>
        <v>486</v>
      </c>
      <c r="BC188">
        <f>519</f>
        <v>519</v>
      </c>
      <c r="BD188">
        <f>557</f>
        <v>557</v>
      </c>
      <c r="BE188">
        <f>693</f>
        <v>693</v>
      </c>
      <c r="BF188">
        <f>525</f>
        <v>525</v>
      </c>
      <c r="BG188">
        <f>669</f>
        <v>669</v>
      </c>
      <c r="BH188">
        <f>557</f>
        <v>557</v>
      </c>
      <c r="BI188">
        <f>571</f>
        <v>571</v>
      </c>
      <c r="BJ188">
        <f>607</f>
        <v>607</v>
      </c>
      <c r="BK188">
        <f>808</f>
        <v>808</v>
      </c>
      <c r="BL188">
        <f>615</f>
        <v>615</v>
      </c>
      <c r="BM188">
        <f>752</f>
        <v>752</v>
      </c>
      <c r="BN188">
        <f>758</f>
        <v>758</v>
      </c>
      <c r="BO188">
        <f>548</f>
        <v>548</v>
      </c>
      <c r="BP188">
        <f>719</f>
        <v>719</v>
      </c>
      <c r="BQ188">
        <f>703</f>
        <v>703</v>
      </c>
      <c r="BR188">
        <f>877</f>
        <v>877</v>
      </c>
      <c r="BS188">
        <f>1052</f>
        <v>1052</v>
      </c>
      <c r="BT188">
        <f>560</f>
        <v>560</v>
      </c>
      <c r="BU188">
        <f>675</f>
        <v>675</v>
      </c>
      <c r="BV188">
        <f>738</f>
        <v>738</v>
      </c>
      <c r="BW188">
        <f>653</f>
        <v>653</v>
      </c>
      <c r="BX188">
        <f>739</f>
        <v>739</v>
      </c>
      <c r="BY188">
        <f>978</f>
        <v>978</v>
      </c>
      <c r="BZ188">
        <f>613</f>
        <v>613</v>
      </c>
      <c r="CA188">
        <f>548</f>
        <v>548</v>
      </c>
      <c r="CB188">
        <f>716</f>
        <v>716</v>
      </c>
      <c r="CC188">
        <f>604</f>
        <v>604</v>
      </c>
      <c r="CD188">
        <f>848</f>
        <v>848</v>
      </c>
      <c r="CE188">
        <f>639</f>
        <v>639</v>
      </c>
      <c r="CF188">
        <f>540</f>
        <v>540</v>
      </c>
      <c r="CG188">
        <f>609</f>
        <v>609</v>
      </c>
    </row>
    <row r="189" spans="1:85" x14ac:dyDescent="0.25">
      <c r="A189" t="str">
        <f>"    Daimler - Western Star"</f>
        <v xml:space="preserve">    Daimler - Western Star</v>
      </c>
      <c r="B189" t="str">
        <f>"DAI GR Equity"</f>
        <v>DAI GR Equity</v>
      </c>
      <c r="C189" t="str">
        <f t="shared" si="11"/>
        <v>X1701</v>
      </c>
      <c r="D189" t="str">
        <f t="shared" si="12"/>
        <v>WARDS_RETAIL_SALES_UNITS</v>
      </c>
      <c r="E189" t="str">
        <f t="shared" si="10"/>
        <v>Dynamic</v>
      </c>
      <c r="F189">
        <f ca="1">IF(AND(ISNUMBER($F$308),$B$294=1),$F$308,HLOOKUP(INDIRECT(ADDRESS(2,COLUMN())),OFFSET($AT$2,0,0,ROW()-1,40),ROW()-1,FALSE))</f>
        <v>229</v>
      </c>
      <c r="G189">
        <f ca="1">IF(AND(ISNUMBER($G$308),$B$294=1),$G$308,HLOOKUP(INDIRECT(ADDRESS(2,COLUMN())),OFFSET($AT$2,0,0,ROW()-1,40),ROW()-1,FALSE))</f>
        <v>233</v>
      </c>
      <c r="H189">
        <f ca="1">IF(AND(ISNUMBER($H$308),$B$294=1),$H$308,HLOOKUP(INDIRECT(ADDRESS(2,COLUMN())),OFFSET($AT$2,0,0,ROW()-1,40),ROW()-1,FALSE))</f>
        <v>224</v>
      </c>
      <c r="I189">
        <f ca="1">IF(AND(ISNUMBER($I$308),$B$294=1),$I$308,HLOOKUP(INDIRECT(ADDRESS(2,COLUMN())),OFFSET($AT$2,0,0,ROW()-1,40),ROW()-1,FALSE))</f>
        <v>227</v>
      </c>
      <c r="J189">
        <f ca="1">IF(AND(ISNUMBER($J$308),$B$294=1),$J$308,HLOOKUP(INDIRECT(ADDRESS(2,COLUMN())),OFFSET($AT$2,0,0,ROW()-1,40),ROW()-1,FALSE))</f>
        <v>233</v>
      </c>
      <c r="K189">
        <f ca="1">IF(AND(ISNUMBER($K$308),$B$294=1),$K$308,HLOOKUP(INDIRECT(ADDRESS(2,COLUMN())),OFFSET($AT$2,0,0,ROW()-1,40),ROW()-1,FALSE))</f>
        <v>212</v>
      </c>
      <c r="L189">
        <f ca="1">IF(AND(ISNUMBER($L$308),$B$294=1),$L$308,HLOOKUP(INDIRECT(ADDRESS(2,COLUMN())),OFFSET($AT$2,0,0,ROW()-1,40),ROW()-1,FALSE))</f>
        <v>186</v>
      </c>
      <c r="M189">
        <f ca="1">IF(AND(ISNUMBER($M$308),$B$294=1),$M$308,HLOOKUP(INDIRECT(ADDRESS(2,COLUMN())),OFFSET($AT$2,0,0,ROW()-1,40),ROW()-1,FALSE))</f>
        <v>191</v>
      </c>
      <c r="N189">
        <f ca="1">IF(AND(ISNUMBER($N$308),$B$294=1),$N$308,HLOOKUP(INDIRECT(ADDRESS(2,COLUMN())),OFFSET($AT$2,0,0,ROW()-1,40),ROW()-1,FALSE))</f>
        <v>129</v>
      </c>
      <c r="O189">
        <f ca="1">IF(AND(ISNUMBER($O$308),$B$294=1),$O$308,HLOOKUP(INDIRECT(ADDRESS(2,COLUMN())),OFFSET($AT$2,0,0,ROW()-1,40),ROW()-1,FALSE))</f>
        <v>118</v>
      </c>
      <c r="P189">
        <f ca="1">IF(AND(ISNUMBER($P$308),$B$294=1),$P$308,HLOOKUP(INDIRECT(ADDRESS(2,COLUMN())),OFFSET($AT$2,0,0,ROW()-1,40),ROW()-1,FALSE))</f>
        <v>187</v>
      </c>
      <c r="Q189">
        <f ca="1">IF(AND(ISNUMBER($Q$308),$B$294=1),$Q$308,HLOOKUP(INDIRECT(ADDRESS(2,COLUMN())),OFFSET($AT$2,0,0,ROW()-1,40),ROW()-1,FALSE))</f>
        <v>198</v>
      </c>
      <c r="R189">
        <f ca="1">IF(AND(ISNUMBER($R$308),$B$294=1),$R$308,HLOOKUP(INDIRECT(ADDRESS(2,COLUMN())),OFFSET($AT$2,0,0,ROW()-1,40),ROW()-1,FALSE))</f>
        <v>146</v>
      </c>
      <c r="S189">
        <f ca="1">IF(AND(ISNUMBER($S$308),$B$294=1),$S$308,HLOOKUP(INDIRECT(ADDRESS(2,COLUMN())),OFFSET($AT$2,0,0,ROW()-1,40),ROW()-1,FALSE))</f>
        <v>230</v>
      </c>
      <c r="T189">
        <f ca="1">IF(AND(ISNUMBER($T$308),$B$294=1),$T$308,HLOOKUP(INDIRECT(ADDRESS(2,COLUMN())),OFFSET($AT$2,0,0,ROW()-1,40),ROW()-1,FALSE))</f>
        <v>179</v>
      </c>
      <c r="U189">
        <f ca="1">IF(AND(ISNUMBER($U$308),$B$294=1),$U$308,HLOOKUP(INDIRECT(ADDRESS(2,COLUMN())),OFFSET($AT$2,0,0,ROW()-1,40),ROW()-1,FALSE))</f>
        <v>175</v>
      </c>
      <c r="V189">
        <f ca="1">IF(AND(ISNUMBER($V$308),$B$294=1),$V$308,HLOOKUP(INDIRECT(ADDRESS(2,COLUMN())),OFFSET($AT$2,0,0,ROW()-1,40),ROW()-1,FALSE))</f>
        <v>277</v>
      </c>
      <c r="W189">
        <f ca="1">IF(AND(ISNUMBER($W$308),$B$294=1),$W$308,HLOOKUP(INDIRECT(ADDRESS(2,COLUMN())),OFFSET($AT$2,0,0,ROW()-1,40),ROW()-1,FALSE))</f>
        <v>266</v>
      </c>
      <c r="X189">
        <f ca="1">IF(AND(ISNUMBER($X$308),$B$294=1),$X$308,HLOOKUP(INDIRECT(ADDRESS(2,COLUMN())),OFFSET($AT$2,0,0,ROW()-1,40),ROW()-1,FALSE))</f>
        <v>207</v>
      </c>
      <c r="Y189">
        <f ca="1">IF(AND(ISNUMBER($Y$308),$B$294=1),$Y$308,HLOOKUP(INDIRECT(ADDRESS(2,COLUMN())),OFFSET($AT$2,0,0,ROW()-1,40),ROW()-1,FALSE))</f>
        <v>169</v>
      </c>
      <c r="Z189">
        <f ca="1">IF(AND(ISNUMBER($Z$308),$B$294=1),$Z$308,HLOOKUP(INDIRECT(ADDRESS(2,COLUMN())),OFFSET($AT$2,0,0,ROW()-1,40),ROW()-1,FALSE))</f>
        <v>174</v>
      </c>
      <c r="AA189">
        <f ca="1">IF(AND(ISNUMBER($AA$308),$B$294=1),$AA$308,HLOOKUP(INDIRECT(ADDRESS(2,COLUMN())),OFFSET($AT$2,0,0,ROW()-1,40),ROW()-1,FALSE))</f>
        <v>166</v>
      </c>
      <c r="AB189">
        <f ca="1">IF(AND(ISNUMBER($AB$308),$B$294=1),$AB$308,HLOOKUP(INDIRECT(ADDRESS(2,COLUMN())),OFFSET($AT$2,0,0,ROW()-1,40),ROW()-1,FALSE))</f>
        <v>236</v>
      </c>
      <c r="AC189">
        <f ca="1">IF(AND(ISNUMBER($AC$308),$B$294=1),$AC$308,HLOOKUP(INDIRECT(ADDRESS(2,COLUMN())),OFFSET($AT$2,0,0,ROW()-1,40),ROW()-1,FALSE))</f>
        <v>221</v>
      </c>
      <c r="AD189">
        <f ca="1">IF(AND(ISNUMBER($AD$308),$B$294=1),$AD$308,HLOOKUP(INDIRECT(ADDRESS(2,COLUMN())),OFFSET($AT$2,0,0,ROW()-1,40),ROW()-1,FALSE))</f>
        <v>219</v>
      </c>
      <c r="AE189">
        <f ca="1">IF(AND(ISNUMBER($AE$308),$B$294=1),$AE$308,HLOOKUP(INDIRECT(ADDRESS(2,COLUMN())),OFFSET($AT$2,0,0,ROW()-1,40),ROW()-1,FALSE))</f>
        <v>280</v>
      </c>
      <c r="AF189">
        <f ca="1">IF(AND(ISNUMBER($AF$308),$B$294=1),$AF$308,HLOOKUP(INDIRECT(ADDRESS(2,COLUMN())),OFFSET($AT$2,0,0,ROW()-1,40),ROW()-1,FALSE))</f>
        <v>139</v>
      </c>
      <c r="AG189">
        <f ca="1">IF(AND(ISNUMBER($AG$308),$B$294=1),$AG$308,HLOOKUP(INDIRECT(ADDRESS(2,COLUMN())),OFFSET($AT$2,0,0,ROW()-1,40),ROW()-1,FALSE))</f>
        <v>182</v>
      </c>
      <c r="AH189">
        <f ca="1">IF(AND(ISNUMBER($AH$308),$B$294=1),$AH$308,HLOOKUP(INDIRECT(ADDRESS(2,COLUMN())),OFFSET($AT$2,0,0,ROW()-1,40),ROW()-1,FALSE))</f>
        <v>261</v>
      </c>
      <c r="AI189">
        <f ca="1">IF(AND(ISNUMBER($AI$308),$B$294=1),$AI$308,HLOOKUP(INDIRECT(ADDRESS(2,COLUMN())),OFFSET($AT$2,0,0,ROW()-1,40),ROW()-1,FALSE))</f>
        <v>214</v>
      </c>
      <c r="AJ189">
        <f ca="1">IF(AND(ISNUMBER($AJ$308),$B$294=1),$AJ$308,HLOOKUP(INDIRECT(ADDRESS(2,COLUMN())),OFFSET($AT$2,0,0,ROW()-1,40),ROW()-1,FALSE))</f>
        <v>183</v>
      </c>
      <c r="AK189">
        <f ca="1">IF(AND(ISNUMBER($AK$308),$B$294=1),$AK$308,HLOOKUP(INDIRECT(ADDRESS(2,COLUMN())),OFFSET($AT$2,0,0,ROW()-1,40),ROW()-1,FALSE))</f>
        <v>202</v>
      </c>
      <c r="AL189">
        <f ca="1">IF(AND(ISNUMBER($AL$308),$B$294=1),$AL$308,HLOOKUP(INDIRECT(ADDRESS(2,COLUMN())),OFFSET($AT$2,0,0,ROW()-1,40),ROW()-1,FALSE))</f>
        <v>148</v>
      </c>
      <c r="AM189">
        <f ca="1">IF(AND(ISNUMBER($AM$308),$B$294=1),$AM$308,HLOOKUP(INDIRECT(ADDRESS(2,COLUMN())),OFFSET($AT$2,0,0,ROW()-1,40),ROW()-1,FALSE))</f>
        <v>175</v>
      </c>
      <c r="AN189">
        <f ca="1">IF(AND(ISNUMBER($AN$308),$B$294=1),$AN$308,HLOOKUP(INDIRECT(ADDRESS(2,COLUMN())),OFFSET($AT$2,0,0,ROW()-1,40),ROW()-1,FALSE))</f>
        <v>279</v>
      </c>
      <c r="AO189">
        <f ca="1">IF(AND(ISNUMBER($AO$308),$B$294=1),$AO$308,HLOOKUP(INDIRECT(ADDRESS(2,COLUMN())),OFFSET($AT$2,0,0,ROW()-1,40),ROW()-1,FALSE))</f>
        <v>227</v>
      </c>
      <c r="AP189">
        <f ca="1">IF(AND(ISNUMBER($AP$308),$B$294=1),$AP$308,HLOOKUP(INDIRECT(ADDRESS(2,COLUMN())),OFFSET($AT$2,0,0,ROW()-1,40),ROW()-1,FALSE))</f>
        <v>251</v>
      </c>
      <c r="AQ189">
        <f ca="1">IF(AND(ISNUMBER($AQ$308),$B$294=1),$AQ$308,HLOOKUP(INDIRECT(ADDRESS(2,COLUMN())),OFFSET($AT$2,0,0,ROW()-1,40),ROW()-1,FALSE))</f>
        <v>222</v>
      </c>
      <c r="AR189">
        <f ca="1">IF(AND(ISNUMBER($AR$308),$B$294=1),$AR$308,HLOOKUP(INDIRECT(ADDRESS(2,COLUMN())),OFFSET($AT$2,0,0,ROW()-1,40),ROW()-1,FALSE))</f>
        <v>191</v>
      </c>
      <c r="AS189">
        <f ca="1">IF(AND(ISNUMBER($AS$308),$B$294=1),$AS$308,HLOOKUP(INDIRECT(ADDRESS(2,COLUMN())),OFFSET($AT$2,0,0,ROW()-1,40),ROW()-1,FALSE))</f>
        <v>205</v>
      </c>
      <c r="AT189">
        <f>229</f>
        <v>229</v>
      </c>
      <c r="AU189">
        <f>233</f>
        <v>233</v>
      </c>
      <c r="AV189">
        <f>224</f>
        <v>224</v>
      </c>
      <c r="AW189">
        <f>227</f>
        <v>227</v>
      </c>
      <c r="AX189">
        <f>233</f>
        <v>233</v>
      </c>
      <c r="AY189">
        <f>212</f>
        <v>212</v>
      </c>
      <c r="AZ189">
        <f>186</f>
        <v>186</v>
      </c>
      <c r="BA189">
        <f>191</f>
        <v>191</v>
      </c>
      <c r="BB189">
        <f>129</f>
        <v>129</v>
      </c>
      <c r="BC189">
        <f>118</f>
        <v>118</v>
      </c>
      <c r="BD189">
        <f>187</f>
        <v>187</v>
      </c>
      <c r="BE189">
        <f>198</f>
        <v>198</v>
      </c>
      <c r="BF189">
        <f>146</f>
        <v>146</v>
      </c>
      <c r="BG189">
        <f>230</f>
        <v>230</v>
      </c>
      <c r="BH189">
        <f>179</f>
        <v>179</v>
      </c>
      <c r="BI189">
        <f>175</f>
        <v>175</v>
      </c>
      <c r="BJ189">
        <f>277</f>
        <v>277</v>
      </c>
      <c r="BK189">
        <f>266</f>
        <v>266</v>
      </c>
      <c r="BL189">
        <f>207</f>
        <v>207</v>
      </c>
      <c r="BM189">
        <f>169</f>
        <v>169</v>
      </c>
      <c r="BN189">
        <f>174</f>
        <v>174</v>
      </c>
      <c r="BO189">
        <f>166</f>
        <v>166</v>
      </c>
      <c r="BP189">
        <f>236</f>
        <v>236</v>
      </c>
      <c r="BQ189">
        <f>221</f>
        <v>221</v>
      </c>
      <c r="BR189">
        <f>219</f>
        <v>219</v>
      </c>
      <c r="BS189">
        <f>280</f>
        <v>280</v>
      </c>
      <c r="BT189">
        <f>139</f>
        <v>139</v>
      </c>
      <c r="BU189">
        <f>182</f>
        <v>182</v>
      </c>
      <c r="BV189">
        <f>261</f>
        <v>261</v>
      </c>
      <c r="BW189">
        <f>214</f>
        <v>214</v>
      </c>
      <c r="BX189">
        <f>183</f>
        <v>183</v>
      </c>
      <c r="BY189">
        <f>202</f>
        <v>202</v>
      </c>
      <c r="BZ189">
        <f>148</f>
        <v>148</v>
      </c>
      <c r="CA189">
        <f>175</f>
        <v>175</v>
      </c>
      <c r="CB189">
        <f>279</f>
        <v>279</v>
      </c>
      <c r="CC189">
        <f>227</f>
        <v>227</v>
      </c>
      <c r="CD189">
        <f>251</f>
        <v>251</v>
      </c>
      <c r="CE189">
        <f>222</f>
        <v>222</v>
      </c>
      <c r="CF189">
        <f>191</f>
        <v>191</v>
      </c>
      <c r="CG189">
        <f>205</f>
        <v>205</v>
      </c>
    </row>
    <row r="190" spans="1:85" x14ac:dyDescent="0.25">
      <c r="A190" t="str">
        <f>"    Daimler - Sterling"</f>
        <v xml:space="preserve">    Daimler - Sterling</v>
      </c>
      <c r="B190" t="str">
        <f>"DAI GR Equity"</f>
        <v>DAI GR Equity</v>
      </c>
      <c r="C190" t="str">
        <f t="shared" si="11"/>
        <v>X1701</v>
      </c>
      <c r="D190" t="str">
        <f t="shared" si="12"/>
        <v>WARDS_RETAIL_SALES_UNITS</v>
      </c>
      <c r="E190" t="str">
        <f t="shared" si="10"/>
        <v>Dynamic</v>
      </c>
      <c r="F190" t="str">
        <f ca="1">IF(AND(ISNUMBER($F$309),$B$294=1),$F$309,HLOOKUP(INDIRECT(ADDRESS(2,COLUMN())),OFFSET($AT$2,0,0,ROW()-1,40),ROW()-1,FALSE))</f>
        <v/>
      </c>
      <c r="G190" t="str">
        <f ca="1">IF(AND(ISNUMBER($G$309),$B$294=1),$G$309,HLOOKUP(INDIRECT(ADDRESS(2,COLUMN())),OFFSET($AT$2,0,0,ROW()-1,40),ROW()-1,FALSE))</f>
        <v/>
      </c>
      <c r="H190" t="str">
        <f ca="1">IF(AND(ISNUMBER($H$309),$B$294=1),$H$309,HLOOKUP(INDIRECT(ADDRESS(2,COLUMN())),OFFSET($AT$2,0,0,ROW()-1,40),ROW()-1,FALSE))</f>
        <v/>
      </c>
      <c r="I190" t="str">
        <f ca="1">IF(AND(ISNUMBER($I$309),$B$294=1),$I$309,HLOOKUP(INDIRECT(ADDRESS(2,COLUMN())),OFFSET($AT$2,0,0,ROW()-1,40),ROW()-1,FALSE))</f>
        <v/>
      </c>
      <c r="J190" t="str">
        <f ca="1">IF(AND(ISNUMBER($J$309),$B$294=1),$J$309,HLOOKUP(INDIRECT(ADDRESS(2,COLUMN())),OFFSET($AT$2,0,0,ROW()-1,40),ROW()-1,FALSE))</f>
        <v/>
      </c>
      <c r="K190" t="str">
        <f ca="1">IF(AND(ISNUMBER($K$309),$B$294=1),$K$309,HLOOKUP(INDIRECT(ADDRESS(2,COLUMN())),OFFSET($AT$2,0,0,ROW()-1,40),ROW()-1,FALSE))</f>
        <v/>
      </c>
      <c r="L190" t="str">
        <f ca="1">IF(AND(ISNUMBER($L$309),$B$294=1),$L$309,HLOOKUP(INDIRECT(ADDRESS(2,COLUMN())),OFFSET($AT$2,0,0,ROW()-1,40),ROW()-1,FALSE))</f>
        <v/>
      </c>
      <c r="M190" t="str">
        <f ca="1">IF(AND(ISNUMBER($M$309),$B$294=1),$M$309,HLOOKUP(INDIRECT(ADDRESS(2,COLUMN())),OFFSET($AT$2,0,0,ROW()-1,40),ROW()-1,FALSE))</f>
        <v/>
      </c>
      <c r="N190" t="str">
        <f ca="1">IF(AND(ISNUMBER($N$309),$B$294=1),$N$309,HLOOKUP(INDIRECT(ADDRESS(2,COLUMN())),OFFSET($AT$2,0,0,ROW()-1,40),ROW()-1,FALSE))</f>
        <v/>
      </c>
      <c r="O190" t="str">
        <f ca="1">IF(AND(ISNUMBER($O$309),$B$294=1),$O$309,HLOOKUP(INDIRECT(ADDRESS(2,COLUMN())),OFFSET($AT$2,0,0,ROW()-1,40),ROW()-1,FALSE))</f>
        <v/>
      </c>
      <c r="P190" t="str">
        <f ca="1">IF(AND(ISNUMBER($P$309),$B$294=1),$P$309,HLOOKUP(INDIRECT(ADDRESS(2,COLUMN())),OFFSET($AT$2,0,0,ROW()-1,40),ROW()-1,FALSE))</f>
        <v/>
      </c>
      <c r="Q190" t="str">
        <f ca="1">IF(AND(ISNUMBER($Q$309),$B$294=1),$Q$309,HLOOKUP(INDIRECT(ADDRESS(2,COLUMN())),OFFSET($AT$2,0,0,ROW()-1,40),ROW()-1,FALSE))</f>
        <v/>
      </c>
      <c r="R190" t="str">
        <f ca="1">IF(AND(ISNUMBER($R$309),$B$294=1),$R$309,HLOOKUP(INDIRECT(ADDRESS(2,COLUMN())),OFFSET($AT$2,0,0,ROW()-1,40),ROW()-1,FALSE))</f>
        <v/>
      </c>
      <c r="S190" t="str">
        <f ca="1">IF(AND(ISNUMBER($S$309),$B$294=1),$S$309,HLOOKUP(INDIRECT(ADDRESS(2,COLUMN())),OFFSET($AT$2,0,0,ROW()-1,40),ROW()-1,FALSE))</f>
        <v/>
      </c>
      <c r="T190" t="str">
        <f ca="1">IF(AND(ISNUMBER($T$309),$B$294=1),$T$309,HLOOKUP(INDIRECT(ADDRESS(2,COLUMN())),OFFSET($AT$2,0,0,ROW()-1,40),ROW()-1,FALSE))</f>
        <v/>
      </c>
      <c r="U190" t="str">
        <f ca="1">IF(AND(ISNUMBER($U$309),$B$294=1),$U$309,HLOOKUP(INDIRECT(ADDRESS(2,COLUMN())),OFFSET($AT$2,0,0,ROW()-1,40),ROW()-1,FALSE))</f>
        <v/>
      </c>
      <c r="V190" t="str">
        <f ca="1">IF(AND(ISNUMBER($V$309),$B$294=1),$V$309,HLOOKUP(INDIRECT(ADDRESS(2,COLUMN())),OFFSET($AT$2,0,0,ROW()-1,40),ROW()-1,FALSE))</f>
        <v/>
      </c>
      <c r="W190" t="str">
        <f ca="1">IF(AND(ISNUMBER($W$309),$B$294=1),$W$309,HLOOKUP(INDIRECT(ADDRESS(2,COLUMN())),OFFSET($AT$2,0,0,ROW()-1,40),ROW()-1,FALSE))</f>
        <v/>
      </c>
      <c r="X190" t="str">
        <f ca="1">IF(AND(ISNUMBER($X$309),$B$294=1),$X$309,HLOOKUP(INDIRECT(ADDRESS(2,COLUMN())),OFFSET($AT$2,0,0,ROW()-1,40),ROW()-1,FALSE))</f>
        <v/>
      </c>
      <c r="Y190" t="str">
        <f ca="1">IF(AND(ISNUMBER($Y$309),$B$294=1),$Y$309,HLOOKUP(INDIRECT(ADDRESS(2,COLUMN())),OFFSET($AT$2,0,0,ROW()-1,40),ROW()-1,FALSE))</f>
        <v/>
      </c>
      <c r="Z190" t="str">
        <f ca="1">IF(AND(ISNUMBER($Z$309),$B$294=1),$Z$309,HLOOKUP(INDIRECT(ADDRESS(2,COLUMN())),OFFSET($AT$2,0,0,ROW()-1,40),ROW()-1,FALSE))</f>
        <v/>
      </c>
      <c r="AA190" t="str">
        <f ca="1">IF(AND(ISNUMBER($AA$309),$B$294=1),$AA$309,HLOOKUP(INDIRECT(ADDRESS(2,COLUMN())),OFFSET($AT$2,0,0,ROW()-1,40),ROW()-1,FALSE))</f>
        <v/>
      </c>
      <c r="AB190" t="str">
        <f ca="1">IF(AND(ISNUMBER($AB$309),$B$294=1),$AB$309,HLOOKUP(INDIRECT(ADDRESS(2,COLUMN())),OFFSET($AT$2,0,0,ROW()-1,40),ROW()-1,FALSE))</f>
        <v/>
      </c>
      <c r="AC190" t="str">
        <f ca="1">IF(AND(ISNUMBER($AC$309),$B$294=1),$AC$309,HLOOKUP(INDIRECT(ADDRESS(2,COLUMN())),OFFSET($AT$2,0,0,ROW()-1,40),ROW()-1,FALSE))</f>
        <v/>
      </c>
      <c r="AD190" t="str">
        <f ca="1">IF(AND(ISNUMBER($AD$309),$B$294=1),$AD$309,HLOOKUP(INDIRECT(ADDRESS(2,COLUMN())),OFFSET($AT$2,0,0,ROW()-1,40),ROW()-1,FALSE))</f>
        <v/>
      </c>
      <c r="AE190" t="str">
        <f ca="1">IF(AND(ISNUMBER($AE$309),$B$294=1),$AE$309,HLOOKUP(INDIRECT(ADDRESS(2,COLUMN())),OFFSET($AT$2,0,0,ROW()-1,40),ROW()-1,FALSE))</f>
        <v/>
      </c>
      <c r="AF190" t="str">
        <f ca="1">IF(AND(ISNUMBER($AF$309),$B$294=1),$AF$309,HLOOKUP(INDIRECT(ADDRESS(2,COLUMN())),OFFSET($AT$2,0,0,ROW()-1,40),ROW()-1,FALSE))</f>
        <v/>
      </c>
      <c r="AG190" t="str">
        <f ca="1">IF(AND(ISNUMBER($AG$309),$B$294=1),$AG$309,HLOOKUP(INDIRECT(ADDRESS(2,COLUMN())),OFFSET($AT$2,0,0,ROW()-1,40),ROW()-1,FALSE))</f>
        <v/>
      </c>
      <c r="AH190" t="str">
        <f ca="1">IF(AND(ISNUMBER($AH$309),$B$294=1),$AH$309,HLOOKUP(INDIRECT(ADDRESS(2,COLUMN())),OFFSET($AT$2,0,0,ROW()-1,40),ROW()-1,FALSE))</f>
        <v/>
      </c>
      <c r="AI190" t="str">
        <f ca="1">IF(AND(ISNUMBER($AI$309),$B$294=1),$AI$309,HLOOKUP(INDIRECT(ADDRESS(2,COLUMN())),OFFSET($AT$2,0,0,ROW()-1,40),ROW()-1,FALSE))</f>
        <v/>
      </c>
      <c r="AJ190" t="str">
        <f ca="1">IF(AND(ISNUMBER($AJ$309),$B$294=1),$AJ$309,HLOOKUP(INDIRECT(ADDRESS(2,COLUMN())),OFFSET($AT$2,0,0,ROW()-1,40),ROW()-1,FALSE))</f>
        <v/>
      </c>
      <c r="AK190" t="str">
        <f ca="1">IF(AND(ISNUMBER($AK$309),$B$294=1),$AK$309,HLOOKUP(INDIRECT(ADDRESS(2,COLUMN())),OFFSET($AT$2,0,0,ROW()-1,40),ROW()-1,FALSE))</f>
        <v/>
      </c>
      <c r="AL190" t="str">
        <f ca="1">IF(AND(ISNUMBER($AL$309),$B$294=1),$AL$309,HLOOKUP(INDIRECT(ADDRESS(2,COLUMN())),OFFSET($AT$2,0,0,ROW()-1,40),ROW()-1,FALSE))</f>
        <v/>
      </c>
      <c r="AM190" t="str">
        <f ca="1">IF(AND(ISNUMBER($AM$309),$B$294=1),$AM$309,HLOOKUP(INDIRECT(ADDRESS(2,COLUMN())),OFFSET($AT$2,0,0,ROW()-1,40),ROW()-1,FALSE))</f>
        <v/>
      </c>
      <c r="AN190" t="str">
        <f ca="1">IF(AND(ISNUMBER($AN$309),$B$294=1),$AN$309,HLOOKUP(INDIRECT(ADDRESS(2,COLUMN())),OFFSET($AT$2,0,0,ROW()-1,40),ROW()-1,FALSE))</f>
        <v/>
      </c>
      <c r="AO190" t="str">
        <f ca="1">IF(AND(ISNUMBER($AO$309),$B$294=1),$AO$309,HLOOKUP(INDIRECT(ADDRESS(2,COLUMN())),OFFSET($AT$2,0,0,ROW()-1,40),ROW()-1,FALSE))</f>
        <v/>
      </c>
      <c r="AP190" t="str">
        <f ca="1">IF(AND(ISNUMBER($AP$309),$B$294=1),$AP$309,HLOOKUP(INDIRECT(ADDRESS(2,COLUMN())),OFFSET($AT$2,0,0,ROW()-1,40),ROW()-1,FALSE))</f>
        <v/>
      </c>
      <c r="AQ190" t="str">
        <f ca="1">IF(AND(ISNUMBER($AQ$309),$B$294=1),$AQ$309,HLOOKUP(INDIRECT(ADDRESS(2,COLUMN())),OFFSET($AT$2,0,0,ROW()-1,40),ROW()-1,FALSE))</f>
        <v/>
      </c>
      <c r="AR190" t="str">
        <f ca="1">IF(AND(ISNUMBER($AR$309),$B$294=1),$AR$309,HLOOKUP(INDIRECT(ADDRESS(2,COLUMN())),OFFSET($AT$2,0,0,ROW()-1,40),ROW()-1,FALSE))</f>
        <v/>
      </c>
      <c r="AS190" t="str">
        <f ca="1">IF(AND(ISNUMBER($AS$309),$B$294=1),$AS$309,HLOOKUP(INDIRECT(ADDRESS(2,COLUMN())),OFFSET($AT$2,0,0,ROW()-1,40),ROW()-1,FALSE))</f>
        <v/>
      </c>
      <c r="AT190" t="str">
        <f>""</f>
        <v/>
      </c>
      <c r="AU190" t="str">
        <f>""</f>
        <v/>
      </c>
      <c r="AV190" t="str">
        <f>""</f>
        <v/>
      </c>
      <c r="AW190" t="str">
        <f>""</f>
        <v/>
      </c>
      <c r="AX190" t="str">
        <f>""</f>
        <v/>
      </c>
      <c r="AY190" t="str">
        <f>""</f>
        <v/>
      </c>
      <c r="AZ190" t="str">
        <f>""</f>
        <v/>
      </c>
      <c r="BA190" t="str">
        <f>""</f>
        <v/>
      </c>
      <c r="BB190" t="str">
        <f>""</f>
        <v/>
      </c>
      <c r="BC190" t="str">
        <f>""</f>
        <v/>
      </c>
      <c r="BD190" t="str">
        <f>""</f>
        <v/>
      </c>
      <c r="BE190" t="str">
        <f>""</f>
        <v/>
      </c>
      <c r="BF190" t="str">
        <f>""</f>
        <v/>
      </c>
      <c r="BG190" t="str">
        <f>""</f>
        <v/>
      </c>
      <c r="BH190" t="str">
        <f>""</f>
        <v/>
      </c>
      <c r="BI190" t="str">
        <f>""</f>
        <v/>
      </c>
      <c r="BJ190" t="str">
        <f>""</f>
        <v/>
      </c>
      <c r="BK190" t="str">
        <f>""</f>
        <v/>
      </c>
      <c r="BL190" t="str">
        <f>""</f>
        <v/>
      </c>
      <c r="BM190" t="str">
        <f>""</f>
        <v/>
      </c>
      <c r="BN190" t="str">
        <f>""</f>
        <v/>
      </c>
      <c r="BO190" t="str">
        <f>""</f>
        <v/>
      </c>
      <c r="BP190" t="str">
        <f>""</f>
        <v/>
      </c>
      <c r="BQ190" t="str">
        <f>""</f>
        <v/>
      </c>
      <c r="BR190" t="str">
        <f>""</f>
        <v/>
      </c>
      <c r="BS190" t="str">
        <f>""</f>
        <v/>
      </c>
      <c r="BT190" t="str">
        <f>""</f>
        <v/>
      </c>
      <c r="BU190" t="str">
        <f>""</f>
        <v/>
      </c>
      <c r="BV190" t="str">
        <f>""</f>
        <v/>
      </c>
      <c r="BW190" t="str">
        <f>""</f>
        <v/>
      </c>
      <c r="BX190" t="str">
        <f>""</f>
        <v/>
      </c>
      <c r="BY190" t="str">
        <f>""</f>
        <v/>
      </c>
      <c r="BZ190" t="str">
        <f>""</f>
        <v/>
      </c>
      <c r="CA190" t="str">
        <f>""</f>
        <v/>
      </c>
      <c r="CB190" t="str">
        <f>""</f>
        <v/>
      </c>
      <c r="CC190" t="str">
        <f>""</f>
        <v/>
      </c>
      <c r="CD190" t="str">
        <f>""</f>
        <v/>
      </c>
      <c r="CE190" t="str">
        <f>""</f>
        <v/>
      </c>
      <c r="CF190" t="str">
        <f>""</f>
        <v/>
      </c>
      <c r="CG190" t="str">
        <f>""</f>
        <v/>
      </c>
    </row>
    <row r="191" spans="1:85" x14ac:dyDescent="0.25">
      <c r="A191" t="str">
        <f>"    PACCAR - Kenworth"</f>
        <v xml:space="preserve">    PACCAR - Kenworth</v>
      </c>
      <c r="B191" t="str">
        <f>"PCAR US Equity"</f>
        <v>PCAR US Equity</v>
      </c>
      <c r="C191" t="str">
        <f t="shared" si="11"/>
        <v>X1701</v>
      </c>
      <c r="D191" t="str">
        <f t="shared" si="12"/>
        <v>WARDS_RETAIL_SALES_UNITS</v>
      </c>
      <c r="E191" t="str">
        <f t="shared" si="10"/>
        <v>Dynamic</v>
      </c>
      <c r="F191">
        <f ca="1">IF(AND(ISNUMBER($F$310),$B$294=1),$F$310,HLOOKUP(INDIRECT(ADDRESS(2,COLUMN())),OFFSET($AT$2,0,0,ROW()-1,40),ROW()-1,FALSE))</f>
        <v>450</v>
      </c>
      <c r="G191">
        <f ca="1">IF(AND(ISNUMBER($G$310),$B$294=1),$G$310,HLOOKUP(INDIRECT(ADDRESS(2,COLUMN())),OFFSET($AT$2,0,0,ROW()-1,40),ROW()-1,FALSE))</f>
        <v>420</v>
      </c>
      <c r="H191">
        <f ca="1">IF(AND(ISNUMBER($H$310),$B$294=1),$H$310,HLOOKUP(INDIRECT(ADDRESS(2,COLUMN())),OFFSET($AT$2,0,0,ROW()-1,40),ROW()-1,FALSE))</f>
        <v>374</v>
      </c>
      <c r="I191">
        <f ca="1">IF(AND(ISNUMBER($I$310),$B$294=1),$I$310,HLOOKUP(INDIRECT(ADDRESS(2,COLUMN())),OFFSET($AT$2,0,0,ROW()-1,40),ROW()-1,FALSE))</f>
        <v>428</v>
      </c>
      <c r="J191">
        <f ca="1">IF(AND(ISNUMBER($J$310),$B$294=1),$J$310,HLOOKUP(INDIRECT(ADDRESS(2,COLUMN())),OFFSET($AT$2,0,0,ROW()-1,40),ROW()-1,FALSE))</f>
        <v>392</v>
      </c>
      <c r="K191">
        <f ca="1">IF(AND(ISNUMBER($K$310),$B$294=1),$K$310,HLOOKUP(INDIRECT(ADDRESS(2,COLUMN())),OFFSET($AT$2,0,0,ROW()-1,40),ROW()-1,FALSE))</f>
        <v>418</v>
      </c>
      <c r="L191">
        <f ca="1">IF(AND(ISNUMBER($L$310),$B$294=1),$L$310,HLOOKUP(INDIRECT(ADDRESS(2,COLUMN())),OFFSET($AT$2,0,0,ROW()-1,40),ROW()-1,FALSE))</f>
        <v>255</v>
      </c>
      <c r="M191">
        <f ca="1">IF(AND(ISNUMBER($M$310),$B$294=1),$M$310,HLOOKUP(INDIRECT(ADDRESS(2,COLUMN())),OFFSET($AT$2,0,0,ROW()-1,40),ROW()-1,FALSE))</f>
        <v>297</v>
      </c>
      <c r="N191">
        <f ca="1">IF(AND(ISNUMBER($N$310),$B$294=1),$N$310,HLOOKUP(INDIRECT(ADDRESS(2,COLUMN())),OFFSET($AT$2,0,0,ROW()-1,40),ROW()-1,FALSE))</f>
        <v>203</v>
      </c>
      <c r="O191">
        <f ca="1">IF(AND(ISNUMBER($O$310),$B$294=1),$O$310,HLOOKUP(INDIRECT(ADDRESS(2,COLUMN())),OFFSET($AT$2,0,0,ROW()-1,40),ROW()-1,FALSE))</f>
        <v>204</v>
      </c>
      <c r="P191">
        <f ca="1">IF(AND(ISNUMBER($P$310),$B$294=1),$P$310,HLOOKUP(INDIRECT(ADDRESS(2,COLUMN())),OFFSET($AT$2,0,0,ROW()-1,40),ROW()-1,FALSE))</f>
        <v>283</v>
      </c>
      <c r="Q191">
        <f ca="1">IF(AND(ISNUMBER($Q$310),$B$294=1),$Q$310,HLOOKUP(INDIRECT(ADDRESS(2,COLUMN())),OFFSET($AT$2,0,0,ROW()-1,40),ROW()-1,FALSE))</f>
        <v>260</v>
      </c>
      <c r="R191">
        <f ca="1">IF(AND(ISNUMBER($R$310),$B$294=1),$R$310,HLOOKUP(INDIRECT(ADDRESS(2,COLUMN())),OFFSET($AT$2,0,0,ROW()-1,40),ROW()-1,FALSE))</f>
        <v>296</v>
      </c>
      <c r="S191">
        <f ca="1">IF(AND(ISNUMBER($S$310),$B$294=1),$S$310,HLOOKUP(INDIRECT(ADDRESS(2,COLUMN())),OFFSET($AT$2,0,0,ROW()-1,40),ROW()-1,FALSE))</f>
        <v>322</v>
      </c>
      <c r="T191">
        <f ca="1">IF(AND(ISNUMBER($T$310),$B$294=1),$T$310,HLOOKUP(INDIRECT(ADDRESS(2,COLUMN())),OFFSET($AT$2,0,0,ROW()-1,40),ROW()-1,FALSE))</f>
        <v>287</v>
      </c>
      <c r="U191">
        <f ca="1">IF(AND(ISNUMBER($U$310),$B$294=1),$U$310,HLOOKUP(INDIRECT(ADDRESS(2,COLUMN())),OFFSET($AT$2,0,0,ROW()-1,40),ROW()-1,FALSE))</f>
        <v>267</v>
      </c>
      <c r="V191">
        <f ca="1">IF(AND(ISNUMBER($V$310),$B$294=1),$V$310,HLOOKUP(INDIRECT(ADDRESS(2,COLUMN())),OFFSET($AT$2,0,0,ROW()-1,40),ROW()-1,FALSE))</f>
        <v>279</v>
      </c>
      <c r="W191">
        <f ca="1">IF(AND(ISNUMBER($W$310),$B$294=1),$W$310,HLOOKUP(INDIRECT(ADDRESS(2,COLUMN())),OFFSET($AT$2,0,0,ROW()-1,40),ROW()-1,FALSE))</f>
        <v>282</v>
      </c>
      <c r="X191">
        <f ca="1">IF(AND(ISNUMBER($X$310),$B$294=1),$X$310,HLOOKUP(INDIRECT(ADDRESS(2,COLUMN())),OFFSET($AT$2,0,0,ROW()-1,40),ROW()-1,FALSE))</f>
        <v>246</v>
      </c>
      <c r="Y191">
        <f ca="1">IF(AND(ISNUMBER($Y$310),$B$294=1),$Y$310,HLOOKUP(INDIRECT(ADDRESS(2,COLUMN())),OFFSET($AT$2,0,0,ROW()-1,40),ROW()-1,FALSE))</f>
        <v>250</v>
      </c>
      <c r="Z191">
        <f ca="1">IF(AND(ISNUMBER($Z$310),$B$294=1),$Z$310,HLOOKUP(INDIRECT(ADDRESS(2,COLUMN())),OFFSET($AT$2,0,0,ROW()-1,40),ROW()-1,FALSE))</f>
        <v>185</v>
      </c>
      <c r="AA191">
        <f ca="1">IF(AND(ISNUMBER($AA$310),$B$294=1),$AA$310,HLOOKUP(INDIRECT(ADDRESS(2,COLUMN())),OFFSET($AT$2,0,0,ROW()-1,40),ROW()-1,FALSE))</f>
        <v>140</v>
      </c>
      <c r="AB191">
        <f ca="1">IF(AND(ISNUMBER($AB$310),$B$294=1),$AB$310,HLOOKUP(INDIRECT(ADDRESS(2,COLUMN())),OFFSET($AT$2,0,0,ROW()-1,40),ROW()-1,FALSE))</f>
        <v>281</v>
      </c>
      <c r="AC191">
        <f ca="1">IF(AND(ISNUMBER($AC$310),$B$294=1),$AC$310,HLOOKUP(INDIRECT(ADDRESS(2,COLUMN())),OFFSET($AT$2,0,0,ROW()-1,40),ROW()-1,FALSE))</f>
        <v>294</v>
      </c>
      <c r="AD191">
        <f ca="1">IF(AND(ISNUMBER($AD$310),$B$294=1),$AD$310,HLOOKUP(INDIRECT(ADDRESS(2,COLUMN())),OFFSET($AT$2,0,0,ROW()-1,40),ROW()-1,FALSE))</f>
        <v>294</v>
      </c>
      <c r="AE191">
        <f ca="1">IF(AND(ISNUMBER($AE$310),$B$294=1),$AE$310,HLOOKUP(INDIRECT(ADDRESS(2,COLUMN())),OFFSET($AT$2,0,0,ROW()-1,40),ROW()-1,FALSE))</f>
        <v>404</v>
      </c>
      <c r="AF191">
        <f ca="1">IF(AND(ISNUMBER($AF$310),$B$294=1),$AF$310,HLOOKUP(INDIRECT(ADDRESS(2,COLUMN())),OFFSET($AT$2,0,0,ROW()-1,40),ROW()-1,FALSE))</f>
        <v>318</v>
      </c>
      <c r="AG191">
        <f ca="1">IF(AND(ISNUMBER($AG$310),$B$294=1),$AG$310,HLOOKUP(INDIRECT(ADDRESS(2,COLUMN())),OFFSET($AT$2,0,0,ROW()-1,40),ROW()-1,FALSE))</f>
        <v>351</v>
      </c>
      <c r="AH191">
        <f ca="1">IF(AND(ISNUMBER($AH$310),$B$294=1),$AH$310,HLOOKUP(INDIRECT(ADDRESS(2,COLUMN())),OFFSET($AT$2,0,0,ROW()-1,40),ROW()-1,FALSE))</f>
        <v>299</v>
      </c>
      <c r="AI191">
        <f ca="1">IF(AND(ISNUMBER($AI$310),$B$294=1),$AI$310,HLOOKUP(INDIRECT(ADDRESS(2,COLUMN())),OFFSET($AT$2,0,0,ROW()-1,40),ROW()-1,FALSE))</f>
        <v>384</v>
      </c>
      <c r="AJ191">
        <f ca="1">IF(AND(ISNUMBER($AJ$310),$B$294=1),$AJ$310,HLOOKUP(INDIRECT(ADDRESS(2,COLUMN())),OFFSET($AT$2,0,0,ROW()-1,40),ROW()-1,FALSE))</f>
        <v>393</v>
      </c>
      <c r="AK191">
        <f ca="1">IF(AND(ISNUMBER($AK$310),$B$294=1),$AK$310,HLOOKUP(INDIRECT(ADDRESS(2,COLUMN())),OFFSET($AT$2,0,0,ROW()-1,40),ROW()-1,FALSE))</f>
        <v>436</v>
      </c>
      <c r="AL191">
        <f ca="1">IF(AND(ISNUMBER($AL$310),$B$294=1),$AL$310,HLOOKUP(INDIRECT(ADDRESS(2,COLUMN())),OFFSET($AT$2,0,0,ROW()-1,40),ROW()-1,FALSE))</f>
        <v>343</v>
      </c>
      <c r="AM191">
        <f ca="1">IF(AND(ISNUMBER($AM$310),$B$294=1),$AM$310,HLOOKUP(INDIRECT(ADDRESS(2,COLUMN())),OFFSET($AT$2,0,0,ROW()-1,40),ROW()-1,FALSE))</f>
        <v>342</v>
      </c>
      <c r="AN191">
        <f ca="1">IF(AND(ISNUMBER($AN$310),$B$294=1),$AN$310,HLOOKUP(INDIRECT(ADDRESS(2,COLUMN())),OFFSET($AT$2,0,0,ROW()-1,40),ROW()-1,FALSE))</f>
        <v>445</v>
      </c>
      <c r="AO191">
        <f ca="1">IF(AND(ISNUMBER($AO$310),$B$294=1),$AO$310,HLOOKUP(INDIRECT(ADDRESS(2,COLUMN())),OFFSET($AT$2,0,0,ROW()-1,40),ROW()-1,FALSE))</f>
        <v>412</v>
      </c>
      <c r="AP191">
        <f ca="1">IF(AND(ISNUMBER($AP$310),$B$294=1),$AP$310,HLOOKUP(INDIRECT(ADDRESS(2,COLUMN())),OFFSET($AT$2,0,0,ROW()-1,40),ROW()-1,FALSE))</f>
        <v>496</v>
      </c>
      <c r="AQ191">
        <f ca="1">IF(AND(ISNUMBER($AQ$310),$B$294=1),$AQ$310,HLOOKUP(INDIRECT(ADDRESS(2,COLUMN())),OFFSET($AT$2,0,0,ROW()-1,40),ROW()-1,FALSE))</f>
        <v>493</v>
      </c>
      <c r="AR191">
        <f ca="1">IF(AND(ISNUMBER($AR$310),$B$294=1),$AR$310,HLOOKUP(INDIRECT(ADDRESS(2,COLUMN())),OFFSET($AT$2,0,0,ROW()-1,40),ROW()-1,FALSE))</f>
        <v>416</v>
      </c>
      <c r="AS191">
        <f ca="1">IF(AND(ISNUMBER($AS$310),$B$294=1),$AS$310,HLOOKUP(INDIRECT(ADDRESS(2,COLUMN())),OFFSET($AT$2,0,0,ROW()-1,40),ROW()-1,FALSE))</f>
        <v>419</v>
      </c>
      <c r="AT191">
        <f>450</f>
        <v>450</v>
      </c>
      <c r="AU191">
        <f>420</f>
        <v>420</v>
      </c>
      <c r="AV191">
        <f>374</f>
        <v>374</v>
      </c>
      <c r="AW191">
        <f>428</f>
        <v>428</v>
      </c>
      <c r="AX191">
        <f>392</f>
        <v>392</v>
      </c>
      <c r="AY191">
        <f>418</f>
        <v>418</v>
      </c>
      <c r="AZ191">
        <f>255</f>
        <v>255</v>
      </c>
      <c r="BA191">
        <f>297</f>
        <v>297</v>
      </c>
      <c r="BB191">
        <f>203</f>
        <v>203</v>
      </c>
      <c r="BC191">
        <f>204</f>
        <v>204</v>
      </c>
      <c r="BD191">
        <f>283</f>
        <v>283</v>
      </c>
      <c r="BE191">
        <f>260</f>
        <v>260</v>
      </c>
      <c r="BF191">
        <f>296</f>
        <v>296</v>
      </c>
      <c r="BG191">
        <f>322</f>
        <v>322</v>
      </c>
      <c r="BH191">
        <f>287</f>
        <v>287</v>
      </c>
      <c r="BI191">
        <f>267</f>
        <v>267</v>
      </c>
      <c r="BJ191">
        <f>279</f>
        <v>279</v>
      </c>
      <c r="BK191">
        <f>282</f>
        <v>282</v>
      </c>
      <c r="BL191">
        <f>246</f>
        <v>246</v>
      </c>
      <c r="BM191">
        <f>250</f>
        <v>250</v>
      </c>
      <c r="BN191">
        <f>185</f>
        <v>185</v>
      </c>
      <c r="BO191">
        <f>140</f>
        <v>140</v>
      </c>
      <c r="BP191">
        <f>281</f>
        <v>281</v>
      </c>
      <c r="BQ191">
        <f>294</f>
        <v>294</v>
      </c>
      <c r="BR191">
        <f>294</f>
        <v>294</v>
      </c>
      <c r="BS191">
        <f>404</f>
        <v>404</v>
      </c>
      <c r="BT191">
        <f>318</f>
        <v>318</v>
      </c>
      <c r="BU191">
        <f>351</f>
        <v>351</v>
      </c>
      <c r="BV191">
        <f>299</f>
        <v>299</v>
      </c>
      <c r="BW191">
        <f>384</f>
        <v>384</v>
      </c>
      <c r="BX191">
        <f>393</f>
        <v>393</v>
      </c>
      <c r="BY191">
        <f>436</f>
        <v>436</v>
      </c>
      <c r="BZ191">
        <f>343</f>
        <v>343</v>
      </c>
      <c r="CA191">
        <f>342</f>
        <v>342</v>
      </c>
      <c r="CB191">
        <f>445</f>
        <v>445</v>
      </c>
      <c r="CC191">
        <f>412</f>
        <v>412</v>
      </c>
      <c r="CD191">
        <f>496</f>
        <v>496</v>
      </c>
      <c r="CE191">
        <f>493</f>
        <v>493</v>
      </c>
      <c r="CF191">
        <f>416</f>
        <v>416</v>
      </c>
      <c r="CG191">
        <f>419</f>
        <v>419</v>
      </c>
    </row>
    <row r="192" spans="1:85" x14ac:dyDescent="0.25">
      <c r="A192" t="str">
        <f>"    PACCAR - Peterbilt"</f>
        <v xml:space="preserve">    PACCAR - Peterbilt</v>
      </c>
      <c r="B192" t="str">
        <f>"PCAR US Equity"</f>
        <v>PCAR US Equity</v>
      </c>
      <c r="C192" t="str">
        <f t="shared" si="11"/>
        <v>X1701</v>
      </c>
      <c r="D192" t="str">
        <f t="shared" si="12"/>
        <v>WARDS_RETAIL_SALES_UNITS</v>
      </c>
      <c r="E192" t="str">
        <f t="shared" si="10"/>
        <v>Dynamic</v>
      </c>
      <c r="F192">
        <f ca="1">IF(AND(ISNUMBER($F$311),$B$294=1),$F$311,HLOOKUP(INDIRECT(ADDRESS(2,COLUMN())),OFFSET($AT$2,0,0,ROW()-1,40),ROW()-1,FALSE))</f>
        <v>254</v>
      </c>
      <c r="G192">
        <f ca="1">IF(AND(ISNUMBER($G$311),$B$294=1),$G$311,HLOOKUP(INDIRECT(ADDRESS(2,COLUMN())),OFFSET($AT$2,0,0,ROW()-1,40),ROW()-1,FALSE))</f>
        <v>250</v>
      </c>
      <c r="H192">
        <f ca="1">IF(AND(ISNUMBER($H$311),$B$294=1),$H$311,HLOOKUP(INDIRECT(ADDRESS(2,COLUMN())),OFFSET($AT$2,0,0,ROW()-1,40),ROW()-1,FALSE))</f>
        <v>274</v>
      </c>
      <c r="I192">
        <f ca="1">IF(AND(ISNUMBER($I$311),$B$294=1),$I$311,HLOOKUP(INDIRECT(ADDRESS(2,COLUMN())),OFFSET($AT$2,0,0,ROW()-1,40),ROW()-1,FALSE))</f>
        <v>271</v>
      </c>
      <c r="J192">
        <f ca="1">IF(AND(ISNUMBER($J$311),$B$294=1),$J$311,HLOOKUP(INDIRECT(ADDRESS(2,COLUMN())),OFFSET($AT$2,0,0,ROW()-1,40),ROW()-1,FALSE))</f>
        <v>272</v>
      </c>
      <c r="K192">
        <f ca="1">IF(AND(ISNUMBER($K$311),$B$294=1),$K$311,HLOOKUP(INDIRECT(ADDRESS(2,COLUMN())),OFFSET($AT$2,0,0,ROW()-1,40),ROW()-1,FALSE))</f>
        <v>297</v>
      </c>
      <c r="L192">
        <f ca="1">IF(AND(ISNUMBER($L$311),$B$294=1),$L$311,HLOOKUP(INDIRECT(ADDRESS(2,COLUMN())),OFFSET($AT$2,0,0,ROW()-1,40),ROW()-1,FALSE))</f>
        <v>225</v>
      </c>
      <c r="M192">
        <f ca="1">IF(AND(ISNUMBER($M$311),$B$294=1),$M$311,HLOOKUP(INDIRECT(ADDRESS(2,COLUMN())),OFFSET($AT$2,0,0,ROW()-1,40),ROW()-1,FALSE))</f>
        <v>240</v>
      </c>
      <c r="N192">
        <f ca="1">IF(AND(ISNUMBER($N$311),$B$294=1),$N$311,HLOOKUP(INDIRECT(ADDRESS(2,COLUMN())),OFFSET($AT$2,0,0,ROW()-1,40),ROW()-1,FALSE))</f>
        <v>210</v>
      </c>
      <c r="O192">
        <f ca="1">IF(AND(ISNUMBER($O$311),$B$294=1),$O$311,HLOOKUP(INDIRECT(ADDRESS(2,COLUMN())),OFFSET($AT$2,0,0,ROW()-1,40),ROW()-1,FALSE))</f>
        <v>150</v>
      </c>
      <c r="P192">
        <f ca="1">IF(AND(ISNUMBER($P$311),$B$294=1),$P$311,HLOOKUP(INDIRECT(ADDRESS(2,COLUMN())),OFFSET($AT$2,0,0,ROW()-1,40),ROW()-1,FALSE))</f>
        <v>205</v>
      </c>
      <c r="Q192">
        <f ca="1">IF(AND(ISNUMBER($Q$311),$B$294=1),$Q$311,HLOOKUP(INDIRECT(ADDRESS(2,COLUMN())),OFFSET($AT$2,0,0,ROW()-1,40),ROW()-1,FALSE))</f>
        <v>203</v>
      </c>
      <c r="R192">
        <f ca="1">IF(AND(ISNUMBER($R$311),$B$294=1),$R$311,HLOOKUP(INDIRECT(ADDRESS(2,COLUMN())),OFFSET($AT$2,0,0,ROW()-1,40),ROW()-1,FALSE))</f>
        <v>239</v>
      </c>
      <c r="S192">
        <f ca="1">IF(AND(ISNUMBER($S$311),$B$294=1),$S$311,HLOOKUP(INDIRECT(ADDRESS(2,COLUMN())),OFFSET($AT$2,0,0,ROW()-1,40),ROW()-1,FALSE))</f>
        <v>180</v>
      </c>
      <c r="T192">
        <f ca="1">IF(AND(ISNUMBER($T$311),$B$294=1),$T$311,HLOOKUP(INDIRECT(ADDRESS(2,COLUMN())),OFFSET($AT$2,0,0,ROW()-1,40),ROW()-1,FALSE))</f>
        <v>237</v>
      </c>
      <c r="U192">
        <f ca="1">IF(AND(ISNUMBER($U$311),$B$294=1),$U$311,HLOOKUP(INDIRECT(ADDRESS(2,COLUMN())),OFFSET($AT$2,0,0,ROW()-1,40),ROW()-1,FALSE))</f>
        <v>200</v>
      </c>
      <c r="V192">
        <f ca="1">IF(AND(ISNUMBER($V$311),$B$294=1),$V$311,HLOOKUP(INDIRECT(ADDRESS(2,COLUMN())),OFFSET($AT$2,0,0,ROW()-1,40),ROW()-1,FALSE))</f>
        <v>250</v>
      </c>
      <c r="W192">
        <f ca="1">IF(AND(ISNUMBER($W$311),$B$294=1),$W$311,HLOOKUP(INDIRECT(ADDRESS(2,COLUMN())),OFFSET($AT$2,0,0,ROW()-1,40),ROW()-1,FALSE))</f>
        <v>210</v>
      </c>
      <c r="X192">
        <f ca="1">IF(AND(ISNUMBER($X$311),$B$294=1),$X$311,HLOOKUP(INDIRECT(ADDRESS(2,COLUMN())),OFFSET($AT$2,0,0,ROW()-1,40),ROW()-1,FALSE))</f>
        <v>179</v>
      </c>
      <c r="Y192">
        <f ca="1">IF(AND(ISNUMBER($Y$311),$B$294=1),$Y$311,HLOOKUP(INDIRECT(ADDRESS(2,COLUMN())),OFFSET($AT$2,0,0,ROW()-1,40),ROW()-1,FALSE))</f>
        <v>177</v>
      </c>
      <c r="Z192">
        <f ca="1">IF(AND(ISNUMBER($Z$311),$B$294=1),$Z$311,HLOOKUP(INDIRECT(ADDRESS(2,COLUMN())),OFFSET($AT$2,0,0,ROW()-1,40),ROW()-1,FALSE))</f>
        <v>138</v>
      </c>
      <c r="AA192">
        <f ca="1">IF(AND(ISNUMBER($AA$311),$B$294=1),$AA$311,HLOOKUP(INDIRECT(ADDRESS(2,COLUMN())),OFFSET($AT$2,0,0,ROW()-1,40),ROW()-1,FALSE))</f>
        <v>151</v>
      </c>
      <c r="AB192">
        <f ca="1">IF(AND(ISNUMBER($AB$311),$B$294=1),$AB$311,HLOOKUP(INDIRECT(ADDRESS(2,COLUMN())),OFFSET($AT$2,0,0,ROW()-1,40),ROW()-1,FALSE))</f>
        <v>206</v>
      </c>
      <c r="AC192">
        <f ca="1">IF(AND(ISNUMBER($AC$311),$B$294=1),$AC$311,HLOOKUP(INDIRECT(ADDRESS(2,COLUMN())),OFFSET($AT$2,0,0,ROW()-1,40),ROW()-1,FALSE))</f>
        <v>212</v>
      </c>
      <c r="AD192">
        <f ca="1">IF(AND(ISNUMBER($AD$311),$B$294=1),$AD$311,HLOOKUP(INDIRECT(ADDRESS(2,COLUMN())),OFFSET($AT$2,0,0,ROW()-1,40),ROW()-1,FALSE))</f>
        <v>221</v>
      </c>
      <c r="AE192">
        <f ca="1">IF(AND(ISNUMBER($AE$311),$B$294=1),$AE$311,HLOOKUP(INDIRECT(ADDRESS(2,COLUMN())),OFFSET($AT$2,0,0,ROW()-1,40),ROW()-1,FALSE))</f>
        <v>267</v>
      </c>
      <c r="AF192">
        <f ca="1">IF(AND(ISNUMBER($AF$311),$B$294=1),$AF$311,HLOOKUP(INDIRECT(ADDRESS(2,COLUMN())),OFFSET($AT$2,0,0,ROW()-1,40),ROW()-1,FALSE))</f>
        <v>279</v>
      </c>
      <c r="AG192">
        <f ca="1">IF(AND(ISNUMBER($AG$311),$B$294=1),$AG$311,HLOOKUP(INDIRECT(ADDRESS(2,COLUMN())),OFFSET($AT$2,0,0,ROW()-1,40),ROW()-1,FALSE))</f>
        <v>337</v>
      </c>
      <c r="AH192">
        <f ca="1">IF(AND(ISNUMBER($AH$311),$B$294=1),$AH$311,HLOOKUP(INDIRECT(ADDRESS(2,COLUMN())),OFFSET($AT$2,0,0,ROW()-1,40),ROW()-1,FALSE))</f>
        <v>287</v>
      </c>
      <c r="AI192">
        <f ca="1">IF(AND(ISNUMBER($AI$311),$B$294=1),$AI$311,HLOOKUP(INDIRECT(ADDRESS(2,COLUMN())),OFFSET($AT$2,0,0,ROW()-1,40),ROW()-1,FALSE))</f>
        <v>317</v>
      </c>
      <c r="AJ192">
        <f ca="1">IF(AND(ISNUMBER($AJ$311),$B$294=1),$AJ$311,HLOOKUP(INDIRECT(ADDRESS(2,COLUMN())),OFFSET($AT$2,0,0,ROW()-1,40),ROW()-1,FALSE))</f>
        <v>328</v>
      </c>
      <c r="AK192">
        <f ca="1">IF(AND(ISNUMBER($AK$311),$B$294=1),$AK$311,HLOOKUP(INDIRECT(ADDRESS(2,COLUMN())),OFFSET($AT$2,0,0,ROW()-1,40),ROW()-1,FALSE))</f>
        <v>279</v>
      </c>
      <c r="AL192">
        <f ca="1">IF(AND(ISNUMBER($AL$311),$B$294=1),$AL$311,HLOOKUP(INDIRECT(ADDRESS(2,COLUMN())),OFFSET($AT$2,0,0,ROW()-1,40),ROW()-1,FALSE))</f>
        <v>176</v>
      </c>
      <c r="AM192">
        <f ca="1">IF(AND(ISNUMBER($AM$311),$B$294=1),$AM$311,HLOOKUP(INDIRECT(ADDRESS(2,COLUMN())),OFFSET($AT$2,0,0,ROW()-1,40),ROW()-1,FALSE))</f>
        <v>259</v>
      </c>
      <c r="AN192">
        <f ca="1">IF(AND(ISNUMBER($AN$311),$B$294=1),$AN$311,HLOOKUP(INDIRECT(ADDRESS(2,COLUMN())),OFFSET($AT$2,0,0,ROW()-1,40),ROW()-1,FALSE))</f>
        <v>326</v>
      </c>
      <c r="AO192">
        <f ca="1">IF(AND(ISNUMBER($AO$311),$B$294=1),$AO$311,HLOOKUP(INDIRECT(ADDRESS(2,COLUMN())),OFFSET($AT$2,0,0,ROW()-1,40),ROW()-1,FALSE))</f>
        <v>334</v>
      </c>
      <c r="AP192">
        <f ca="1">IF(AND(ISNUMBER($AP$311),$B$294=1),$AP$311,HLOOKUP(INDIRECT(ADDRESS(2,COLUMN())),OFFSET($AT$2,0,0,ROW()-1,40),ROW()-1,FALSE))</f>
        <v>357</v>
      </c>
      <c r="AQ192">
        <f ca="1">IF(AND(ISNUMBER($AQ$311),$B$294=1),$AQ$311,HLOOKUP(INDIRECT(ADDRESS(2,COLUMN())),OFFSET($AT$2,0,0,ROW()-1,40),ROW()-1,FALSE))</f>
        <v>330</v>
      </c>
      <c r="AR192">
        <f ca="1">IF(AND(ISNUMBER($AR$311),$B$294=1),$AR$311,HLOOKUP(INDIRECT(ADDRESS(2,COLUMN())),OFFSET($AT$2,0,0,ROW()-1,40),ROW()-1,FALSE))</f>
        <v>310</v>
      </c>
      <c r="AS192">
        <f ca="1">IF(AND(ISNUMBER($AS$311),$B$294=1),$AS$311,HLOOKUP(INDIRECT(ADDRESS(2,COLUMN())),OFFSET($AT$2,0,0,ROW()-1,40),ROW()-1,FALSE))</f>
        <v>344</v>
      </c>
      <c r="AT192">
        <f>254</f>
        <v>254</v>
      </c>
      <c r="AU192">
        <f>250</f>
        <v>250</v>
      </c>
      <c r="AV192">
        <f>274</f>
        <v>274</v>
      </c>
      <c r="AW192">
        <f>271</f>
        <v>271</v>
      </c>
      <c r="AX192">
        <f>272</f>
        <v>272</v>
      </c>
      <c r="AY192">
        <f>297</f>
        <v>297</v>
      </c>
      <c r="AZ192">
        <f>225</f>
        <v>225</v>
      </c>
      <c r="BA192">
        <f>240</f>
        <v>240</v>
      </c>
      <c r="BB192">
        <f>210</f>
        <v>210</v>
      </c>
      <c r="BC192">
        <f>150</f>
        <v>150</v>
      </c>
      <c r="BD192">
        <f>205</f>
        <v>205</v>
      </c>
      <c r="BE192">
        <f>203</f>
        <v>203</v>
      </c>
      <c r="BF192">
        <f>239</f>
        <v>239</v>
      </c>
      <c r="BG192">
        <f>180</f>
        <v>180</v>
      </c>
      <c r="BH192">
        <f>237</f>
        <v>237</v>
      </c>
      <c r="BI192">
        <f>200</f>
        <v>200</v>
      </c>
      <c r="BJ192">
        <f>250</f>
        <v>250</v>
      </c>
      <c r="BK192">
        <f>210</f>
        <v>210</v>
      </c>
      <c r="BL192">
        <f>179</f>
        <v>179</v>
      </c>
      <c r="BM192">
        <f>177</f>
        <v>177</v>
      </c>
      <c r="BN192">
        <f>138</f>
        <v>138</v>
      </c>
      <c r="BO192">
        <f>151</f>
        <v>151</v>
      </c>
      <c r="BP192">
        <f>206</f>
        <v>206</v>
      </c>
      <c r="BQ192">
        <f>212</f>
        <v>212</v>
      </c>
      <c r="BR192">
        <f>221</f>
        <v>221</v>
      </c>
      <c r="BS192">
        <f>267</f>
        <v>267</v>
      </c>
      <c r="BT192">
        <f>279</f>
        <v>279</v>
      </c>
      <c r="BU192">
        <f>337</f>
        <v>337</v>
      </c>
      <c r="BV192">
        <f>287</f>
        <v>287</v>
      </c>
      <c r="BW192">
        <f>317</f>
        <v>317</v>
      </c>
      <c r="BX192">
        <f>328</f>
        <v>328</v>
      </c>
      <c r="BY192">
        <f>279</f>
        <v>279</v>
      </c>
      <c r="BZ192">
        <f>176</f>
        <v>176</v>
      </c>
      <c r="CA192">
        <f>259</f>
        <v>259</v>
      </c>
      <c r="CB192">
        <f>326</f>
        <v>326</v>
      </c>
      <c r="CC192">
        <f>334</f>
        <v>334</v>
      </c>
      <c r="CD192">
        <f>357</f>
        <v>357</v>
      </c>
      <c r="CE192">
        <f>330</f>
        <v>330</v>
      </c>
      <c r="CF192">
        <f>310</f>
        <v>310</v>
      </c>
      <c r="CG192">
        <f>344</f>
        <v>344</v>
      </c>
    </row>
    <row r="193" spans="1:85" x14ac:dyDescent="0.25">
      <c r="A193" t="str">
        <f>"    Volvo - Volvo Truck"</f>
        <v xml:space="preserve">    Volvo - Volvo Truck</v>
      </c>
      <c r="B193" t="str">
        <f>"VOLVB SS Equity"</f>
        <v>VOLVB SS Equity</v>
      </c>
      <c r="C193" t="str">
        <f t="shared" si="11"/>
        <v>X1701</v>
      </c>
      <c r="D193" t="str">
        <f t="shared" si="12"/>
        <v>WARDS_RETAIL_SALES_UNITS</v>
      </c>
      <c r="E193" t="str">
        <f t="shared" si="10"/>
        <v>Dynamic</v>
      </c>
      <c r="F193">
        <f ca="1">IF(AND(ISNUMBER($F$312),$B$294=1),$F$312,HLOOKUP(INDIRECT(ADDRESS(2,COLUMN())),OFFSET($AT$2,0,0,ROW()-1,40),ROW()-1,FALSE))</f>
        <v>261</v>
      </c>
      <c r="G193">
        <f ca="1">IF(AND(ISNUMBER($G$312),$B$294=1),$G$312,HLOOKUP(INDIRECT(ADDRESS(2,COLUMN())),OFFSET($AT$2,0,0,ROW()-1,40),ROW()-1,FALSE))</f>
        <v>312</v>
      </c>
      <c r="H193">
        <f ca="1">IF(AND(ISNUMBER($H$312),$B$294=1),$H$312,HLOOKUP(INDIRECT(ADDRESS(2,COLUMN())),OFFSET($AT$2,0,0,ROW()-1,40),ROW()-1,FALSE))</f>
        <v>315</v>
      </c>
      <c r="I193">
        <f ca="1">IF(AND(ISNUMBER($I$312),$B$294=1),$I$312,HLOOKUP(INDIRECT(ADDRESS(2,COLUMN())),OFFSET($AT$2,0,0,ROW()-1,40),ROW()-1,FALSE))</f>
        <v>228</v>
      </c>
      <c r="J193">
        <f ca="1">IF(AND(ISNUMBER($J$312),$B$294=1),$J$312,HLOOKUP(INDIRECT(ADDRESS(2,COLUMN())),OFFSET($AT$2,0,0,ROW()-1,40),ROW()-1,FALSE))</f>
        <v>269</v>
      </c>
      <c r="K193">
        <f ca="1">IF(AND(ISNUMBER($K$312),$B$294=1),$K$312,HLOOKUP(INDIRECT(ADDRESS(2,COLUMN())),OFFSET($AT$2,0,0,ROW()-1,40),ROW()-1,FALSE))</f>
        <v>254</v>
      </c>
      <c r="L193">
        <f ca="1">IF(AND(ISNUMBER($L$312),$B$294=1),$L$312,HLOOKUP(INDIRECT(ADDRESS(2,COLUMN())),OFFSET($AT$2,0,0,ROW()-1,40),ROW()-1,FALSE))</f>
        <v>184</v>
      </c>
      <c r="M193">
        <f ca="1">IF(AND(ISNUMBER($M$312),$B$294=1),$M$312,HLOOKUP(INDIRECT(ADDRESS(2,COLUMN())),OFFSET($AT$2,0,0,ROW()-1,40),ROW()-1,FALSE))</f>
        <v>241</v>
      </c>
      <c r="N193">
        <f ca="1">IF(AND(ISNUMBER($N$312),$B$294=1),$N$312,HLOOKUP(INDIRECT(ADDRESS(2,COLUMN())),OFFSET($AT$2,0,0,ROW()-1,40),ROW()-1,FALSE))</f>
        <v>164</v>
      </c>
      <c r="O193">
        <f ca="1">IF(AND(ISNUMBER($O$312),$B$294=1),$O$312,HLOOKUP(INDIRECT(ADDRESS(2,COLUMN())),OFFSET($AT$2,0,0,ROW()-1,40),ROW()-1,FALSE))</f>
        <v>71</v>
      </c>
      <c r="P193">
        <f ca="1">IF(AND(ISNUMBER($P$312),$B$294=1),$P$312,HLOOKUP(INDIRECT(ADDRESS(2,COLUMN())),OFFSET($AT$2,0,0,ROW()-1,40),ROW()-1,FALSE))</f>
        <v>339</v>
      </c>
      <c r="Q193">
        <f ca="1">IF(AND(ISNUMBER($Q$312),$B$294=1),$Q$312,HLOOKUP(INDIRECT(ADDRESS(2,COLUMN())),OFFSET($AT$2,0,0,ROW()-1,40),ROW()-1,FALSE))</f>
        <v>243</v>
      </c>
      <c r="R193">
        <f ca="1">IF(AND(ISNUMBER($R$312),$B$294=1),$R$312,HLOOKUP(INDIRECT(ADDRESS(2,COLUMN())),OFFSET($AT$2,0,0,ROW()-1,40),ROW()-1,FALSE))</f>
        <v>245</v>
      </c>
      <c r="S193">
        <f ca="1">IF(AND(ISNUMBER($S$312),$B$294=1),$S$312,HLOOKUP(INDIRECT(ADDRESS(2,COLUMN())),OFFSET($AT$2,0,0,ROW()-1,40),ROW()-1,FALSE))</f>
        <v>262</v>
      </c>
      <c r="T193">
        <f ca="1">IF(AND(ISNUMBER($T$312),$B$294=1),$T$312,HLOOKUP(INDIRECT(ADDRESS(2,COLUMN())),OFFSET($AT$2,0,0,ROW()-1,40),ROW()-1,FALSE))</f>
        <v>226</v>
      </c>
      <c r="U193">
        <f ca="1">IF(AND(ISNUMBER($U$312),$B$294=1),$U$312,HLOOKUP(INDIRECT(ADDRESS(2,COLUMN())),OFFSET($AT$2,0,0,ROW()-1,40),ROW()-1,FALSE))</f>
        <v>135</v>
      </c>
      <c r="V193">
        <f ca="1">IF(AND(ISNUMBER($V$312),$B$294=1),$V$312,HLOOKUP(INDIRECT(ADDRESS(2,COLUMN())),OFFSET($AT$2,0,0,ROW()-1,40),ROW()-1,FALSE))</f>
        <v>181</v>
      </c>
      <c r="W193">
        <f ca="1">IF(AND(ISNUMBER($W$312),$B$294=1),$W$312,HLOOKUP(INDIRECT(ADDRESS(2,COLUMN())),OFFSET($AT$2,0,0,ROW()-1,40),ROW()-1,FALSE))</f>
        <v>338</v>
      </c>
      <c r="X193">
        <f ca="1">IF(AND(ISNUMBER($X$312),$B$294=1),$X$312,HLOOKUP(INDIRECT(ADDRESS(2,COLUMN())),OFFSET($AT$2,0,0,ROW()-1,40),ROW()-1,FALSE))</f>
        <v>261</v>
      </c>
      <c r="Y193">
        <f ca="1">IF(AND(ISNUMBER($Y$312),$B$294=1),$Y$312,HLOOKUP(INDIRECT(ADDRESS(2,COLUMN())),OFFSET($AT$2,0,0,ROW()-1,40),ROW()-1,FALSE))</f>
        <v>179</v>
      </c>
      <c r="Z193">
        <f ca="1">IF(AND(ISNUMBER($Z$312),$B$294=1),$Z$312,HLOOKUP(INDIRECT(ADDRESS(2,COLUMN())),OFFSET($AT$2,0,0,ROW()-1,40),ROW()-1,FALSE))</f>
        <v>282</v>
      </c>
      <c r="AA193">
        <f ca="1">IF(AND(ISNUMBER($AA$312),$B$294=1),$AA$312,HLOOKUP(INDIRECT(ADDRESS(2,COLUMN())),OFFSET($AT$2,0,0,ROW()-1,40),ROW()-1,FALSE))</f>
        <v>213</v>
      </c>
      <c r="AB193">
        <f ca="1">IF(AND(ISNUMBER($AB$312),$B$294=1),$AB$312,HLOOKUP(INDIRECT(ADDRESS(2,COLUMN())),OFFSET($AT$2,0,0,ROW()-1,40),ROW()-1,FALSE))</f>
        <v>475</v>
      </c>
      <c r="AC193">
        <f ca="1">IF(AND(ISNUMBER($AC$312),$B$294=1),$AC$312,HLOOKUP(INDIRECT(ADDRESS(2,COLUMN())),OFFSET($AT$2,0,0,ROW()-1,40),ROW()-1,FALSE))</f>
        <v>360</v>
      </c>
      <c r="AD193">
        <f ca="1">IF(AND(ISNUMBER($AD$312),$B$294=1),$AD$312,HLOOKUP(INDIRECT(ADDRESS(2,COLUMN())),OFFSET($AT$2,0,0,ROW()-1,40),ROW()-1,FALSE))</f>
        <v>396</v>
      </c>
      <c r="AE193">
        <f ca="1">IF(AND(ISNUMBER($AE$312),$B$294=1),$AE$312,HLOOKUP(INDIRECT(ADDRESS(2,COLUMN())),OFFSET($AT$2,0,0,ROW()-1,40),ROW()-1,FALSE))</f>
        <v>386</v>
      </c>
      <c r="AF193">
        <f ca="1">IF(AND(ISNUMBER($AF$312),$B$294=1),$AF$312,HLOOKUP(INDIRECT(ADDRESS(2,COLUMN())),OFFSET($AT$2,0,0,ROW()-1,40),ROW()-1,FALSE))</f>
        <v>291</v>
      </c>
      <c r="AG193">
        <f ca="1">IF(AND(ISNUMBER($AG$312),$B$294=1),$AG$312,HLOOKUP(INDIRECT(ADDRESS(2,COLUMN())),OFFSET($AT$2,0,0,ROW()-1,40),ROW()-1,FALSE))</f>
        <v>416</v>
      </c>
      <c r="AH193">
        <f ca="1">IF(AND(ISNUMBER($AH$312),$B$294=1),$AH$312,HLOOKUP(INDIRECT(ADDRESS(2,COLUMN())),OFFSET($AT$2,0,0,ROW()-1,40),ROW()-1,FALSE))</f>
        <v>476</v>
      </c>
      <c r="AI193">
        <f ca="1">IF(AND(ISNUMBER($AI$312),$B$294=1),$AI$312,HLOOKUP(INDIRECT(ADDRESS(2,COLUMN())),OFFSET($AT$2,0,0,ROW()-1,40),ROW()-1,FALSE))</f>
        <v>452</v>
      </c>
      <c r="AJ193">
        <f ca="1">IF(AND(ISNUMBER($AJ$312),$B$294=1),$AJ$312,HLOOKUP(INDIRECT(ADDRESS(2,COLUMN())),OFFSET($AT$2,0,0,ROW()-1,40),ROW()-1,FALSE))</f>
        <v>448</v>
      </c>
      <c r="AK193">
        <f ca="1">IF(AND(ISNUMBER($AK$312),$B$294=1),$AK$312,HLOOKUP(INDIRECT(ADDRESS(2,COLUMN())),OFFSET($AT$2,0,0,ROW()-1,40),ROW()-1,FALSE))</f>
        <v>460</v>
      </c>
      <c r="AL193">
        <f ca="1">IF(AND(ISNUMBER($AL$312),$B$294=1),$AL$312,HLOOKUP(INDIRECT(ADDRESS(2,COLUMN())),OFFSET($AT$2,0,0,ROW()-1,40),ROW()-1,FALSE))</f>
        <v>386</v>
      </c>
      <c r="AM193">
        <f ca="1">IF(AND(ISNUMBER($AM$312),$B$294=1),$AM$312,HLOOKUP(INDIRECT(ADDRESS(2,COLUMN())),OFFSET($AT$2,0,0,ROW()-1,40),ROW()-1,FALSE))</f>
        <v>338</v>
      </c>
      <c r="AN193">
        <f ca="1">IF(AND(ISNUMBER($AN$312),$B$294=1),$AN$312,HLOOKUP(INDIRECT(ADDRESS(2,COLUMN())),OFFSET($AT$2,0,0,ROW()-1,40),ROW()-1,FALSE))</f>
        <v>379</v>
      </c>
      <c r="AO193">
        <f ca="1">IF(AND(ISNUMBER($AO$312),$B$294=1),$AO$312,HLOOKUP(INDIRECT(ADDRESS(2,COLUMN())),OFFSET($AT$2,0,0,ROW()-1,40),ROW()-1,FALSE))</f>
        <v>369</v>
      </c>
      <c r="AP193">
        <f ca="1">IF(AND(ISNUMBER($AP$312),$B$294=1),$AP$312,HLOOKUP(INDIRECT(ADDRESS(2,COLUMN())),OFFSET($AT$2,0,0,ROW()-1,40),ROW()-1,FALSE))</f>
        <v>442</v>
      </c>
      <c r="AQ193">
        <f ca="1">IF(AND(ISNUMBER($AQ$312),$B$294=1),$AQ$312,HLOOKUP(INDIRECT(ADDRESS(2,COLUMN())),OFFSET($AT$2,0,0,ROW()-1,40),ROW()-1,FALSE))</f>
        <v>347</v>
      </c>
      <c r="AR193">
        <f ca="1">IF(AND(ISNUMBER($AR$312),$B$294=1),$AR$312,HLOOKUP(INDIRECT(ADDRESS(2,COLUMN())),OFFSET($AT$2,0,0,ROW()-1,40),ROW()-1,FALSE))</f>
        <v>327</v>
      </c>
      <c r="AS193">
        <f ca="1">IF(AND(ISNUMBER($AS$312),$B$294=1),$AS$312,HLOOKUP(INDIRECT(ADDRESS(2,COLUMN())),OFFSET($AT$2,0,0,ROW()-1,40),ROW()-1,FALSE))</f>
        <v>338</v>
      </c>
      <c r="AT193">
        <f>261</f>
        <v>261</v>
      </c>
      <c r="AU193">
        <f>312</f>
        <v>312</v>
      </c>
      <c r="AV193">
        <f>315</f>
        <v>315</v>
      </c>
      <c r="AW193">
        <f>228</f>
        <v>228</v>
      </c>
      <c r="AX193">
        <f>269</f>
        <v>269</v>
      </c>
      <c r="AY193">
        <f>254</f>
        <v>254</v>
      </c>
      <c r="AZ193">
        <f>184</f>
        <v>184</v>
      </c>
      <c r="BA193">
        <f>241</f>
        <v>241</v>
      </c>
      <c r="BB193">
        <f>164</f>
        <v>164</v>
      </c>
      <c r="BC193">
        <f>71</f>
        <v>71</v>
      </c>
      <c r="BD193">
        <f>339</f>
        <v>339</v>
      </c>
      <c r="BE193">
        <f>243</f>
        <v>243</v>
      </c>
      <c r="BF193">
        <f>245</f>
        <v>245</v>
      </c>
      <c r="BG193">
        <f>262</f>
        <v>262</v>
      </c>
      <c r="BH193">
        <f>226</f>
        <v>226</v>
      </c>
      <c r="BI193">
        <f>135</f>
        <v>135</v>
      </c>
      <c r="BJ193">
        <f>181</f>
        <v>181</v>
      </c>
      <c r="BK193">
        <f>338</f>
        <v>338</v>
      </c>
      <c r="BL193">
        <f>261</f>
        <v>261</v>
      </c>
      <c r="BM193">
        <f>179</f>
        <v>179</v>
      </c>
      <c r="BN193">
        <f>282</f>
        <v>282</v>
      </c>
      <c r="BO193">
        <f>213</f>
        <v>213</v>
      </c>
      <c r="BP193">
        <f>475</f>
        <v>475</v>
      </c>
      <c r="BQ193">
        <f>360</f>
        <v>360</v>
      </c>
      <c r="BR193">
        <f>396</f>
        <v>396</v>
      </c>
      <c r="BS193">
        <f>386</f>
        <v>386</v>
      </c>
      <c r="BT193">
        <f>291</f>
        <v>291</v>
      </c>
      <c r="BU193">
        <f>416</f>
        <v>416</v>
      </c>
      <c r="BV193">
        <f>476</f>
        <v>476</v>
      </c>
      <c r="BW193">
        <f>452</f>
        <v>452</v>
      </c>
      <c r="BX193">
        <f>448</f>
        <v>448</v>
      </c>
      <c r="BY193">
        <f>460</f>
        <v>460</v>
      </c>
      <c r="BZ193">
        <f>386</f>
        <v>386</v>
      </c>
      <c r="CA193">
        <f>338</f>
        <v>338</v>
      </c>
      <c r="CB193">
        <f>379</f>
        <v>379</v>
      </c>
      <c r="CC193">
        <f>369</f>
        <v>369</v>
      </c>
      <c r="CD193">
        <f>442</f>
        <v>442</v>
      </c>
      <c r="CE193">
        <f>347</f>
        <v>347</v>
      </c>
      <c r="CF193">
        <f>327</f>
        <v>327</v>
      </c>
      <c r="CG193">
        <f>338</f>
        <v>338</v>
      </c>
    </row>
    <row r="194" spans="1:85" x14ac:dyDescent="0.25">
      <c r="A194" t="str">
        <f>"    Volvo - Mack"</f>
        <v xml:space="preserve">    Volvo - Mack</v>
      </c>
      <c r="B194" t="str">
        <f>"VOLVB SS Equity"</f>
        <v>VOLVB SS Equity</v>
      </c>
      <c r="C194" t="str">
        <f t="shared" si="11"/>
        <v>X1701</v>
      </c>
      <c r="D194" t="str">
        <f t="shared" si="12"/>
        <v>WARDS_RETAIL_SALES_UNITS</v>
      </c>
      <c r="E194" t="str">
        <f t="shared" si="10"/>
        <v>Dynamic</v>
      </c>
      <c r="F194">
        <f ca="1">IF(AND(ISNUMBER($F$313),$B$294=1),$F$313,HLOOKUP(INDIRECT(ADDRESS(2,COLUMN())),OFFSET($AT$2,0,0,ROW()-1,40),ROW()-1,FALSE))</f>
        <v>135</v>
      </c>
      <c r="G194">
        <f ca="1">IF(AND(ISNUMBER($G$313),$B$294=1),$G$313,HLOOKUP(INDIRECT(ADDRESS(2,COLUMN())),OFFSET($AT$2,0,0,ROW()-1,40),ROW()-1,FALSE))</f>
        <v>199</v>
      </c>
      <c r="H194">
        <f ca="1">IF(AND(ISNUMBER($H$313),$B$294=1),$H$313,HLOOKUP(INDIRECT(ADDRESS(2,COLUMN())),OFFSET($AT$2,0,0,ROW()-1,40),ROW()-1,FALSE))</f>
        <v>132</v>
      </c>
      <c r="I194">
        <f ca="1">IF(AND(ISNUMBER($I$313),$B$294=1),$I$313,HLOOKUP(INDIRECT(ADDRESS(2,COLUMN())),OFFSET($AT$2,0,0,ROW()-1,40),ROW()-1,FALSE))</f>
        <v>124</v>
      </c>
      <c r="J194">
        <f ca="1">IF(AND(ISNUMBER($J$313),$B$294=1),$J$313,HLOOKUP(INDIRECT(ADDRESS(2,COLUMN())),OFFSET($AT$2,0,0,ROW()-1,40),ROW()-1,FALSE))</f>
        <v>194</v>
      </c>
      <c r="K194">
        <f ca="1">IF(AND(ISNUMBER($K$313),$B$294=1),$K$313,HLOOKUP(INDIRECT(ADDRESS(2,COLUMN())),OFFSET($AT$2,0,0,ROW()-1,40),ROW()-1,FALSE))</f>
        <v>169</v>
      </c>
      <c r="L194">
        <f ca="1">IF(AND(ISNUMBER($L$313),$B$294=1),$L$313,HLOOKUP(INDIRECT(ADDRESS(2,COLUMN())),OFFSET($AT$2,0,0,ROW()-1,40),ROW()-1,FALSE))</f>
        <v>105</v>
      </c>
      <c r="M194">
        <f ca="1">IF(AND(ISNUMBER($M$313),$B$294=1),$M$313,HLOOKUP(INDIRECT(ADDRESS(2,COLUMN())),OFFSET($AT$2,0,0,ROW()-1,40),ROW()-1,FALSE))</f>
        <v>223</v>
      </c>
      <c r="N194">
        <f ca="1">IF(AND(ISNUMBER($N$313),$B$294=1),$N$313,HLOOKUP(INDIRECT(ADDRESS(2,COLUMN())),OFFSET($AT$2,0,0,ROW()-1,40),ROW()-1,FALSE))</f>
        <v>108</v>
      </c>
      <c r="O194">
        <f ca="1">IF(AND(ISNUMBER($O$313),$B$294=1),$O$313,HLOOKUP(INDIRECT(ADDRESS(2,COLUMN())),OFFSET($AT$2,0,0,ROW()-1,40),ROW()-1,FALSE))</f>
        <v>67</v>
      </c>
      <c r="P194">
        <f ca="1">IF(AND(ISNUMBER($P$313),$B$294=1),$P$313,HLOOKUP(INDIRECT(ADDRESS(2,COLUMN())),OFFSET($AT$2,0,0,ROW()-1,40),ROW()-1,FALSE))</f>
        <v>171</v>
      </c>
      <c r="Q194">
        <f ca="1">IF(AND(ISNUMBER($Q$313),$B$294=1),$Q$313,HLOOKUP(INDIRECT(ADDRESS(2,COLUMN())),OFFSET($AT$2,0,0,ROW()-1,40),ROW()-1,FALSE))</f>
        <v>119</v>
      </c>
      <c r="R194">
        <f ca="1">IF(AND(ISNUMBER($R$313),$B$294=1),$R$313,HLOOKUP(INDIRECT(ADDRESS(2,COLUMN())),OFFSET($AT$2,0,0,ROW()-1,40),ROW()-1,FALSE))</f>
        <v>119</v>
      </c>
      <c r="S194">
        <f ca="1">IF(AND(ISNUMBER($S$313),$B$294=1),$S$313,HLOOKUP(INDIRECT(ADDRESS(2,COLUMN())),OFFSET($AT$2,0,0,ROW()-1,40),ROW()-1,FALSE))</f>
        <v>133</v>
      </c>
      <c r="T194">
        <f ca="1">IF(AND(ISNUMBER($T$313),$B$294=1),$T$313,HLOOKUP(INDIRECT(ADDRESS(2,COLUMN())),OFFSET($AT$2,0,0,ROW()-1,40),ROW()-1,FALSE))</f>
        <v>117</v>
      </c>
      <c r="U194">
        <f ca="1">IF(AND(ISNUMBER($U$313),$B$294=1),$U$313,HLOOKUP(INDIRECT(ADDRESS(2,COLUMN())),OFFSET($AT$2,0,0,ROW()-1,40),ROW()-1,FALSE))</f>
        <v>150</v>
      </c>
      <c r="V194">
        <f ca="1">IF(AND(ISNUMBER($V$313),$B$294=1),$V$313,HLOOKUP(INDIRECT(ADDRESS(2,COLUMN())),OFFSET($AT$2,0,0,ROW()-1,40),ROW()-1,FALSE))</f>
        <v>172</v>
      </c>
      <c r="W194">
        <f ca="1">IF(AND(ISNUMBER($W$313),$B$294=1),$W$313,HLOOKUP(INDIRECT(ADDRESS(2,COLUMN())),OFFSET($AT$2,0,0,ROW()-1,40),ROW()-1,FALSE))</f>
        <v>169</v>
      </c>
      <c r="X194">
        <f ca="1">IF(AND(ISNUMBER($X$313),$B$294=1),$X$313,HLOOKUP(INDIRECT(ADDRESS(2,COLUMN())),OFFSET($AT$2,0,0,ROW()-1,40),ROW()-1,FALSE))</f>
        <v>161</v>
      </c>
      <c r="Y194">
        <f ca="1">IF(AND(ISNUMBER($Y$313),$B$294=1),$Y$313,HLOOKUP(INDIRECT(ADDRESS(2,COLUMN())),OFFSET($AT$2,0,0,ROW()-1,40),ROW()-1,FALSE))</f>
        <v>172</v>
      </c>
      <c r="Z194">
        <f ca="1">IF(AND(ISNUMBER($Z$313),$B$294=1),$Z$313,HLOOKUP(INDIRECT(ADDRESS(2,COLUMN())),OFFSET($AT$2,0,0,ROW()-1,40),ROW()-1,FALSE))</f>
        <v>137</v>
      </c>
      <c r="AA194">
        <f ca="1">IF(AND(ISNUMBER($AA$313),$B$294=1),$AA$313,HLOOKUP(INDIRECT(ADDRESS(2,COLUMN())),OFFSET($AT$2,0,0,ROW()-1,40),ROW()-1,FALSE))</f>
        <v>127</v>
      </c>
      <c r="AB194">
        <f ca="1">IF(AND(ISNUMBER($AB$313),$B$294=1),$AB$313,HLOOKUP(INDIRECT(ADDRESS(2,COLUMN())),OFFSET($AT$2,0,0,ROW()-1,40),ROW()-1,FALSE))</f>
        <v>211</v>
      </c>
      <c r="AC194">
        <f ca="1">IF(AND(ISNUMBER($AC$313),$B$294=1),$AC$313,HLOOKUP(INDIRECT(ADDRESS(2,COLUMN())),OFFSET($AT$2,0,0,ROW()-1,40),ROW()-1,FALSE))</f>
        <v>225</v>
      </c>
      <c r="AD194">
        <f ca="1">IF(AND(ISNUMBER($AD$313),$B$294=1),$AD$313,HLOOKUP(INDIRECT(ADDRESS(2,COLUMN())),OFFSET($AT$2,0,0,ROW()-1,40),ROW()-1,FALSE))</f>
        <v>157</v>
      </c>
      <c r="AE194">
        <f ca="1">IF(AND(ISNUMBER($AE$313),$B$294=1),$AE$313,HLOOKUP(INDIRECT(ADDRESS(2,COLUMN())),OFFSET($AT$2,0,0,ROW()-1,40),ROW()-1,FALSE))</f>
        <v>188</v>
      </c>
      <c r="AF194">
        <f ca="1">IF(AND(ISNUMBER($AF$313),$B$294=1),$AF$313,HLOOKUP(INDIRECT(ADDRESS(2,COLUMN())),OFFSET($AT$2,0,0,ROW()-1,40),ROW()-1,FALSE))</f>
        <v>137</v>
      </c>
      <c r="AG194">
        <f ca="1">IF(AND(ISNUMBER($AG$313),$B$294=1),$AG$313,HLOOKUP(INDIRECT(ADDRESS(2,COLUMN())),OFFSET($AT$2,0,0,ROW()-1,40),ROW()-1,FALSE))</f>
        <v>139</v>
      </c>
      <c r="AH194">
        <f ca="1">IF(AND(ISNUMBER($AH$313),$B$294=1),$AH$313,HLOOKUP(INDIRECT(ADDRESS(2,COLUMN())),OFFSET($AT$2,0,0,ROW()-1,40),ROW()-1,FALSE))</f>
        <v>203</v>
      </c>
      <c r="AI194">
        <f ca="1">IF(AND(ISNUMBER($AI$313),$B$294=1),$AI$313,HLOOKUP(INDIRECT(ADDRESS(2,COLUMN())),OFFSET($AT$2,0,0,ROW()-1,40),ROW()-1,FALSE))</f>
        <v>253</v>
      </c>
      <c r="AJ194">
        <f ca="1">IF(AND(ISNUMBER($AJ$313),$B$294=1),$AJ$313,HLOOKUP(INDIRECT(ADDRESS(2,COLUMN())),OFFSET($AT$2,0,0,ROW()-1,40),ROW()-1,FALSE))</f>
        <v>174</v>
      </c>
      <c r="AK194">
        <f ca="1">IF(AND(ISNUMBER($AK$313),$B$294=1),$AK$313,HLOOKUP(INDIRECT(ADDRESS(2,COLUMN())),OFFSET($AT$2,0,0,ROW()-1,40),ROW()-1,FALSE))</f>
        <v>217</v>
      </c>
      <c r="AL194">
        <f ca="1">IF(AND(ISNUMBER($AL$313),$B$294=1),$AL$313,HLOOKUP(INDIRECT(ADDRESS(2,COLUMN())),OFFSET($AT$2,0,0,ROW()-1,40),ROW()-1,FALSE))</f>
        <v>110</v>
      </c>
      <c r="AM194">
        <f ca="1">IF(AND(ISNUMBER($AM$313),$B$294=1),$AM$313,HLOOKUP(INDIRECT(ADDRESS(2,COLUMN())),OFFSET($AT$2,0,0,ROW()-1,40),ROW()-1,FALSE))</f>
        <v>171</v>
      </c>
      <c r="AN194">
        <f ca="1">IF(AND(ISNUMBER($AN$313),$B$294=1),$AN$313,HLOOKUP(INDIRECT(ADDRESS(2,COLUMN())),OFFSET($AT$2,0,0,ROW()-1,40),ROW()-1,FALSE))</f>
        <v>162</v>
      </c>
      <c r="AO194">
        <f ca="1">IF(AND(ISNUMBER($AO$313),$B$294=1),$AO$313,HLOOKUP(INDIRECT(ADDRESS(2,COLUMN())),OFFSET($AT$2,0,0,ROW()-1,40),ROW()-1,FALSE))</f>
        <v>137</v>
      </c>
      <c r="AP194">
        <f ca="1">IF(AND(ISNUMBER($AP$313),$B$294=1),$AP$313,HLOOKUP(INDIRECT(ADDRESS(2,COLUMN())),OFFSET($AT$2,0,0,ROW()-1,40),ROW()-1,FALSE))</f>
        <v>111</v>
      </c>
      <c r="AQ194">
        <f ca="1">IF(AND(ISNUMBER($AQ$313),$B$294=1),$AQ$313,HLOOKUP(INDIRECT(ADDRESS(2,COLUMN())),OFFSET($AT$2,0,0,ROW()-1,40),ROW()-1,FALSE))</f>
        <v>172</v>
      </c>
      <c r="AR194">
        <f ca="1">IF(AND(ISNUMBER($AR$313),$B$294=1),$AR$313,HLOOKUP(INDIRECT(ADDRESS(2,COLUMN())),OFFSET($AT$2,0,0,ROW()-1,40),ROW()-1,FALSE))</f>
        <v>166</v>
      </c>
      <c r="AS194">
        <f ca="1">IF(AND(ISNUMBER($AS$313),$B$294=1),$AS$313,HLOOKUP(INDIRECT(ADDRESS(2,COLUMN())),OFFSET($AT$2,0,0,ROW()-1,40),ROW()-1,FALSE))</f>
        <v>234</v>
      </c>
      <c r="AT194">
        <f>135</f>
        <v>135</v>
      </c>
      <c r="AU194">
        <f>199</f>
        <v>199</v>
      </c>
      <c r="AV194">
        <f>132</f>
        <v>132</v>
      </c>
      <c r="AW194">
        <f>124</f>
        <v>124</v>
      </c>
      <c r="AX194">
        <f>194</f>
        <v>194</v>
      </c>
      <c r="AY194">
        <f>169</f>
        <v>169</v>
      </c>
      <c r="AZ194">
        <f>105</f>
        <v>105</v>
      </c>
      <c r="BA194">
        <f>223</f>
        <v>223</v>
      </c>
      <c r="BB194">
        <f>108</f>
        <v>108</v>
      </c>
      <c r="BC194">
        <f>67</f>
        <v>67</v>
      </c>
      <c r="BD194">
        <f>171</f>
        <v>171</v>
      </c>
      <c r="BE194">
        <f>119</f>
        <v>119</v>
      </c>
      <c r="BF194">
        <f>119</f>
        <v>119</v>
      </c>
      <c r="BG194">
        <f>133</f>
        <v>133</v>
      </c>
      <c r="BH194">
        <f>117</f>
        <v>117</v>
      </c>
      <c r="BI194">
        <f>150</f>
        <v>150</v>
      </c>
      <c r="BJ194">
        <f>172</f>
        <v>172</v>
      </c>
      <c r="BK194">
        <f>169</f>
        <v>169</v>
      </c>
      <c r="BL194">
        <f>161</f>
        <v>161</v>
      </c>
      <c r="BM194">
        <f>172</f>
        <v>172</v>
      </c>
      <c r="BN194">
        <f>137</f>
        <v>137</v>
      </c>
      <c r="BO194">
        <f>127</f>
        <v>127</v>
      </c>
      <c r="BP194">
        <f>211</f>
        <v>211</v>
      </c>
      <c r="BQ194">
        <f>225</f>
        <v>225</v>
      </c>
      <c r="BR194">
        <f>157</f>
        <v>157</v>
      </c>
      <c r="BS194">
        <f>188</f>
        <v>188</v>
      </c>
      <c r="BT194">
        <f>137</f>
        <v>137</v>
      </c>
      <c r="BU194">
        <f>139</f>
        <v>139</v>
      </c>
      <c r="BV194">
        <f>203</f>
        <v>203</v>
      </c>
      <c r="BW194">
        <f>253</f>
        <v>253</v>
      </c>
      <c r="BX194">
        <f>174</f>
        <v>174</v>
      </c>
      <c r="BY194">
        <f>217</f>
        <v>217</v>
      </c>
      <c r="BZ194">
        <f>110</f>
        <v>110</v>
      </c>
      <c r="CA194">
        <f>171</f>
        <v>171</v>
      </c>
      <c r="CB194">
        <f>162</f>
        <v>162</v>
      </c>
      <c r="CC194">
        <f>137</f>
        <v>137</v>
      </c>
      <c r="CD194">
        <f>111</f>
        <v>111</v>
      </c>
      <c r="CE194">
        <f>172</f>
        <v>172</v>
      </c>
      <c r="CF194">
        <f>166</f>
        <v>166</v>
      </c>
      <c r="CG194">
        <f>234</f>
        <v>234</v>
      </c>
    </row>
    <row r="195" spans="1:85" x14ac:dyDescent="0.25">
      <c r="A195" t="str">
        <f>"    Navistar - International"</f>
        <v xml:space="preserve">    Navistar - International</v>
      </c>
      <c r="B195" t="str">
        <f>"NAV US Equity"</f>
        <v>NAV US Equity</v>
      </c>
      <c r="C195" t="str">
        <f t="shared" si="11"/>
        <v>X1701</v>
      </c>
      <c r="D195" t="str">
        <f t="shared" si="12"/>
        <v>WARDS_RETAIL_SALES_UNITS</v>
      </c>
      <c r="E195" t="str">
        <f t="shared" si="10"/>
        <v>Dynamic</v>
      </c>
      <c r="F195">
        <f ca="1">IF(AND(ISNUMBER($F$314),$B$294=1),$F$314,HLOOKUP(INDIRECT(ADDRESS(2,COLUMN())),OFFSET($AT$2,0,0,ROW()-1,40),ROW()-1,FALSE))</f>
        <v>637</v>
      </c>
      <c r="G195">
        <f ca="1">IF(AND(ISNUMBER($G$314),$B$294=1),$G$314,HLOOKUP(INDIRECT(ADDRESS(2,COLUMN())),OFFSET($AT$2,0,0,ROW()-1,40),ROW()-1,FALSE))</f>
        <v>322</v>
      </c>
      <c r="H195">
        <f ca="1">IF(AND(ISNUMBER($H$314),$B$294=1),$H$314,HLOOKUP(INDIRECT(ADDRESS(2,COLUMN())),OFFSET($AT$2,0,0,ROW()-1,40),ROW()-1,FALSE))</f>
        <v>365</v>
      </c>
      <c r="I195">
        <f ca="1">IF(AND(ISNUMBER($I$314),$B$294=1),$I$314,HLOOKUP(INDIRECT(ADDRESS(2,COLUMN())),OFFSET($AT$2,0,0,ROW()-1,40),ROW()-1,FALSE))</f>
        <v>293</v>
      </c>
      <c r="J195">
        <f ca="1">IF(AND(ISNUMBER($J$314),$B$294=1),$J$314,HLOOKUP(INDIRECT(ADDRESS(2,COLUMN())),OFFSET($AT$2,0,0,ROW()-1,40),ROW()-1,FALSE))</f>
        <v>419</v>
      </c>
      <c r="K195">
        <f ca="1">IF(AND(ISNUMBER($K$314),$B$294=1),$K$314,HLOOKUP(INDIRECT(ADDRESS(2,COLUMN())),OFFSET($AT$2,0,0,ROW()-1,40),ROW()-1,FALSE))</f>
        <v>329</v>
      </c>
      <c r="L195">
        <f ca="1">IF(AND(ISNUMBER($L$314),$B$294=1),$L$314,HLOOKUP(INDIRECT(ADDRESS(2,COLUMN())),OFFSET($AT$2,0,0,ROW()-1,40),ROW()-1,FALSE))</f>
        <v>337</v>
      </c>
      <c r="M195">
        <f ca="1">IF(AND(ISNUMBER($M$314),$B$294=1),$M$314,HLOOKUP(INDIRECT(ADDRESS(2,COLUMN())),OFFSET($AT$2,0,0,ROW()-1,40),ROW()-1,FALSE))</f>
        <v>272</v>
      </c>
      <c r="N195">
        <f ca="1">IF(AND(ISNUMBER($N$314),$B$294=1),$N$314,HLOOKUP(INDIRECT(ADDRESS(2,COLUMN())),OFFSET($AT$2,0,0,ROW()-1,40),ROW()-1,FALSE))</f>
        <v>166</v>
      </c>
      <c r="O195">
        <f ca="1">IF(AND(ISNUMBER($O$314),$B$294=1),$O$314,HLOOKUP(INDIRECT(ADDRESS(2,COLUMN())),OFFSET($AT$2,0,0,ROW()-1,40),ROW()-1,FALSE))</f>
        <v>248</v>
      </c>
      <c r="P195">
        <f ca="1">IF(AND(ISNUMBER($P$314),$B$294=1),$P$314,HLOOKUP(INDIRECT(ADDRESS(2,COLUMN())),OFFSET($AT$2,0,0,ROW()-1,40),ROW()-1,FALSE))</f>
        <v>169</v>
      </c>
      <c r="Q195">
        <f ca="1">IF(AND(ISNUMBER($Q$314),$B$294=1),$Q$314,HLOOKUP(INDIRECT(ADDRESS(2,COLUMN())),OFFSET($AT$2,0,0,ROW()-1,40),ROW()-1,FALSE))</f>
        <v>183</v>
      </c>
      <c r="R195">
        <f ca="1">IF(AND(ISNUMBER($R$314),$B$294=1),$R$314,HLOOKUP(INDIRECT(ADDRESS(2,COLUMN())),OFFSET($AT$2,0,0,ROW()-1,40),ROW()-1,FALSE))</f>
        <v>409</v>
      </c>
      <c r="S195">
        <f ca="1">IF(AND(ISNUMBER($S$314),$B$294=1),$S$314,HLOOKUP(INDIRECT(ADDRESS(2,COLUMN())),OFFSET($AT$2,0,0,ROW()-1,40),ROW()-1,FALSE))</f>
        <v>328</v>
      </c>
      <c r="T195">
        <f ca="1">IF(AND(ISNUMBER($T$314),$B$294=1),$T$314,HLOOKUP(INDIRECT(ADDRESS(2,COLUMN())),OFFSET($AT$2,0,0,ROW()-1,40),ROW()-1,FALSE))</f>
        <v>207</v>
      </c>
      <c r="U195">
        <f ca="1">IF(AND(ISNUMBER($U$314),$B$294=1),$U$314,HLOOKUP(INDIRECT(ADDRESS(2,COLUMN())),OFFSET($AT$2,0,0,ROW()-1,40),ROW()-1,FALSE))</f>
        <v>178</v>
      </c>
      <c r="V195">
        <f ca="1">IF(AND(ISNUMBER($V$314),$B$294=1),$V$314,HLOOKUP(INDIRECT(ADDRESS(2,COLUMN())),OFFSET($AT$2,0,0,ROW()-1,40),ROW()-1,FALSE))</f>
        <v>250</v>
      </c>
      <c r="W195">
        <f ca="1">IF(AND(ISNUMBER($W$314),$B$294=1),$W$314,HLOOKUP(INDIRECT(ADDRESS(2,COLUMN())),OFFSET($AT$2,0,0,ROW()-1,40),ROW()-1,FALSE))</f>
        <v>269</v>
      </c>
      <c r="X195">
        <f ca="1">IF(AND(ISNUMBER($X$314),$B$294=1),$X$314,HLOOKUP(INDIRECT(ADDRESS(2,COLUMN())),OFFSET($AT$2,0,0,ROW()-1,40),ROW()-1,FALSE))</f>
        <v>286</v>
      </c>
      <c r="Y195">
        <f ca="1">IF(AND(ISNUMBER($Y$314),$B$294=1),$Y$314,HLOOKUP(INDIRECT(ADDRESS(2,COLUMN())),OFFSET($AT$2,0,0,ROW()-1,40),ROW()-1,FALSE))</f>
        <v>216</v>
      </c>
      <c r="Z195">
        <f ca="1">IF(AND(ISNUMBER($Z$314),$B$294=1),$Z$314,HLOOKUP(INDIRECT(ADDRESS(2,COLUMN())),OFFSET($AT$2,0,0,ROW()-1,40),ROW()-1,FALSE))</f>
        <v>184</v>
      </c>
      <c r="AA195">
        <f ca="1">IF(AND(ISNUMBER($AA$314),$B$294=1),$AA$314,HLOOKUP(INDIRECT(ADDRESS(2,COLUMN())),OFFSET($AT$2,0,0,ROW()-1,40),ROW()-1,FALSE))</f>
        <v>207</v>
      </c>
      <c r="AB195">
        <f ca="1">IF(AND(ISNUMBER($AB$314),$B$294=1),$AB$314,HLOOKUP(INDIRECT(ADDRESS(2,COLUMN())),OFFSET($AT$2,0,0,ROW()-1,40),ROW()-1,FALSE))</f>
        <v>199</v>
      </c>
      <c r="AC195">
        <f ca="1">IF(AND(ISNUMBER($AC$314),$B$294=1),$AC$314,HLOOKUP(INDIRECT(ADDRESS(2,COLUMN())),OFFSET($AT$2,0,0,ROW()-1,40),ROW()-1,FALSE))</f>
        <v>188</v>
      </c>
      <c r="AD195">
        <f ca="1">IF(AND(ISNUMBER($AD$314),$B$294=1),$AD$314,HLOOKUP(INDIRECT(ADDRESS(2,COLUMN())),OFFSET($AT$2,0,0,ROW()-1,40),ROW()-1,FALSE))</f>
        <v>472</v>
      </c>
      <c r="AE195">
        <f ca="1">IF(AND(ISNUMBER($AE$314),$B$294=1),$AE$314,HLOOKUP(INDIRECT(ADDRESS(2,COLUMN())),OFFSET($AT$2,0,0,ROW()-1,40),ROW()-1,FALSE))</f>
        <v>329</v>
      </c>
      <c r="AF195">
        <f ca="1">IF(AND(ISNUMBER($AF$314),$B$294=1),$AF$314,HLOOKUP(INDIRECT(ADDRESS(2,COLUMN())),OFFSET($AT$2,0,0,ROW()-1,40),ROW()-1,FALSE))</f>
        <v>390</v>
      </c>
      <c r="AG195">
        <f ca="1">IF(AND(ISNUMBER($AG$314),$B$294=1),$AG$314,HLOOKUP(INDIRECT(ADDRESS(2,COLUMN())),OFFSET($AT$2,0,0,ROW()-1,40),ROW()-1,FALSE))</f>
        <v>363</v>
      </c>
      <c r="AH195">
        <f ca="1">IF(AND(ISNUMBER($AH$314),$B$294=1),$AH$314,HLOOKUP(INDIRECT(ADDRESS(2,COLUMN())),OFFSET($AT$2,0,0,ROW()-1,40),ROW()-1,FALSE))</f>
        <v>361</v>
      </c>
      <c r="AI195">
        <f ca="1">IF(AND(ISNUMBER($AI$314),$B$294=1),$AI$314,HLOOKUP(INDIRECT(ADDRESS(2,COLUMN())),OFFSET($AT$2,0,0,ROW()-1,40),ROW()-1,FALSE))</f>
        <v>374</v>
      </c>
      <c r="AJ195">
        <f ca="1">IF(AND(ISNUMBER($AJ$314),$B$294=1),$AJ$314,HLOOKUP(INDIRECT(ADDRESS(2,COLUMN())),OFFSET($AT$2,0,0,ROW()-1,40),ROW()-1,FALSE))</f>
        <v>345</v>
      </c>
      <c r="AK195">
        <f ca="1">IF(AND(ISNUMBER($AK$314),$B$294=1),$AK$314,HLOOKUP(INDIRECT(ADDRESS(2,COLUMN())),OFFSET($AT$2,0,0,ROW()-1,40),ROW()-1,FALSE))</f>
        <v>308</v>
      </c>
      <c r="AL195">
        <f ca="1">IF(AND(ISNUMBER($AL$314),$B$294=1),$AL$314,HLOOKUP(INDIRECT(ADDRESS(2,COLUMN())),OFFSET($AT$2,0,0,ROW()-1,40),ROW()-1,FALSE))</f>
        <v>267</v>
      </c>
      <c r="AM195">
        <f ca="1">IF(AND(ISNUMBER($AM$314),$B$294=1),$AM$314,HLOOKUP(INDIRECT(ADDRESS(2,COLUMN())),OFFSET($AT$2,0,0,ROW()-1,40),ROW()-1,FALSE))</f>
        <v>294</v>
      </c>
      <c r="AN195">
        <f ca="1">IF(AND(ISNUMBER($AN$314),$B$294=1),$AN$314,HLOOKUP(INDIRECT(ADDRESS(2,COLUMN())),OFFSET($AT$2,0,0,ROW()-1,40),ROW()-1,FALSE))</f>
        <v>359</v>
      </c>
      <c r="AO195">
        <f ca="1">IF(AND(ISNUMBER($AO$314),$B$294=1),$AO$314,HLOOKUP(INDIRECT(ADDRESS(2,COLUMN())),OFFSET($AT$2,0,0,ROW()-1,40),ROW()-1,FALSE))</f>
        <v>318</v>
      </c>
      <c r="AP195">
        <f ca="1">IF(AND(ISNUMBER($AP$314),$B$294=1),$AP$314,HLOOKUP(INDIRECT(ADDRESS(2,COLUMN())),OFFSET($AT$2,0,0,ROW()-1,40),ROW()-1,FALSE))</f>
        <v>411</v>
      </c>
      <c r="AQ195">
        <f ca="1">IF(AND(ISNUMBER($AQ$314),$B$294=1),$AQ$314,HLOOKUP(INDIRECT(ADDRESS(2,COLUMN())),OFFSET($AT$2,0,0,ROW()-1,40),ROW()-1,FALSE))</f>
        <v>351</v>
      </c>
      <c r="AR195">
        <f ca="1">IF(AND(ISNUMBER($AR$314),$B$294=1),$AR$314,HLOOKUP(INDIRECT(ADDRESS(2,COLUMN())),OFFSET($AT$2,0,0,ROW()-1,40),ROW()-1,FALSE))</f>
        <v>207</v>
      </c>
      <c r="AS195">
        <f ca="1">IF(AND(ISNUMBER($AS$314),$B$294=1),$AS$314,HLOOKUP(INDIRECT(ADDRESS(2,COLUMN())),OFFSET($AT$2,0,0,ROW()-1,40),ROW()-1,FALSE))</f>
        <v>387</v>
      </c>
      <c r="AT195">
        <f>637</f>
        <v>637</v>
      </c>
      <c r="AU195">
        <f>322</f>
        <v>322</v>
      </c>
      <c r="AV195">
        <f>365</f>
        <v>365</v>
      </c>
      <c r="AW195">
        <f>293</f>
        <v>293</v>
      </c>
      <c r="AX195">
        <f>419</f>
        <v>419</v>
      </c>
      <c r="AY195">
        <f>329</f>
        <v>329</v>
      </c>
      <c r="AZ195">
        <f>337</f>
        <v>337</v>
      </c>
      <c r="BA195">
        <f>272</f>
        <v>272</v>
      </c>
      <c r="BB195">
        <f>166</f>
        <v>166</v>
      </c>
      <c r="BC195">
        <f>248</f>
        <v>248</v>
      </c>
      <c r="BD195">
        <f>169</f>
        <v>169</v>
      </c>
      <c r="BE195">
        <f>183</f>
        <v>183</v>
      </c>
      <c r="BF195">
        <f>409</f>
        <v>409</v>
      </c>
      <c r="BG195">
        <f>328</f>
        <v>328</v>
      </c>
      <c r="BH195">
        <f>207</f>
        <v>207</v>
      </c>
      <c r="BI195">
        <f>178</f>
        <v>178</v>
      </c>
      <c r="BJ195">
        <f>250</f>
        <v>250</v>
      </c>
      <c r="BK195">
        <f>269</f>
        <v>269</v>
      </c>
      <c r="BL195">
        <f>286</f>
        <v>286</v>
      </c>
      <c r="BM195">
        <f>216</f>
        <v>216</v>
      </c>
      <c r="BN195">
        <f>184</f>
        <v>184</v>
      </c>
      <c r="BO195">
        <f>207</f>
        <v>207</v>
      </c>
      <c r="BP195">
        <f>199</f>
        <v>199</v>
      </c>
      <c r="BQ195">
        <f>188</f>
        <v>188</v>
      </c>
      <c r="BR195">
        <f>472</f>
        <v>472</v>
      </c>
      <c r="BS195">
        <f>329</f>
        <v>329</v>
      </c>
      <c r="BT195">
        <f>390</f>
        <v>390</v>
      </c>
      <c r="BU195">
        <f>363</f>
        <v>363</v>
      </c>
      <c r="BV195">
        <f>361</f>
        <v>361</v>
      </c>
      <c r="BW195">
        <f>374</f>
        <v>374</v>
      </c>
      <c r="BX195">
        <f>345</f>
        <v>345</v>
      </c>
      <c r="BY195">
        <f>308</f>
        <v>308</v>
      </c>
      <c r="BZ195">
        <f>267</f>
        <v>267</v>
      </c>
      <c r="CA195">
        <f>294</f>
        <v>294</v>
      </c>
      <c r="CB195">
        <f>359</f>
        <v>359</v>
      </c>
      <c r="CC195">
        <f>318</f>
        <v>318</v>
      </c>
      <c r="CD195">
        <f>411</f>
        <v>411</v>
      </c>
      <c r="CE195">
        <f>351</f>
        <v>351</v>
      </c>
      <c r="CF195">
        <f>207</f>
        <v>207</v>
      </c>
      <c r="CG195">
        <f>387</f>
        <v>387</v>
      </c>
    </row>
    <row r="196" spans="1:85" x14ac:dyDescent="0.25">
      <c r="A196" t="str">
        <f>"Mexico (Class 8)"</f>
        <v>Mexico (Class 8)</v>
      </c>
      <c r="B196" t="str">
        <f>"TRCKMX8S Index"</f>
        <v>TRCKMX8S Index</v>
      </c>
      <c r="C196" t="str">
        <f>"PR005"</f>
        <v>PR005</v>
      </c>
      <c r="D196" t="str">
        <f>"PX_LAST"</f>
        <v>PX_LAST</v>
      </c>
      <c r="E196" t="str">
        <f t="shared" si="10"/>
        <v>Dynamic</v>
      </c>
      <c r="F196">
        <f ca="1">IF(AND(ISNUMBER($F$315),$B$294=1),$F$315,HLOOKUP(INDIRECT(ADDRESS(2,COLUMN())),OFFSET($AT$2,0,0,ROW()-1,40),ROW()-1,FALSE))</f>
        <v>2509</v>
      </c>
      <c r="G196">
        <f ca="1">IF(AND(ISNUMBER($G$315),$B$294=1),$G$315,HLOOKUP(INDIRECT(ADDRESS(2,COLUMN())),OFFSET($AT$2,0,0,ROW()-1,40),ROW()-1,FALSE))</f>
        <v>2394</v>
      </c>
      <c r="H196">
        <f ca="1">IF(AND(ISNUMBER($H$315),$B$294=1),$H$315,HLOOKUP(INDIRECT(ADDRESS(2,COLUMN())),OFFSET($AT$2,0,0,ROW()-1,40),ROW()-1,FALSE))</f>
        <v>2265</v>
      </c>
      <c r="I196">
        <f ca="1">IF(AND(ISNUMBER($I$315),$B$294=1),$I$315,HLOOKUP(INDIRECT(ADDRESS(2,COLUMN())),OFFSET($AT$2,0,0,ROW()-1,40),ROW()-1,FALSE))</f>
        <v>2262</v>
      </c>
      <c r="J196">
        <f ca="1">IF(AND(ISNUMBER($J$315),$B$294=1),$J$315,HLOOKUP(INDIRECT(ADDRESS(2,COLUMN())),OFFSET($AT$2,0,0,ROW()-1,40),ROW()-1,FALSE))</f>
        <v>2376</v>
      </c>
      <c r="K196">
        <f ca="1">IF(AND(ISNUMBER($K$315),$B$294=1),$K$315,HLOOKUP(INDIRECT(ADDRESS(2,COLUMN())),OFFSET($AT$2,0,0,ROW()-1,40),ROW()-1,FALSE))</f>
        <v>2301</v>
      </c>
      <c r="L196">
        <f ca="1">IF(AND(ISNUMBER($L$315),$B$294=1),$L$315,HLOOKUP(INDIRECT(ADDRESS(2,COLUMN())),OFFSET($AT$2,0,0,ROW()-1,40),ROW()-1,FALSE))</f>
        <v>2196</v>
      </c>
      <c r="M196">
        <f ca="1">IF(AND(ISNUMBER($M$315),$B$294=1),$M$315,HLOOKUP(INDIRECT(ADDRESS(2,COLUMN())),OFFSET($AT$2,0,0,ROW()-1,40),ROW()-1,FALSE))</f>
        <v>2549</v>
      </c>
      <c r="N196">
        <f ca="1">IF(AND(ISNUMBER($N$315),$B$294=1),$N$315,HLOOKUP(INDIRECT(ADDRESS(2,COLUMN())),OFFSET($AT$2,0,0,ROW()-1,40),ROW()-1,FALSE))</f>
        <v>1963</v>
      </c>
      <c r="O196">
        <f ca="1">IF(AND(ISNUMBER($O$315),$B$294=1),$O$315,HLOOKUP(INDIRECT(ADDRESS(2,COLUMN())),OFFSET($AT$2,0,0,ROW()-1,40),ROW()-1,FALSE))</f>
        <v>1950</v>
      </c>
      <c r="P196">
        <f ca="1">IF(AND(ISNUMBER($P$315),$B$294=1),$P$315,HLOOKUP(INDIRECT(ADDRESS(2,COLUMN())),OFFSET($AT$2,0,0,ROW()-1,40),ROW()-1,FALSE))</f>
        <v>4139</v>
      </c>
      <c r="Q196">
        <f ca="1">IF(AND(ISNUMBER($Q$315),$B$294=1),$Q$315,HLOOKUP(INDIRECT(ADDRESS(2,COLUMN())),OFFSET($AT$2,0,0,ROW()-1,40),ROW()-1,FALSE))</f>
        <v>3301</v>
      </c>
      <c r="R196">
        <f ca="1">IF(AND(ISNUMBER($R$315),$B$294=1),$R$315,HLOOKUP(INDIRECT(ADDRESS(2,COLUMN())),OFFSET($AT$2,0,0,ROW()-1,40),ROW()-1,FALSE))</f>
        <v>2852</v>
      </c>
      <c r="S196">
        <f ca="1">IF(AND(ISNUMBER($S$315),$B$294=1),$S$315,HLOOKUP(INDIRECT(ADDRESS(2,COLUMN())),OFFSET($AT$2,0,0,ROW()-1,40),ROW()-1,FALSE))</f>
        <v>2697</v>
      </c>
      <c r="T196">
        <f ca="1">IF(AND(ISNUMBER($T$315),$B$294=1),$T$315,HLOOKUP(INDIRECT(ADDRESS(2,COLUMN())),OFFSET($AT$2,0,0,ROW()-1,40),ROW()-1,FALSE))</f>
        <v>2367</v>
      </c>
      <c r="U196">
        <f ca="1">IF(AND(ISNUMBER($U$315),$B$294=1),$U$315,HLOOKUP(INDIRECT(ADDRESS(2,COLUMN())),OFFSET($AT$2,0,0,ROW()-1,40),ROW()-1,FALSE))</f>
        <v>1870</v>
      </c>
      <c r="V196">
        <f ca="1">IF(AND(ISNUMBER($V$315),$B$294=1),$V$315,HLOOKUP(INDIRECT(ADDRESS(2,COLUMN())),OFFSET($AT$2,0,0,ROW()-1,40),ROW()-1,FALSE))</f>
        <v>2249</v>
      </c>
      <c r="W196">
        <f ca="1">IF(AND(ISNUMBER($W$315),$B$294=1),$W$315,HLOOKUP(INDIRECT(ADDRESS(2,COLUMN())),OFFSET($AT$2,0,0,ROW()-1,40),ROW()-1,FALSE))</f>
        <v>2194</v>
      </c>
      <c r="X196">
        <f ca="1">IF(AND(ISNUMBER($X$315),$B$294=1),$X$315,HLOOKUP(INDIRECT(ADDRESS(2,COLUMN())),OFFSET($AT$2,0,0,ROW()-1,40),ROW()-1,FALSE))</f>
        <v>2310</v>
      </c>
      <c r="Y196">
        <f ca="1">IF(AND(ISNUMBER($Y$315),$B$294=1),$Y$315,HLOOKUP(INDIRECT(ADDRESS(2,COLUMN())),OFFSET($AT$2,0,0,ROW()-1,40),ROW()-1,FALSE))</f>
        <v>2159</v>
      </c>
      <c r="Z196">
        <f ca="1">IF(AND(ISNUMBER($Z$315),$B$294=1),$Z$315,HLOOKUP(INDIRECT(ADDRESS(2,COLUMN())),OFFSET($AT$2,0,0,ROW()-1,40),ROW()-1,FALSE))</f>
        <v>1951</v>
      </c>
      <c r="AA196">
        <f ca="1">IF(AND(ISNUMBER($AA$315),$B$294=1),$AA$315,HLOOKUP(INDIRECT(ADDRESS(2,COLUMN())),OFFSET($AT$2,0,0,ROW()-1,40),ROW()-1,FALSE))</f>
        <v>1894</v>
      </c>
      <c r="AB196">
        <f ca="1">IF(AND(ISNUMBER($AB$315),$B$294=1),$AB$315,HLOOKUP(INDIRECT(ADDRESS(2,COLUMN())),OFFSET($AT$2,0,0,ROW()-1,40),ROW()-1,FALSE))</f>
        <v>2667</v>
      </c>
      <c r="AC196">
        <f ca="1">IF(AND(ISNUMBER($AC$315),$B$294=1),$AC$315,HLOOKUP(INDIRECT(ADDRESS(2,COLUMN())),OFFSET($AT$2,0,0,ROW()-1,40),ROW()-1,FALSE))</f>
        <v>1955</v>
      </c>
      <c r="AD196">
        <f ca="1">IF(AND(ISNUMBER($AD$315),$B$294=1),$AD$315,HLOOKUP(INDIRECT(ADDRESS(2,COLUMN())),OFFSET($AT$2,0,0,ROW()-1,40),ROW()-1,FALSE))</f>
        <v>2139</v>
      </c>
      <c r="AE196">
        <f ca="1">IF(AND(ISNUMBER($AE$315),$B$294=1),$AE$315,HLOOKUP(INDIRECT(ADDRESS(2,COLUMN())),OFFSET($AT$2,0,0,ROW()-1,40),ROW()-1,FALSE))</f>
        <v>1924</v>
      </c>
      <c r="AF196">
        <f ca="1">IF(AND(ISNUMBER($AF$315),$B$294=1),$AF$315,HLOOKUP(INDIRECT(ADDRESS(2,COLUMN())),OFFSET($AT$2,0,0,ROW()-1,40),ROW()-1,FALSE))</f>
        <v>2236</v>
      </c>
      <c r="AG196">
        <f ca="1">IF(AND(ISNUMBER($AG$315),$B$294=1),$AG$315,HLOOKUP(INDIRECT(ADDRESS(2,COLUMN())),OFFSET($AT$2,0,0,ROW()-1,40),ROW()-1,FALSE))</f>
        <v>2227</v>
      </c>
      <c r="AH196">
        <f ca="1">IF(AND(ISNUMBER($AH$315),$B$294=1),$AH$315,HLOOKUP(INDIRECT(ADDRESS(2,COLUMN())),OFFSET($AT$2,0,0,ROW()-1,40),ROW()-1,FALSE))</f>
        <v>1915</v>
      </c>
      <c r="AI196">
        <f ca="1">IF(AND(ISNUMBER($AI$315),$B$294=1),$AI$315,HLOOKUP(INDIRECT(ADDRESS(2,COLUMN())),OFFSET($AT$2,0,0,ROW()-1,40),ROW()-1,FALSE))</f>
        <v>1721</v>
      </c>
      <c r="AJ196">
        <f ca="1">IF(AND(ISNUMBER($AJ$315),$B$294=1),$AJ$315,HLOOKUP(INDIRECT(ADDRESS(2,COLUMN())),OFFSET($AT$2,0,0,ROW()-1,40),ROW()-1,FALSE))</f>
        <v>1931</v>
      </c>
      <c r="AK196">
        <f ca="1">IF(AND(ISNUMBER($AK$315),$B$294=1),$AK$315,HLOOKUP(INDIRECT(ADDRESS(2,COLUMN())),OFFSET($AT$2,0,0,ROW()-1,40),ROW()-1,FALSE))</f>
        <v>1698</v>
      </c>
      <c r="AL196">
        <f ca="1">IF(AND(ISNUMBER($AL$315),$B$294=1),$AL$315,HLOOKUP(INDIRECT(ADDRESS(2,COLUMN())),OFFSET($AT$2,0,0,ROW()-1,40),ROW()-1,FALSE))</f>
        <v>1810</v>
      </c>
      <c r="AM196">
        <f ca="1">IF(AND(ISNUMBER($AM$315),$B$294=1),$AM$315,HLOOKUP(INDIRECT(ADDRESS(2,COLUMN())),OFFSET($AT$2,0,0,ROW()-1,40),ROW()-1,FALSE))</f>
        <v>1680</v>
      </c>
      <c r="AN196">
        <f ca="1">IF(AND(ISNUMBER($AN$315),$B$294=1),$AN$315,HLOOKUP(INDIRECT(ADDRESS(2,COLUMN())),OFFSET($AT$2,0,0,ROW()-1,40),ROW()-1,FALSE))</f>
        <v>2457</v>
      </c>
      <c r="AO196">
        <f ca="1">IF(AND(ISNUMBER($AO$315),$B$294=1),$AO$315,HLOOKUP(INDIRECT(ADDRESS(2,COLUMN())),OFFSET($AT$2,0,0,ROW()-1,40),ROW()-1,FALSE))</f>
        <v>2264</v>
      </c>
      <c r="AP196">
        <f ca="1">IF(AND(ISNUMBER($AP$315),$B$294=1),$AP$315,HLOOKUP(INDIRECT(ADDRESS(2,COLUMN())),OFFSET($AT$2,0,0,ROW()-1,40),ROW()-1,FALSE))</f>
        <v>2289</v>
      </c>
      <c r="AQ196">
        <f ca="1">IF(AND(ISNUMBER($AQ$315),$B$294=1),$AQ$315,HLOOKUP(INDIRECT(ADDRESS(2,COLUMN())),OFFSET($AT$2,0,0,ROW()-1,40),ROW()-1,FALSE))</f>
        <v>1795</v>
      </c>
      <c r="AR196">
        <f ca="1">IF(AND(ISNUMBER($AR$315),$B$294=1),$AR$315,HLOOKUP(INDIRECT(ADDRESS(2,COLUMN())),OFFSET($AT$2,0,0,ROW()-1,40),ROW()-1,FALSE))</f>
        <v>2119</v>
      </c>
      <c r="AS196">
        <f ca="1">IF(AND(ISNUMBER($AS$315),$B$294=1),$AS$315,HLOOKUP(INDIRECT(ADDRESS(2,COLUMN())),OFFSET($AT$2,0,0,ROW()-1,40),ROW()-1,FALSE))</f>
        <v>2132</v>
      </c>
      <c r="AT196">
        <f>2509</f>
        <v>2509</v>
      </c>
      <c r="AU196">
        <f>2394</f>
        <v>2394</v>
      </c>
      <c r="AV196">
        <f>2265</f>
        <v>2265</v>
      </c>
      <c r="AW196">
        <f>2262</f>
        <v>2262</v>
      </c>
      <c r="AX196">
        <f>2376</f>
        <v>2376</v>
      </c>
      <c r="AY196">
        <f>2301</f>
        <v>2301</v>
      </c>
      <c r="AZ196">
        <f>2196</f>
        <v>2196</v>
      </c>
      <c r="BA196">
        <f>2549</f>
        <v>2549</v>
      </c>
      <c r="BB196">
        <f>1963</f>
        <v>1963</v>
      </c>
      <c r="BC196">
        <f>1950</f>
        <v>1950</v>
      </c>
      <c r="BD196">
        <f>4139</f>
        <v>4139</v>
      </c>
      <c r="BE196">
        <f>3301</f>
        <v>3301</v>
      </c>
      <c r="BF196">
        <f>2852</f>
        <v>2852</v>
      </c>
      <c r="BG196">
        <f>2697</f>
        <v>2697</v>
      </c>
      <c r="BH196">
        <f>2367</f>
        <v>2367</v>
      </c>
      <c r="BI196">
        <f>1870</f>
        <v>1870</v>
      </c>
      <c r="BJ196">
        <f>2249</f>
        <v>2249</v>
      </c>
      <c r="BK196">
        <f>2194</f>
        <v>2194</v>
      </c>
      <c r="BL196">
        <f>2310</f>
        <v>2310</v>
      </c>
      <c r="BM196">
        <f>2159</f>
        <v>2159</v>
      </c>
      <c r="BN196">
        <f>1951</f>
        <v>1951</v>
      </c>
      <c r="BO196">
        <f>1894</f>
        <v>1894</v>
      </c>
      <c r="BP196">
        <f>2667</f>
        <v>2667</v>
      </c>
      <c r="BQ196">
        <f>1955</f>
        <v>1955</v>
      </c>
      <c r="BR196">
        <f>2139</f>
        <v>2139</v>
      </c>
      <c r="BS196">
        <f>1924</f>
        <v>1924</v>
      </c>
      <c r="BT196">
        <f>2236</f>
        <v>2236</v>
      </c>
      <c r="BU196">
        <f>2227</f>
        <v>2227</v>
      </c>
      <c r="BV196">
        <f>1915</f>
        <v>1915</v>
      </c>
      <c r="BW196">
        <f>1721</f>
        <v>1721</v>
      </c>
      <c r="BX196">
        <f>1931</f>
        <v>1931</v>
      </c>
      <c r="BY196">
        <f>1698</f>
        <v>1698</v>
      </c>
      <c r="BZ196">
        <f>1810</f>
        <v>1810</v>
      </c>
      <c r="CA196">
        <f>1680</f>
        <v>1680</v>
      </c>
      <c r="CB196">
        <f>2457</f>
        <v>2457</v>
      </c>
      <c r="CC196">
        <f>2264</f>
        <v>2264</v>
      </c>
      <c r="CD196">
        <f>2289</f>
        <v>2289</v>
      </c>
      <c r="CE196">
        <f>1795</f>
        <v>1795</v>
      </c>
      <c r="CF196">
        <f>2119</f>
        <v>2119</v>
      </c>
      <c r="CG196">
        <f>2132</f>
        <v>2132</v>
      </c>
    </row>
    <row r="197" spans="1:85" x14ac:dyDescent="0.25">
      <c r="A197" t="str">
        <f>"    PACCAR - Kenworth"</f>
        <v xml:space="preserve">    PACCAR - Kenworth</v>
      </c>
      <c r="B197" t="str">
        <f>"PCAR US Equity"</f>
        <v>PCAR US Equity</v>
      </c>
      <c r="C197" t="str">
        <f t="shared" ref="C197:C207" si="13">"X1701"</f>
        <v>X1701</v>
      </c>
      <c r="D197" t="str">
        <f t="shared" ref="D197:D207" si="14">"WARDS_RETAIL_SALES_UNITS"</f>
        <v>WARDS_RETAIL_SALES_UNITS</v>
      </c>
      <c r="E197" t="str">
        <f t="shared" si="10"/>
        <v>Dynamic</v>
      </c>
      <c r="F197">
        <f ca="1">IF(AND(ISNUMBER($F$316),$B$294=1),$F$316,HLOOKUP(INDIRECT(ADDRESS(2,COLUMN())),OFFSET($AT$2,0,0,ROW()-1,40),ROW()-1,FALSE))</f>
        <v>729</v>
      </c>
      <c r="G197">
        <f ca="1">IF(AND(ISNUMBER($G$316),$B$294=1),$G$316,HLOOKUP(INDIRECT(ADDRESS(2,COLUMN())),OFFSET($AT$2,0,0,ROW()-1,40),ROW()-1,FALSE))</f>
        <v>790</v>
      </c>
      <c r="H197">
        <f ca="1">IF(AND(ISNUMBER($H$316),$B$294=1),$H$316,HLOOKUP(INDIRECT(ADDRESS(2,COLUMN())),OFFSET($AT$2,0,0,ROW()-1,40),ROW()-1,FALSE))</f>
        <v>835</v>
      </c>
      <c r="I197">
        <f ca="1">IF(AND(ISNUMBER($I$316),$B$294=1),$I$316,HLOOKUP(INDIRECT(ADDRESS(2,COLUMN())),OFFSET($AT$2,0,0,ROW()-1,40),ROW()-1,FALSE))</f>
        <v>774</v>
      </c>
      <c r="J197">
        <f ca="1">IF(AND(ISNUMBER($J$316),$B$294=1),$J$316,HLOOKUP(INDIRECT(ADDRESS(2,COLUMN())),OFFSET($AT$2,0,0,ROW()-1,40),ROW()-1,FALSE))</f>
        <v>774</v>
      </c>
      <c r="K197">
        <f ca="1">IF(AND(ISNUMBER($K$316),$B$294=1),$K$316,HLOOKUP(INDIRECT(ADDRESS(2,COLUMN())),OFFSET($AT$2,0,0,ROW()-1,40),ROW()-1,FALSE))</f>
        <v>727</v>
      </c>
      <c r="L197">
        <f ca="1">IF(AND(ISNUMBER($L$316),$B$294=1),$L$316,HLOOKUP(INDIRECT(ADDRESS(2,COLUMN())),OFFSET($AT$2,0,0,ROW()-1,40),ROW()-1,FALSE))</f>
        <v>644</v>
      </c>
      <c r="M197">
        <f ca="1">IF(AND(ISNUMBER($M$316),$B$294=1),$M$316,HLOOKUP(INDIRECT(ADDRESS(2,COLUMN())),OFFSET($AT$2,0,0,ROW()-1,40),ROW()-1,FALSE))</f>
        <v>795</v>
      </c>
      <c r="N197">
        <f ca="1">IF(AND(ISNUMBER($N$316),$B$294=1),$N$316,HLOOKUP(INDIRECT(ADDRESS(2,COLUMN())),OFFSET($AT$2,0,0,ROW()-1,40),ROW()-1,FALSE))</f>
        <v>608</v>
      </c>
      <c r="O197">
        <f ca="1">IF(AND(ISNUMBER($O$316),$B$294=1),$O$316,HLOOKUP(INDIRECT(ADDRESS(2,COLUMN())),OFFSET($AT$2,0,0,ROW()-1,40),ROW()-1,FALSE))</f>
        <v>454</v>
      </c>
      <c r="P197">
        <f ca="1">IF(AND(ISNUMBER($P$316),$B$294=1),$P$316,HLOOKUP(INDIRECT(ADDRESS(2,COLUMN())),OFFSET($AT$2,0,0,ROW()-1,40),ROW()-1,FALSE))</f>
        <v>1576</v>
      </c>
      <c r="Q197">
        <f ca="1">IF(AND(ISNUMBER($Q$316),$B$294=1),$Q$316,HLOOKUP(INDIRECT(ADDRESS(2,COLUMN())),OFFSET($AT$2,0,0,ROW()-1,40),ROW()-1,FALSE))</f>
        <v>1163</v>
      </c>
      <c r="R197">
        <f ca="1">IF(AND(ISNUMBER($R$316),$B$294=1),$R$316,HLOOKUP(INDIRECT(ADDRESS(2,COLUMN())),OFFSET($AT$2,0,0,ROW()-1,40),ROW()-1,FALSE))</f>
        <v>867</v>
      </c>
      <c r="S197">
        <f ca="1">IF(AND(ISNUMBER($S$316),$B$294=1),$S$316,HLOOKUP(INDIRECT(ADDRESS(2,COLUMN())),OFFSET($AT$2,0,0,ROW()-1,40),ROW()-1,FALSE))</f>
        <v>911</v>
      </c>
      <c r="T197">
        <f ca="1">IF(AND(ISNUMBER($T$316),$B$294=1),$T$316,HLOOKUP(INDIRECT(ADDRESS(2,COLUMN())),OFFSET($AT$2,0,0,ROW()-1,40),ROW()-1,FALSE))</f>
        <v>851</v>
      </c>
      <c r="U197">
        <f ca="1">IF(AND(ISNUMBER($U$316),$B$294=1),$U$316,HLOOKUP(INDIRECT(ADDRESS(2,COLUMN())),OFFSET($AT$2,0,0,ROW()-1,40),ROW()-1,FALSE))</f>
        <v>585</v>
      </c>
      <c r="V197">
        <f ca="1">IF(AND(ISNUMBER($V$316),$B$294=1),$V$316,HLOOKUP(INDIRECT(ADDRESS(2,COLUMN())),OFFSET($AT$2,0,0,ROW()-1,40),ROW()-1,FALSE))</f>
        <v>805</v>
      </c>
      <c r="W197">
        <f ca="1">IF(AND(ISNUMBER($W$316),$B$294=1),$W$316,HLOOKUP(INDIRECT(ADDRESS(2,COLUMN())),OFFSET($AT$2,0,0,ROW()-1,40),ROW()-1,FALSE))</f>
        <v>550</v>
      </c>
      <c r="X197">
        <f ca="1">IF(AND(ISNUMBER($X$316),$B$294=1),$X$316,HLOOKUP(INDIRECT(ADDRESS(2,COLUMN())),OFFSET($AT$2,0,0,ROW()-1,40),ROW()-1,FALSE))</f>
        <v>651</v>
      </c>
      <c r="Y197">
        <f ca="1">IF(AND(ISNUMBER($Y$316),$B$294=1),$Y$316,HLOOKUP(INDIRECT(ADDRESS(2,COLUMN())),OFFSET($AT$2,0,0,ROW()-1,40),ROW()-1,FALSE))</f>
        <v>735</v>
      </c>
      <c r="Z197">
        <f ca="1">IF(AND(ISNUMBER($Z$316),$B$294=1),$Z$316,HLOOKUP(INDIRECT(ADDRESS(2,COLUMN())),OFFSET($AT$2,0,0,ROW()-1,40),ROW()-1,FALSE))</f>
        <v>796</v>
      </c>
      <c r="AA197">
        <f ca="1">IF(AND(ISNUMBER($AA$316),$B$294=1),$AA$316,HLOOKUP(INDIRECT(ADDRESS(2,COLUMN())),OFFSET($AT$2,0,0,ROW()-1,40),ROW()-1,FALSE))</f>
        <v>336</v>
      </c>
      <c r="AB197">
        <f ca="1">IF(AND(ISNUMBER($AB$316),$B$294=1),$AB$316,HLOOKUP(INDIRECT(ADDRESS(2,COLUMN())),OFFSET($AT$2,0,0,ROW()-1,40),ROW()-1,FALSE))</f>
        <v>1123</v>
      </c>
      <c r="AC197">
        <f ca="1">IF(AND(ISNUMBER($AC$316),$B$294=1),$AC$316,HLOOKUP(INDIRECT(ADDRESS(2,COLUMN())),OFFSET($AT$2,0,0,ROW()-1,40),ROW()-1,FALSE))</f>
        <v>698</v>
      </c>
      <c r="AD197">
        <f ca="1">IF(AND(ISNUMBER($AD$316),$B$294=1),$AD$316,HLOOKUP(INDIRECT(ADDRESS(2,COLUMN())),OFFSET($AT$2,0,0,ROW()-1,40),ROW()-1,FALSE))</f>
        <v>817</v>
      </c>
      <c r="AE197">
        <f ca="1">IF(AND(ISNUMBER($AE$316),$B$294=1),$AE$316,HLOOKUP(INDIRECT(ADDRESS(2,COLUMN())),OFFSET($AT$2,0,0,ROW()-1,40),ROW()-1,FALSE))</f>
        <v>680</v>
      </c>
      <c r="AF197">
        <f ca="1">IF(AND(ISNUMBER($AF$316),$B$294=1),$AF$316,HLOOKUP(INDIRECT(ADDRESS(2,COLUMN())),OFFSET($AT$2,0,0,ROW()-1,40),ROW()-1,FALSE))</f>
        <v>952</v>
      </c>
      <c r="AG197">
        <f ca="1">IF(AND(ISNUMBER($AG$316),$B$294=1),$AG$316,HLOOKUP(INDIRECT(ADDRESS(2,COLUMN())),OFFSET($AT$2,0,0,ROW()-1,40),ROW()-1,FALSE))</f>
        <v>755</v>
      </c>
      <c r="AH197">
        <f ca="1">IF(AND(ISNUMBER($AH$316),$B$294=1),$AH$316,HLOOKUP(INDIRECT(ADDRESS(2,COLUMN())),OFFSET($AT$2,0,0,ROW()-1,40),ROW()-1,FALSE))</f>
        <v>787</v>
      </c>
      <c r="AI197">
        <f ca="1">IF(AND(ISNUMBER($AI$316),$B$294=1),$AI$316,HLOOKUP(INDIRECT(ADDRESS(2,COLUMN())),OFFSET($AT$2,0,0,ROW()-1,40),ROW()-1,FALSE))</f>
        <v>602</v>
      </c>
      <c r="AJ197">
        <f ca="1">IF(AND(ISNUMBER($AJ$316),$B$294=1),$AJ$316,HLOOKUP(INDIRECT(ADDRESS(2,COLUMN())),OFFSET($AT$2,0,0,ROW()-1,40),ROW()-1,FALSE))</f>
        <v>769</v>
      </c>
      <c r="AK197">
        <f ca="1">IF(AND(ISNUMBER($AK$316),$B$294=1),$AK$316,HLOOKUP(INDIRECT(ADDRESS(2,COLUMN())),OFFSET($AT$2,0,0,ROW()-1,40),ROW()-1,FALSE))</f>
        <v>698</v>
      </c>
      <c r="AL197">
        <f ca="1">IF(AND(ISNUMBER($AL$316),$B$294=1),$AL$316,HLOOKUP(INDIRECT(ADDRESS(2,COLUMN())),OFFSET($AT$2,0,0,ROW()-1,40),ROW()-1,FALSE))</f>
        <v>735</v>
      </c>
      <c r="AM197">
        <f ca="1">IF(AND(ISNUMBER($AM$316),$B$294=1),$AM$316,HLOOKUP(INDIRECT(ADDRESS(2,COLUMN())),OFFSET($AT$2,0,0,ROW()-1,40),ROW()-1,FALSE))</f>
        <v>639</v>
      </c>
      <c r="AN197">
        <f ca="1">IF(AND(ISNUMBER($AN$316),$B$294=1),$AN$316,HLOOKUP(INDIRECT(ADDRESS(2,COLUMN())),OFFSET($AT$2,0,0,ROW()-1,40),ROW()-1,FALSE))</f>
        <v>838</v>
      </c>
      <c r="AO197">
        <f ca="1">IF(AND(ISNUMBER($AO$316),$B$294=1),$AO$316,HLOOKUP(INDIRECT(ADDRESS(2,COLUMN())),OFFSET($AT$2,0,0,ROW()-1,40),ROW()-1,FALSE))</f>
        <v>773</v>
      </c>
      <c r="AP197">
        <f ca="1">IF(AND(ISNUMBER($AP$316),$B$294=1),$AP$316,HLOOKUP(INDIRECT(ADDRESS(2,COLUMN())),OFFSET($AT$2,0,0,ROW()-1,40),ROW()-1,FALSE))</f>
        <v>781</v>
      </c>
      <c r="AQ197">
        <f ca="1">IF(AND(ISNUMBER($AQ$316),$B$294=1),$AQ$316,HLOOKUP(INDIRECT(ADDRESS(2,COLUMN())),OFFSET($AT$2,0,0,ROW()-1,40),ROW()-1,FALSE))</f>
        <v>688</v>
      </c>
      <c r="AR197">
        <f ca="1">IF(AND(ISNUMBER($AR$316),$B$294=1),$AR$316,HLOOKUP(INDIRECT(ADDRESS(2,COLUMN())),OFFSET($AT$2,0,0,ROW()-1,40),ROW()-1,FALSE))</f>
        <v>749</v>
      </c>
      <c r="AS197">
        <f ca="1">IF(AND(ISNUMBER($AS$316),$B$294=1),$AS$316,HLOOKUP(INDIRECT(ADDRESS(2,COLUMN())),OFFSET($AT$2,0,0,ROW()-1,40),ROW()-1,FALSE))</f>
        <v>667</v>
      </c>
      <c r="AT197">
        <f>729</f>
        <v>729</v>
      </c>
      <c r="AU197">
        <f>790</f>
        <v>790</v>
      </c>
      <c r="AV197">
        <f>835</f>
        <v>835</v>
      </c>
      <c r="AW197">
        <f>774</f>
        <v>774</v>
      </c>
      <c r="AX197">
        <f>774</f>
        <v>774</v>
      </c>
      <c r="AY197">
        <f>727</f>
        <v>727</v>
      </c>
      <c r="AZ197">
        <f>644</f>
        <v>644</v>
      </c>
      <c r="BA197">
        <f>795</f>
        <v>795</v>
      </c>
      <c r="BB197">
        <f>608</f>
        <v>608</v>
      </c>
      <c r="BC197">
        <f>454</f>
        <v>454</v>
      </c>
      <c r="BD197">
        <f>1576</f>
        <v>1576</v>
      </c>
      <c r="BE197">
        <f>1163</f>
        <v>1163</v>
      </c>
      <c r="BF197">
        <f>867</f>
        <v>867</v>
      </c>
      <c r="BG197">
        <f>911</f>
        <v>911</v>
      </c>
      <c r="BH197">
        <f>851</f>
        <v>851</v>
      </c>
      <c r="BI197">
        <f>585</f>
        <v>585</v>
      </c>
      <c r="BJ197">
        <f>805</f>
        <v>805</v>
      </c>
      <c r="BK197">
        <f>550</f>
        <v>550</v>
      </c>
      <c r="BL197">
        <f>651</f>
        <v>651</v>
      </c>
      <c r="BM197">
        <f>735</f>
        <v>735</v>
      </c>
      <c r="BN197">
        <f>796</f>
        <v>796</v>
      </c>
      <c r="BO197">
        <f>336</f>
        <v>336</v>
      </c>
      <c r="BP197">
        <f>1123</f>
        <v>1123</v>
      </c>
      <c r="BQ197">
        <f>698</f>
        <v>698</v>
      </c>
      <c r="BR197">
        <f>817</f>
        <v>817</v>
      </c>
      <c r="BS197">
        <f>680</f>
        <v>680</v>
      </c>
      <c r="BT197">
        <f>952</f>
        <v>952</v>
      </c>
      <c r="BU197">
        <f>755</f>
        <v>755</v>
      </c>
      <c r="BV197">
        <f>787</f>
        <v>787</v>
      </c>
      <c r="BW197">
        <f>602</f>
        <v>602</v>
      </c>
      <c r="BX197">
        <f>769</f>
        <v>769</v>
      </c>
      <c r="BY197">
        <f>698</f>
        <v>698</v>
      </c>
      <c r="BZ197">
        <f>735</f>
        <v>735</v>
      </c>
      <c r="CA197">
        <f>639</f>
        <v>639</v>
      </c>
      <c r="CB197">
        <f>838</f>
        <v>838</v>
      </c>
      <c r="CC197">
        <f>773</f>
        <v>773</v>
      </c>
      <c r="CD197">
        <f>781</f>
        <v>781</v>
      </c>
      <c r="CE197">
        <f>688</f>
        <v>688</v>
      </c>
      <c r="CF197">
        <f>749</f>
        <v>749</v>
      </c>
      <c r="CG197">
        <f>667</f>
        <v>667</v>
      </c>
    </row>
    <row r="198" spans="1:85" x14ac:dyDescent="0.25">
      <c r="A198" t="str">
        <f>"    Navistar - International"</f>
        <v xml:space="preserve">    Navistar - International</v>
      </c>
      <c r="B198" t="str">
        <f>"NAV US Equity"</f>
        <v>NAV US Equity</v>
      </c>
      <c r="C198" t="str">
        <f t="shared" si="13"/>
        <v>X1701</v>
      </c>
      <c r="D198" t="str">
        <f t="shared" si="14"/>
        <v>WARDS_RETAIL_SALES_UNITS</v>
      </c>
      <c r="E198" t="str">
        <f t="shared" si="10"/>
        <v>Dynamic</v>
      </c>
      <c r="F198">
        <f ca="1">IF(AND(ISNUMBER($F$317),$B$294=1),$F$317,HLOOKUP(INDIRECT(ADDRESS(2,COLUMN())),OFFSET($AT$2,0,0,ROW()-1,40),ROW()-1,FALSE))</f>
        <v>677</v>
      </c>
      <c r="G198">
        <f ca="1">IF(AND(ISNUMBER($G$317),$B$294=1),$G$317,HLOOKUP(INDIRECT(ADDRESS(2,COLUMN())),OFFSET($AT$2,0,0,ROW()-1,40),ROW()-1,FALSE))</f>
        <v>428</v>
      </c>
      <c r="H198">
        <f ca="1">IF(AND(ISNUMBER($H$317),$B$294=1),$H$317,HLOOKUP(INDIRECT(ADDRESS(2,COLUMN())),OFFSET($AT$2,0,0,ROW()-1,40),ROW()-1,FALSE))</f>
        <v>400</v>
      </c>
      <c r="I198">
        <f ca="1">IF(AND(ISNUMBER($I$317),$B$294=1),$I$317,HLOOKUP(INDIRECT(ADDRESS(2,COLUMN())),OFFSET($AT$2,0,0,ROW()-1,40),ROW()-1,FALSE))</f>
        <v>425</v>
      </c>
      <c r="J198">
        <f ca="1">IF(AND(ISNUMBER($J$317),$B$294=1),$J$317,HLOOKUP(INDIRECT(ADDRESS(2,COLUMN())),OFFSET($AT$2,0,0,ROW()-1,40),ROW()-1,FALSE))</f>
        <v>365</v>
      </c>
      <c r="K198">
        <f ca="1">IF(AND(ISNUMBER($K$317),$B$294=1),$K$317,HLOOKUP(INDIRECT(ADDRESS(2,COLUMN())),OFFSET($AT$2,0,0,ROW()-1,40),ROW()-1,FALSE))</f>
        <v>374</v>
      </c>
      <c r="L198">
        <f ca="1">IF(AND(ISNUMBER($L$317),$B$294=1),$L$317,HLOOKUP(INDIRECT(ADDRESS(2,COLUMN())),OFFSET($AT$2,0,0,ROW()-1,40),ROW()-1,FALSE))</f>
        <v>473</v>
      </c>
      <c r="M198">
        <f ca="1">IF(AND(ISNUMBER($M$317),$B$294=1),$M$317,HLOOKUP(INDIRECT(ADDRESS(2,COLUMN())),OFFSET($AT$2,0,0,ROW()-1,40),ROW()-1,FALSE))</f>
        <v>450</v>
      </c>
      <c r="N198">
        <f ca="1">IF(AND(ISNUMBER($N$317),$B$294=1),$N$317,HLOOKUP(INDIRECT(ADDRESS(2,COLUMN())),OFFSET($AT$2,0,0,ROW()-1,40),ROW()-1,FALSE))</f>
        <v>385</v>
      </c>
      <c r="O198">
        <f ca="1">IF(AND(ISNUMBER($O$317),$B$294=1),$O$317,HLOOKUP(INDIRECT(ADDRESS(2,COLUMN())),OFFSET($AT$2,0,0,ROW()-1,40),ROW()-1,FALSE))</f>
        <v>419</v>
      </c>
      <c r="P198">
        <f ca="1">IF(AND(ISNUMBER($P$317),$B$294=1),$P$317,HLOOKUP(INDIRECT(ADDRESS(2,COLUMN())),OFFSET($AT$2,0,0,ROW()-1,40),ROW()-1,FALSE))</f>
        <v>655</v>
      </c>
      <c r="Q198">
        <f ca="1">IF(AND(ISNUMBER($Q$317),$B$294=1),$Q$317,HLOOKUP(INDIRECT(ADDRESS(2,COLUMN())),OFFSET($AT$2,0,0,ROW()-1,40),ROW()-1,FALSE))</f>
        <v>743</v>
      </c>
      <c r="R198">
        <f ca="1">IF(AND(ISNUMBER($R$317),$B$294=1),$R$317,HLOOKUP(INDIRECT(ADDRESS(2,COLUMN())),OFFSET($AT$2,0,0,ROW()-1,40),ROW()-1,FALSE))</f>
        <v>690</v>
      </c>
      <c r="S198">
        <f ca="1">IF(AND(ISNUMBER($S$317),$B$294=1),$S$317,HLOOKUP(INDIRECT(ADDRESS(2,COLUMN())),OFFSET($AT$2,0,0,ROW()-1,40),ROW()-1,FALSE))</f>
        <v>551</v>
      </c>
      <c r="T198">
        <f ca="1">IF(AND(ISNUMBER($T$317),$B$294=1),$T$317,HLOOKUP(INDIRECT(ADDRESS(2,COLUMN())),OFFSET($AT$2,0,0,ROW()-1,40),ROW()-1,FALSE))</f>
        <v>478</v>
      </c>
      <c r="U198">
        <f ca="1">IF(AND(ISNUMBER($U$317),$B$294=1),$U$317,HLOOKUP(INDIRECT(ADDRESS(2,COLUMN())),OFFSET($AT$2,0,0,ROW()-1,40),ROW()-1,FALSE))</f>
        <v>424</v>
      </c>
      <c r="V198">
        <f ca="1">IF(AND(ISNUMBER($V$317),$B$294=1),$V$317,HLOOKUP(INDIRECT(ADDRESS(2,COLUMN())),OFFSET($AT$2,0,0,ROW()-1,40),ROW()-1,FALSE))</f>
        <v>466</v>
      </c>
      <c r="W198">
        <f ca="1">IF(AND(ISNUMBER($W$317),$B$294=1),$W$317,HLOOKUP(INDIRECT(ADDRESS(2,COLUMN())),OFFSET($AT$2,0,0,ROW()-1,40),ROW()-1,FALSE))</f>
        <v>483</v>
      </c>
      <c r="X198">
        <f ca="1">IF(AND(ISNUMBER($X$317),$B$294=1),$X$317,HLOOKUP(INDIRECT(ADDRESS(2,COLUMN())),OFFSET($AT$2,0,0,ROW()-1,40),ROW()-1,FALSE))</f>
        <v>534</v>
      </c>
      <c r="Y198">
        <f ca="1">IF(AND(ISNUMBER($Y$317),$B$294=1),$Y$317,HLOOKUP(INDIRECT(ADDRESS(2,COLUMN())),OFFSET($AT$2,0,0,ROW()-1,40),ROW()-1,FALSE))</f>
        <v>373</v>
      </c>
      <c r="Z198">
        <f ca="1">IF(AND(ISNUMBER($Z$317),$B$294=1),$Z$317,HLOOKUP(INDIRECT(ADDRESS(2,COLUMN())),OFFSET($AT$2,0,0,ROW()-1,40),ROW()-1,FALSE))</f>
        <v>407</v>
      </c>
      <c r="AA198">
        <f ca="1">IF(AND(ISNUMBER($AA$317),$B$294=1),$AA$317,HLOOKUP(INDIRECT(ADDRESS(2,COLUMN())),OFFSET($AT$2,0,0,ROW()-1,40),ROW()-1,FALSE))</f>
        <v>495</v>
      </c>
      <c r="AB198">
        <f ca="1">IF(AND(ISNUMBER($AB$317),$B$294=1),$AB$317,HLOOKUP(INDIRECT(ADDRESS(2,COLUMN())),OFFSET($AT$2,0,0,ROW()-1,40),ROW()-1,FALSE))</f>
        <v>357</v>
      </c>
      <c r="AC198">
        <f ca="1">IF(AND(ISNUMBER($AC$317),$B$294=1),$AC$317,HLOOKUP(INDIRECT(ADDRESS(2,COLUMN())),OFFSET($AT$2,0,0,ROW()-1,40),ROW()-1,FALSE))</f>
        <v>363</v>
      </c>
      <c r="AD198">
        <f ca="1">IF(AND(ISNUMBER($AD$317),$B$294=1),$AD$317,HLOOKUP(INDIRECT(ADDRESS(2,COLUMN())),OFFSET($AT$2,0,0,ROW()-1,40),ROW()-1,FALSE))</f>
        <v>535</v>
      </c>
      <c r="AE198">
        <f ca="1">IF(AND(ISNUMBER($AE$317),$B$294=1),$AE$317,HLOOKUP(INDIRECT(ADDRESS(2,COLUMN())),OFFSET($AT$2,0,0,ROW()-1,40),ROW()-1,FALSE))</f>
        <v>475</v>
      </c>
      <c r="AF198">
        <f ca="1">IF(AND(ISNUMBER($AF$317),$B$294=1),$AF$317,HLOOKUP(INDIRECT(ADDRESS(2,COLUMN())),OFFSET($AT$2,0,0,ROW()-1,40),ROW()-1,FALSE))</f>
        <v>459</v>
      </c>
      <c r="AG198">
        <f ca="1">IF(AND(ISNUMBER($AG$317),$B$294=1),$AG$317,HLOOKUP(INDIRECT(ADDRESS(2,COLUMN())),OFFSET($AT$2,0,0,ROW()-1,40),ROW()-1,FALSE))</f>
        <v>431</v>
      </c>
      <c r="AH198">
        <f ca="1">IF(AND(ISNUMBER($AH$317),$B$294=1),$AH$317,HLOOKUP(INDIRECT(ADDRESS(2,COLUMN())),OFFSET($AT$2,0,0,ROW()-1,40),ROW()-1,FALSE))</f>
        <v>393</v>
      </c>
      <c r="AI198">
        <f ca="1">IF(AND(ISNUMBER($AI$317),$B$294=1),$AI$317,HLOOKUP(INDIRECT(ADDRESS(2,COLUMN())),OFFSET($AT$2,0,0,ROW()-1,40),ROW()-1,FALSE))</f>
        <v>352</v>
      </c>
      <c r="AJ198">
        <f ca="1">IF(AND(ISNUMBER($AJ$317),$B$294=1),$AJ$317,HLOOKUP(INDIRECT(ADDRESS(2,COLUMN())),OFFSET($AT$2,0,0,ROW()-1,40),ROW()-1,FALSE))</f>
        <v>406</v>
      </c>
      <c r="AK198">
        <f ca="1">IF(AND(ISNUMBER($AK$317),$B$294=1),$AK$317,HLOOKUP(INDIRECT(ADDRESS(2,COLUMN())),OFFSET($AT$2,0,0,ROW()-1,40),ROW()-1,FALSE))</f>
        <v>402</v>
      </c>
      <c r="AL198">
        <f ca="1">IF(AND(ISNUMBER($AL$317),$B$294=1),$AL$317,HLOOKUP(INDIRECT(ADDRESS(2,COLUMN())),OFFSET($AT$2,0,0,ROW()-1,40),ROW()-1,FALSE))</f>
        <v>376</v>
      </c>
      <c r="AM198">
        <f ca="1">IF(AND(ISNUMBER($AM$317),$B$294=1),$AM$317,HLOOKUP(INDIRECT(ADDRESS(2,COLUMN())),OFFSET($AT$2,0,0,ROW()-1,40),ROW()-1,FALSE))</f>
        <v>391</v>
      </c>
      <c r="AN198">
        <f ca="1">IF(AND(ISNUMBER($AN$317),$B$294=1),$AN$317,HLOOKUP(INDIRECT(ADDRESS(2,COLUMN())),OFFSET($AT$2,0,0,ROW()-1,40),ROW()-1,FALSE))</f>
        <v>567</v>
      </c>
      <c r="AO198">
        <f ca="1">IF(AND(ISNUMBER($AO$317),$B$294=1),$AO$317,HLOOKUP(INDIRECT(ADDRESS(2,COLUMN())),OFFSET($AT$2,0,0,ROW()-1,40),ROW()-1,FALSE))</f>
        <v>524</v>
      </c>
      <c r="AP198">
        <f ca="1">IF(AND(ISNUMBER($AP$317),$B$294=1),$AP$317,HLOOKUP(INDIRECT(ADDRESS(2,COLUMN())),OFFSET($AT$2,0,0,ROW()-1,40),ROW()-1,FALSE))</f>
        <v>529</v>
      </c>
      <c r="AQ198">
        <f ca="1">IF(AND(ISNUMBER($AQ$317),$B$294=1),$AQ$317,HLOOKUP(INDIRECT(ADDRESS(2,COLUMN())),OFFSET($AT$2,0,0,ROW()-1,40),ROW()-1,FALSE))</f>
        <v>416</v>
      </c>
      <c r="AR198">
        <f ca="1">IF(AND(ISNUMBER($AR$317),$B$294=1),$AR$317,HLOOKUP(INDIRECT(ADDRESS(2,COLUMN())),OFFSET($AT$2,0,0,ROW()-1,40),ROW()-1,FALSE))</f>
        <v>540</v>
      </c>
      <c r="AS198">
        <f ca="1">IF(AND(ISNUMBER($AS$317),$B$294=1),$AS$317,HLOOKUP(INDIRECT(ADDRESS(2,COLUMN())),OFFSET($AT$2,0,0,ROW()-1,40),ROW()-1,FALSE))</f>
        <v>695</v>
      </c>
      <c r="AT198">
        <f>677</f>
        <v>677</v>
      </c>
      <c r="AU198">
        <f>428</f>
        <v>428</v>
      </c>
      <c r="AV198">
        <f>400</f>
        <v>400</v>
      </c>
      <c r="AW198">
        <f>425</f>
        <v>425</v>
      </c>
      <c r="AX198">
        <f>365</f>
        <v>365</v>
      </c>
      <c r="AY198">
        <f>374</f>
        <v>374</v>
      </c>
      <c r="AZ198">
        <f>473</f>
        <v>473</v>
      </c>
      <c r="BA198">
        <f>450</f>
        <v>450</v>
      </c>
      <c r="BB198">
        <f>385</f>
        <v>385</v>
      </c>
      <c r="BC198">
        <f>419</f>
        <v>419</v>
      </c>
      <c r="BD198">
        <f>655</f>
        <v>655</v>
      </c>
      <c r="BE198">
        <f>743</f>
        <v>743</v>
      </c>
      <c r="BF198">
        <f>690</f>
        <v>690</v>
      </c>
      <c r="BG198">
        <f>551</f>
        <v>551</v>
      </c>
      <c r="BH198">
        <f>478</f>
        <v>478</v>
      </c>
      <c r="BI198">
        <f>424</f>
        <v>424</v>
      </c>
      <c r="BJ198">
        <f>466</f>
        <v>466</v>
      </c>
      <c r="BK198">
        <f>483</f>
        <v>483</v>
      </c>
      <c r="BL198">
        <f>534</f>
        <v>534</v>
      </c>
      <c r="BM198">
        <f>373</f>
        <v>373</v>
      </c>
      <c r="BN198">
        <f>407</f>
        <v>407</v>
      </c>
      <c r="BO198">
        <f>495</f>
        <v>495</v>
      </c>
      <c r="BP198">
        <f>357</f>
        <v>357</v>
      </c>
      <c r="BQ198">
        <f>363</f>
        <v>363</v>
      </c>
      <c r="BR198">
        <f>535</f>
        <v>535</v>
      </c>
      <c r="BS198">
        <f>475</f>
        <v>475</v>
      </c>
      <c r="BT198">
        <f>459</f>
        <v>459</v>
      </c>
      <c r="BU198">
        <f>431</f>
        <v>431</v>
      </c>
      <c r="BV198">
        <f>393</f>
        <v>393</v>
      </c>
      <c r="BW198">
        <f>352</f>
        <v>352</v>
      </c>
      <c r="BX198">
        <f>406</f>
        <v>406</v>
      </c>
      <c r="BY198">
        <f>402</f>
        <v>402</v>
      </c>
      <c r="BZ198">
        <f>376</f>
        <v>376</v>
      </c>
      <c r="CA198">
        <f>391</f>
        <v>391</v>
      </c>
      <c r="CB198">
        <f>567</f>
        <v>567</v>
      </c>
      <c r="CC198">
        <f>524</f>
        <v>524</v>
      </c>
      <c r="CD198">
        <f>529</f>
        <v>529</v>
      </c>
      <c r="CE198">
        <f>416</f>
        <v>416</v>
      </c>
      <c r="CF198">
        <f>540</f>
        <v>540</v>
      </c>
      <c r="CG198">
        <f>695</f>
        <v>695</v>
      </c>
    </row>
    <row r="199" spans="1:85" x14ac:dyDescent="0.25">
      <c r="A199" t="str">
        <f>"    Daimler - Freightliner"</f>
        <v xml:space="preserve">    Daimler - Freightliner</v>
      </c>
      <c r="B199" t="str">
        <f>"DAI GR Equity"</f>
        <v>DAI GR Equity</v>
      </c>
      <c r="C199" t="str">
        <f t="shared" si="13"/>
        <v>X1701</v>
      </c>
      <c r="D199" t="str">
        <f t="shared" si="14"/>
        <v>WARDS_RETAIL_SALES_UNITS</v>
      </c>
      <c r="E199" t="str">
        <f t="shared" si="10"/>
        <v>Dynamic</v>
      </c>
      <c r="F199">
        <f ca="1">IF(AND(ISNUMBER($F$318),$B$294=1),$F$318,HLOOKUP(INDIRECT(ADDRESS(2,COLUMN())),OFFSET($AT$2,0,0,ROW()-1,40),ROW()-1,FALSE))</f>
        <v>679</v>
      </c>
      <c r="G199">
        <f ca="1">IF(AND(ISNUMBER($G$318),$B$294=1),$G$318,HLOOKUP(INDIRECT(ADDRESS(2,COLUMN())),OFFSET($AT$2,0,0,ROW()-1,40),ROW()-1,FALSE))</f>
        <v>635</v>
      </c>
      <c r="H199">
        <f ca="1">IF(AND(ISNUMBER($H$318),$B$294=1),$H$318,HLOOKUP(INDIRECT(ADDRESS(2,COLUMN())),OFFSET($AT$2,0,0,ROW()-1,40),ROW()-1,FALSE))</f>
        <v>679</v>
      </c>
      <c r="I199">
        <f ca="1">IF(AND(ISNUMBER($I$318),$B$294=1),$I$318,HLOOKUP(INDIRECT(ADDRESS(2,COLUMN())),OFFSET($AT$2,0,0,ROW()-1,40),ROW()-1,FALSE))</f>
        <v>679</v>
      </c>
      <c r="J199">
        <f ca="1">IF(AND(ISNUMBER($J$318),$B$294=1),$J$318,HLOOKUP(INDIRECT(ADDRESS(2,COLUMN())),OFFSET($AT$2,0,0,ROW()-1,40),ROW()-1,FALSE))</f>
        <v>701</v>
      </c>
      <c r="K199">
        <f ca="1">IF(AND(ISNUMBER($K$318),$B$294=1),$K$318,HLOOKUP(INDIRECT(ADDRESS(2,COLUMN())),OFFSET($AT$2,0,0,ROW()-1,40),ROW()-1,FALSE))</f>
        <v>679</v>
      </c>
      <c r="L199">
        <f ca="1">IF(AND(ISNUMBER($L$318),$B$294=1),$L$318,HLOOKUP(INDIRECT(ADDRESS(2,COLUMN())),OFFSET($AT$2,0,0,ROW()-1,40),ROW()-1,FALSE))</f>
        <v>635</v>
      </c>
      <c r="M199">
        <f ca="1">IF(AND(ISNUMBER($M$318),$B$294=1),$M$318,HLOOKUP(INDIRECT(ADDRESS(2,COLUMN())),OFFSET($AT$2,0,0,ROW()-1,40),ROW()-1,FALSE))</f>
        <v>745</v>
      </c>
      <c r="N199">
        <f ca="1">IF(AND(ISNUMBER($N$318),$B$294=1),$N$318,HLOOKUP(INDIRECT(ADDRESS(2,COLUMN())),OFFSET($AT$2,0,0,ROW()-1,40),ROW()-1,FALSE))</f>
        <v>635</v>
      </c>
      <c r="O199">
        <f ca="1">IF(AND(ISNUMBER($O$318),$B$294=1),$O$318,HLOOKUP(INDIRECT(ADDRESS(2,COLUMN())),OFFSET($AT$2,0,0,ROW()-1,40),ROW()-1,FALSE))</f>
        <v>679</v>
      </c>
      <c r="P199">
        <f ca="1">IF(AND(ISNUMBER($P$318),$B$294=1),$P$318,HLOOKUP(INDIRECT(ADDRESS(2,COLUMN())),OFFSET($AT$2,0,0,ROW()-1,40),ROW()-1,FALSE))</f>
        <v>1287</v>
      </c>
      <c r="Q199">
        <f ca="1">IF(AND(ISNUMBER($Q$318),$B$294=1),$Q$318,HLOOKUP(INDIRECT(ADDRESS(2,COLUMN())),OFFSET($AT$2,0,0,ROW()-1,40),ROW()-1,FALSE))</f>
        <v>960</v>
      </c>
      <c r="R199">
        <f ca="1">IF(AND(ISNUMBER($R$318),$B$294=1),$R$318,HLOOKUP(INDIRECT(ADDRESS(2,COLUMN())),OFFSET($AT$2,0,0,ROW()-1,40),ROW()-1,FALSE))</f>
        <v>888</v>
      </c>
      <c r="S199">
        <f ca="1">IF(AND(ISNUMBER($S$318),$B$294=1),$S$318,HLOOKUP(INDIRECT(ADDRESS(2,COLUMN())),OFFSET($AT$2,0,0,ROW()-1,40),ROW()-1,FALSE))</f>
        <v>845</v>
      </c>
      <c r="T199">
        <f ca="1">IF(AND(ISNUMBER($T$318),$B$294=1),$T$318,HLOOKUP(INDIRECT(ADDRESS(2,COLUMN())),OFFSET($AT$2,0,0,ROW()-1,40),ROW()-1,FALSE))</f>
        <v>687</v>
      </c>
      <c r="U199">
        <f ca="1">IF(AND(ISNUMBER($U$318),$B$294=1),$U$318,HLOOKUP(INDIRECT(ADDRESS(2,COLUMN())),OFFSET($AT$2,0,0,ROW()-1,40),ROW()-1,FALSE))</f>
        <v>585</v>
      </c>
      <c r="V199">
        <f ca="1">IF(AND(ISNUMBER($V$318),$B$294=1),$V$318,HLOOKUP(INDIRECT(ADDRESS(2,COLUMN())),OFFSET($AT$2,0,0,ROW()-1,40),ROW()-1,FALSE))</f>
        <v>668</v>
      </c>
      <c r="W199">
        <f ca="1">IF(AND(ISNUMBER($W$318),$B$294=1),$W$318,HLOOKUP(INDIRECT(ADDRESS(2,COLUMN())),OFFSET($AT$2,0,0,ROW()-1,40),ROW()-1,FALSE))</f>
        <v>778</v>
      </c>
      <c r="X199">
        <f ca="1">IF(AND(ISNUMBER($X$318),$B$294=1),$X$318,HLOOKUP(INDIRECT(ADDRESS(2,COLUMN())),OFFSET($AT$2,0,0,ROW()-1,40),ROW()-1,FALSE))</f>
        <v>754</v>
      </c>
      <c r="Y199">
        <f ca="1">IF(AND(ISNUMBER($Y$318),$B$294=1),$Y$318,HLOOKUP(INDIRECT(ADDRESS(2,COLUMN())),OFFSET($AT$2,0,0,ROW()-1,40),ROW()-1,FALSE))</f>
        <v>668</v>
      </c>
      <c r="Z199">
        <f ca="1">IF(AND(ISNUMBER($Z$318),$B$294=1),$Z$318,HLOOKUP(INDIRECT(ADDRESS(2,COLUMN())),OFFSET($AT$2,0,0,ROW()-1,40),ROW()-1,FALSE))</f>
        <v>512</v>
      </c>
      <c r="AA199">
        <f ca="1">IF(AND(ISNUMBER($AA$318),$B$294=1),$AA$318,HLOOKUP(INDIRECT(ADDRESS(2,COLUMN())),OFFSET($AT$2,0,0,ROW()-1,40),ROW()-1,FALSE))</f>
        <v>738</v>
      </c>
      <c r="AB199">
        <f ca="1">IF(AND(ISNUMBER($AB$318),$B$294=1),$AB$318,HLOOKUP(INDIRECT(ADDRESS(2,COLUMN())),OFFSET($AT$2,0,0,ROW()-1,40),ROW()-1,FALSE))</f>
        <v>549</v>
      </c>
      <c r="AC199">
        <f ca="1">IF(AND(ISNUMBER($AC$318),$B$294=1),$AC$318,HLOOKUP(INDIRECT(ADDRESS(2,COLUMN())),OFFSET($AT$2,0,0,ROW()-1,40),ROW()-1,FALSE))</f>
        <v>440</v>
      </c>
      <c r="AD199">
        <f ca="1">IF(AND(ISNUMBER($AD$318),$B$294=1),$AD$318,HLOOKUP(INDIRECT(ADDRESS(2,COLUMN())),OFFSET($AT$2,0,0,ROW()-1,40),ROW()-1,FALSE))</f>
        <v>412</v>
      </c>
      <c r="AE199">
        <f ca="1">IF(AND(ISNUMBER($AE$318),$B$294=1),$AE$318,HLOOKUP(INDIRECT(ADDRESS(2,COLUMN())),OFFSET($AT$2,0,0,ROW()-1,40),ROW()-1,FALSE))</f>
        <v>385</v>
      </c>
      <c r="AF199">
        <f ca="1">IF(AND(ISNUMBER($AF$318),$B$294=1),$AF$318,HLOOKUP(INDIRECT(ADDRESS(2,COLUMN())),OFFSET($AT$2,0,0,ROW()-1,40),ROW()-1,FALSE))</f>
        <v>385</v>
      </c>
      <c r="AG199">
        <f ca="1">IF(AND(ISNUMBER($AG$318),$B$294=1),$AG$318,HLOOKUP(INDIRECT(ADDRESS(2,COLUMN())),OFFSET($AT$2,0,0,ROW()-1,40),ROW()-1,FALSE))</f>
        <v>598</v>
      </c>
      <c r="AH199">
        <f ca="1">IF(AND(ISNUMBER($AH$318),$B$294=1),$AH$318,HLOOKUP(INDIRECT(ADDRESS(2,COLUMN())),OFFSET($AT$2,0,0,ROW()-1,40),ROW()-1,FALSE))</f>
        <v>440</v>
      </c>
      <c r="AI199">
        <f ca="1">IF(AND(ISNUMBER($AI$318),$B$294=1),$AI$318,HLOOKUP(INDIRECT(ADDRESS(2,COLUMN())),OFFSET($AT$2,0,0,ROW()-1,40),ROW()-1,FALSE))</f>
        <v>355</v>
      </c>
      <c r="AJ199">
        <f ca="1">IF(AND(ISNUMBER($AJ$318),$B$294=1),$AJ$318,HLOOKUP(INDIRECT(ADDRESS(2,COLUMN())),OFFSET($AT$2,0,0,ROW()-1,40),ROW()-1,FALSE))</f>
        <v>556</v>
      </c>
      <c r="AK199">
        <f ca="1">IF(AND(ISNUMBER($AK$318),$B$294=1),$AK$318,HLOOKUP(INDIRECT(ADDRESS(2,COLUMN())),OFFSET($AT$2,0,0,ROW()-1,40),ROW()-1,FALSE))</f>
        <v>386</v>
      </c>
      <c r="AL199">
        <f ca="1">IF(AND(ISNUMBER($AL$318),$B$294=1),$AL$318,HLOOKUP(INDIRECT(ADDRESS(2,COLUMN())),OFFSET($AT$2,0,0,ROW()-1,40),ROW()-1,FALSE))</f>
        <v>367</v>
      </c>
      <c r="AM199">
        <f ca="1">IF(AND(ISNUMBER($AM$318),$B$294=1),$AM$318,HLOOKUP(INDIRECT(ADDRESS(2,COLUMN())),OFFSET($AT$2,0,0,ROW()-1,40),ROW()-1,FALSE))</f>
        <v>338</v>
      </c>
      <c r="AN199">
        <f ca="1">IF(AND(ISNUMBER($AN$318),$B$294=1),$AN$318,HLOOKUP(INDIRECT(ADDRESS(2,COLUMN())),OFFSET($AT$2,0,0,ROW()-1,40),ROW()-1,FALSE))</f>
        <v>494</v>
      </c>
      <c r="AO199">
        <f ca="1">IF(AND(ISNUMBER($AO$318),$B$294=1),$AO$318,HLOOKUP(INDIRECT(ADDRESS(2,COLUMN())),OFFSET($AT$2,0,0,ROW()-1,40),ROW()-1,FALSE))</f>
        <v>455</v>
      </c>
      <c r="AP199">
        <f ca="1">IF(AND(ISNUMBER($AP$318),$B$294=1),$AP$318,HLOOKUP(INDIRECT(ADDRESS(2,COLUMN())),OFFSET($AT$2,0,0,ROW()-1,40),ROW()-1,FALSE))</f>
        <v>461</v>
      </c>
      <c r="AQ199">
        <f ca="1">IF(AND(ISNUMBER($AQ$318),$B$294=1),$AQ$318,HLOOKUP(INDIRECT(ADDRESS(2,COLUMN())),OFFSET($AT$2,0,0,ROW()-1,40),ROW()-1,FALSE))</f>
        <v>272</v>
      </c>
      <c r="AR199">
        <f ca="1">IF(AND(ISNUMBER($AR$318),$B$294=1),$AR$318,HLOOKUP(INDIRECT(ADDRESS(2,COLUMN())),OFFSET($AT$2,0,0,ROW()-1,40),ROW()-1,FALSE))</f>
        <v>503</v>
      </c>
      <c r="AS199">
        <f ca="1">IF(AND(ISNUMBER($AS$318),$B$294=1),$AS$318,HLOOKUP(INDIRECT(ADDRESS(2,COLUMN())),OFFSET($AT$2,0,0,ROW()-1,40),ROW()-1,FALSE))</f>
        <v>507</v>
      </c>
      <c r="AT199">
        <f>679</f>
        <v>679</v>
      </c>
      <c r="AU199">
        <f>635</f>
        <v>635</v>
      </c>
      <c r="AV199">
        <f>679</f>
        <v>679</v>
      </c>
      <c r="AW199">
        <f>679</f>
        <v>679</v>
      </c>
      <c r="AX199">
        <f>701</f>
        <v>701</v>
      </c>
      <c r="AY199">
        <f>679</f>
        <v>679</v>
      </c>
      <c r="AZ199">
        <f>635</f>
        <v>635</v>
      </c>
      <c r="BA199">
        <f>745</f>
        <v>745</v>
      </c>
      <c r="BB199">
        <f>635</f>
        <v>635</v>
      </c>
      <c r="BC199">
        <f>679</f>
        <v>679</v>
      </c>
      <c r="BD199">
        <f>1287</f>
        <v>1287</v>
      </c>
      <c r="BE199">
        <f>960</f>
        <v>960</v>
      </c>
      <c r="BF199">
        <f>888</f>
        <v>888</v>
      </c>
      <c r="BG199">
        <f>845</f>
        <v>845</v>
      </c>
      <c r="BH199">
        <f>687</f>
        <v>687</v>
      </c>
      <c r="BI199">
        <f>585</f>
        <v>585</v>
      </c>
      <c r="BJ199">
        <f>668</f>
        <v>668</v>
      </c>
      <c r="BK199">
        <f>778</f>
        <v>778</v>
      </c>
      <c r="BL199">
        <f>754</f>
        <v>754</v>
      </c>
      <c r="BM199">
        <f>668</f>
        <v>668</v>
      </c>
      <c r="BN199">
        <f>512</f>
        <v>512</v>
      </c>
      <c r="BO199">
        <f>738</f>
        <v>738</v>
      </c>
      <c r="BP199">
        <f>549</f>
        <v>549</v>
      </c>
      <c r="BQ199">
        <f>440</f>
        <v>440</v>
      </c>
      <c r="BR199">
        <f>412</f>
        <v>412</v>
      </c>
      <c r="BS199">
        <f>385</f>
        <v>385</v>
      </c>
      <c r="BT199">
        <f>385</f>
        <v>385</v>
      </c>
      <c r="BU199">
        <f>598</f>
        <v>598</v>
      </c>
      <c r="BV199">
        <f>440</f>
        <v>440</v>
      </c>
      <c r="BW199">
        <f>355</f>
        <v>355</v>
      </c>
      <c r="BX199">
        <f>556</f>
        <v>556</v>
      </c>
      <c r="BY199">
        <f>386</f>
        <v>386</v>
      </c>
      <c r="BZ199">
        <f>367</f>
        <v>367</v>
      </c>
      <c r="CA199">
        <f>338</f>
        <v>338</v>
      </c>
      <c r="CB199">
        <f>494</f>
        <v>494</v>
      </c>
      <c r="CC199">
        <f>455</f>
        <v>455</v>
      </c>
      <c r="CD199">
        <f>461</f>
        <v>461</v>
      </c>
      <c r="CE199">
        <f>272</f>
        <v>272</v>
      </c>
      <c r="CF199">
        <f>503</f>
        <v>503</v>
      </c>
      <c r="CG199">
        <f>507</f>
        <v>507</v>
      </c>
    </row>
    <row r="200" spans="1:85" x14ac:dyDescent="0.25">
      <c r="A200" t="str">
        <f>"    Daimler - Mercedes-Benz"</f>
        <v xml:space="preserve">    Daimler - Mercedes-Benz</v>
      </c>
      <c r="B200" t="str">
        <f>"DAI GR Equity"</f>
        <v>DAI GR Equity</v>
      </c>
      <c r="C200" t="str">
        <f t="shared" si="13"/>
        <v>X1701</v>
      </c>
      <c r="D200" t="str">
        <f t="shared" si="14"/>
        <v>WARDS_RETAIL_SALES_UNITS</v>
      </c>
      <c r="E200" t="str">
        <f t="shared" si="10"/>
        <v>Dynamic</v>
      </c>
      <c r="F200" t="str">
        <f ca="1">IF(AND(ISNUMBER($F$319),$B$294=1),$F$319,HLOOKUP(INDIRECT(ADDRESS(2,COLUMN())),OFFSET($AT$2,0,0,ROW()-1,40),ROW()-1,FALSE))</f>
        <v/>
      </c>
      <c r="G200" t="str">
        <f ca="1">IF(AND(ISNUMBER($G$319),$B$294=1),$G$319,HLOOKUP(INDIRECT(ADDRESS(2,COLUMN())),OFFSET($AT$2,0,0,ROW()-1,40),ROW()-1,FALSE))</f>
        <v/>
      </c>
      <c r="H200" t="str">
        <f ca="1">IF(AND(ISNUMBER($H$319),$B$294=1),$H$319,HLOOKUP(INDIRECT(ADDRESS(2,COLUMN())),OFFSET($AT$2,0,0,ROW()-1,40),ROW()-1,FALSE))</f>
        <v/>
      </c>
      <c r="I200" t="str">
        <f ca="1">IF(AND(ISNUMBER($I$319),$B$294=1),$I$319,HLOOKUP(INDIRECT(ADDRESS(2,COLUMN())),OFFSET($AT$2,0,0,ROW()-1,40),ROW()-1,FALSE))</f>
        <v/>
      </c>
      <c r="J200" t="str">
        <f ca="1">IF(AND(ISNUMBER($J$319),$B$294=1),$J$319,HLOOKUP(INDIRECT(ADDRESS(2,COLUMN())),OFFSET($AT$2,0,0,ROW()-1,40),ROW()-1,FALSE))</f>
        <v/>
      </c>
      <c r="K200" t="str">
        <f ca="1">IF(AND(ISNUMBER($K$319),$B$294=1),$K$319,HLOOKUP(INDIRECT(ADDRESS(2,COLUMN())),OFFSET($AT$2,0,0,ROW()-1,40),ROW()-1,FALSE))</f>
        <v/>
      </c>
      <c r="L200" t="str">
        <f ca="1">IF(AND(ISNUMBER($L$319),$B$294=1),$L$319,HLOOKUP(INDIRECT(ADDRESS(2,COLUMN())),OFFSET($AT$2,0,0,ROW()-1,40),ROW()-1,FALSE))</f>
        <v/>
      </c>
      <c r="M200" t="str">
        <f ca="1">IF(AND(ISNUMBER($M$319),$B$294=1),$M$319,HLOOKUP(INDIRECT(ADDRESS(2,COLUMN())),OFFSET($AT$2,0,0,ROW()-1,40),ROW()-1,FALSE))</f>
        <v/>
      </c>
      <c r="N200" t="str">
        <f ca="1">IF(AND(ISNUMBER($N$319),$B$294=1),$N$319,HLOOKUP(INDIRECT(ADDRESS(2,COLUMN())),OFFSET($AT$2,0,0,ROW()-1,40),ROW()-1,FALSE))</f>
        <v/>
      </c>
      <c r="O200" t="str">
        <f ca="1">IF(AND(ISNUMBER($O$319),$B$294=1),$O$319,HLOOKUP(INDIRECT(ADDRESS(2,COLUMN())),OFFSET($AT$2,0,0,ROW()-1,40),ROW()-1,FALSE))</f>
        <v/>
      </c>
      <c r="P200">
        <f ca="1">IF(AND(ISNUMBER($P$319),$B$294=1),$P$319,HLOOKUP(INDIRECT(ADDRESS(2,COLUMN())),OFFSET($AT$2,0,0,ROW()-1,40),ROW()-1,FALSE))</f>
        <v>130</v>
      </c>
      <c r="Q200">
        <f ca="1">IF(AND(ISNUMBER($Q$319),$B$294=1),$Q$319,HLOOKUP(INDIRECT(ADDRESS(2,COLUMN())),OFFSET($AT$2,0,0,ROW()-1,40),ROW()-1,FALSE))</f>
        <v>97</v>
      </c>
      <c r="R200">
        <f ca="1">IF(AND(ISNUMBER($R$319),$B$294=1),$R$319,HLOOKUP(INDIRECT(ADDRESS(2,COLUMN())),OFFSET($AT$2,0,0,ROW()-1,40),ROW()-1,FALSE))</f>
        <v>90</v>
      </c>
      <c r="S200">
        <f ca="1">IF(AND(ISNUMBER($S$319),$B$294=1),$S$319,HLOOKUP(INDIRECT(ADDRESS(2,COLUMN())),OFFSET($AT$2,0,0,ROW()-1,40),ROW()-1,FALSE))</f>
        <v>85</v>
      </c>
      <c r="T200">
        <f ca="1">IF(AND(ISNUMBER($T$319),$B$294=1),$T$319,HLOOKUP(INDIRECT(ADDRESS(2,COLUMN())),OFFSET($AT$2,0,0,ROW()-1,40),ROW()-1,FALSE))</f>
        <v>70</v>
      </c>
      <c r="U200">
        <f ca="1">IF(AND(ISNUMBER($U$319),$B$294=1),$U$319,HLOOKUP(INDIRECT(ADDRESS(2,COLUMN())),OFFSET($AT$2,0,0,ROW()-1,40),ROW()-1,FALSE))</f>
        <v>59</v>
      </c>
      <c r="V200">
        <f ca="1">IF(AND(ISNUMBER($V$319),$B$294=1),$V$319,HLOOKUP(INDIRECT(ADDRESS(2,COLUMN())),OFFSET($AT$2,0,0,ROW()-1,40),ROW()-1,FALSE))</f>
        <v>68</v>
      </c>
      <c r="W200">
        <f ca="1">IF(AND(ISNUMBER($W$319),$B$294=1),$W$319,HLOOKUP(INDIRECT(ADDRESS(2,COLUMN())),OFFSET($AT$2,0,0,ROW()-1,40),ROW()-1,FALSE))</f>
        <v>79</v>
      </c>
      <c r="X200">
        <f ca="1">IF(AND(ISNUMBER($X$319),$B$294=1),$X$319,HLOOKUP(INDIRECT(ADDRESS(2,COLUMN())),OFFSET($AT$2,0,0,ROW()-1,40),ROW()-1,FALSE))</f>
        <v>76</v>
      </c>
      <c r="Y200">
        <f ca="1">IF(AND(ISNUMBER($Y$319),$B$294=1),$Y$319,HLOOKUP(INDIRECT(ADDRESS(2,COLUMN())),OFFSET($AT$2,0,0,ROW()-1,40),ROW()-1,FALSE))</f>
        <v>68</v>
      </c>
      <c r="Z200">
        <f ca="1">IF(AND(ISNUMBER($Z$319),$B$294=1),$Z$319,HLOOKUP(INDIRECT(ADDRESS(2,COLUMN())),OFFSET($AT$2,0,0,ROW()-1,40),ROW()-1,FALSE))</f>
        <v>52</v>
      </c>
      <c r="AA200">
        <f ca="1">IF(AND(ISNUMBER($AA$319),$B$294=1),$AA$319,HLOOKUP(INDIRECT(ADDRESS(2,COLUMN())),OFFSET($AT$2,0,0,ROW()-1,40),ROW()-1,FALSE))</f>
        <v>75</v>
      </c>
      <c r="AB200">
        <f ca="1">IF(AND(ISNUMBER($AB$319),$B$294=1),$AB$319,HLOOKUP(INDIRECT(ADDRESS(2,COLUMN())),OFFSET($AT$2,0,0,ROW()-1,40),ROW()-1,FALSE))</f>
        <v>171</v>
      </c>
      <c r="AC200">
        <f ca="1">IF(AND(ISNUMBER($AC$319),$B$294=1),$AC$319,HLOOKUP(INDIRECT(ADDRESS(2,COLUMN())),OFFSET($AT$2,0,0,ROW()-1,40),ROW()-1,FALSE))</f>
        <v>137</v>
      </c>
      <c r="AD200">
        <f ca="1">IF(AND(ISNUMBER($AD$319),$B$294=1),$AD$319,HLOOKUP(INDIRECT(ADDRESS(2,COLUMN())),OFFSET($AT$2,0,0,ROW()-1,40),ROW()-1,FALSE))</f>
        <v>128</v>
      </c>
      <c r="AE200">
        <f ca="1">IF(AND(ISNUMBER($AE$319),$B$294=1),$AE$319,HLOOKUP(INDIRECT(ADDRESS(2,COLUMN())),OFFSET($AT$2,0,0,ROW()-1,40),ROW()-1,FALSE))</f>
        <v>119</v>
      </c>
      <c r="AF200">
        <f ca="1">IF(AND(ISNUMBER($AF$319),$B$294=1),$AF$319,HLOOKUP(INDIRECT(ADDRESS(2,COLUMN())),OFFSET($AT$2,0,0,ROW()-1,40),ROW()-1,FALSE))</f>
        <v>119</v>
      </c>
      <c r="AG200">
        <f ca="1">IF(AND(ISNUMBER($AG$319),$B$294=1),$AG$319,HLOOKUP(INDIRECT(ADDRESS(2,COLUMN())),OFFSET($AT$2,0,0,ROW()-1,40),ROW()-1,FALSE))</f>
        <v>133</v>
      </c>
      <c r="AH200">
        <f ca="1">IF(AND(ISNUMBER($AH$319),$B$294=1),$AH$319,HLOOKUP(INDIRECT(ADDRESS(2,COLUMN())),OFFSET($AT$2,0,0,ROW()-1,40),ROW()-1,FALSE))</f>
        <v>47</v>
      </c>
      <c r="AI200">
        <f ca="1">IF(AND(ISNUMBER($AI$319),$B$294=1),$AI$319,HLOOKUP(INDIRECT(ADDRESS(2,COLUMN())),OFFSET($AT$2,0,0,ROW()-1,40),ROW()-1,FALSE))</f>
        <v>27</v>
      </c>
      <c r="AJ200">
        <f ca="1">IF(AND(ISNUMBER($AJ$319),$B$294=1),$AJ$319,HLOOKUP(INDIRECT(ADDRESS(2,COLUMN())),OFFSET($AT$2,0,0,ROW()-1,40),ROW()-1,FALSE))</f>
        <v>25</v>
      </c>
      <c r="AK200">
        <f ca="1">IF(AND(ISNUMBER($AK$319),$B$294=1),$AK$319,HLOOKUP(INDIRECT(ADDRESS(2,COLUMN())),OFFSET($AT$2,0,0,ROW()-1,40),ROW()-1,FALSE))</f>
        <v>2</v>
      </c>
      <c r="AL200">
        <f ca="1">IF(AND(ISNUMBER($AL$319),$B$294=1),$AL$319,HLOOKUP(INDIRECT(ADDRESS(2,COLUMN())),OFFSET($AT$2,0,0,ROW()-1,40),ROW()-1,FALSE))</f>
        <v>6</v>
      </c>
      <c r="AM200">
        <f ca="1">IF(AND(ISNUMBER($AM$319),$B$294=1),$AM$319,HLOOKUP(INDIRECT(ADDRESS(2,COLUMN())),OFFSET($AT$2,0,0,ROW()-1,40),ROW()-1,FALSE))</f>
        <v>68</v>
      </c>
      <c r="AN200">
        <f ca="1">IF(AND(ISNUMBER($AN$319),$B$294=1),$AN$319,HLOOKUP(INDIRECT(ADDRESS(2,COLUMN())),OFFSET($AT$2,0,0,ROW()-1,40),ROW()-1,FALSE))</f>
        <v>217</v>
      </c>
      <c r="AO200">
        <f ca="1">IF(AND(ISNUMBER($AO$319),$B$294=1),$AO$319,HLOOKUP(INDIRECT(ADDRESS(2,COLUMN())),OFFSET($AT$2,0,0,ROW()-1,40),ROW()-1,FALSE))</f>
        <v>204</v>
      </c>
      <c r="AP200">
        <f ca="1">IF(AND(ISNUMBER($AP$319),$B$294=1),$AP$319,HLOOKUP(INDIRECT(ADDRESS(2,COLUMN())),OFFSET($AT$2,0,0,ROW()-1,40),ROW()-1,FALSE))</f>
        <v>206</v>
      </c>
      <c r="AQ200">
        <f ca="1">IF(AND(ISNUMBER($AQ$319),$B$294=1),$AQ$319,HLOOKUP(INDIRECT(ADDRESS(2,COLUMN())),OFFSET($AT$2,0,0,ROW()-1,40),ROW()-1,FALSE))</f>
        <v>68</v>
      </c>
      <c r="AR200">
        <f ca="1">IF(AND(ISNUMBER($AR$319),$B$294=1),$AR$319,HLOOKUP(INDIRECT(ADDRESS(2,COLUMN())),OFFSET($AT$2,0,0,ROW()-1,40),ROW()-1,FALSE))</f>
        <v>92</v>
      </c>
      <c r="AS200">
        <f ca="1">IF(AND(ISNUMBER($AS$319),$B$294=1),$AS$319,HLOOKUP(INDIRECT(ADDRESS(2,COLUMN())),OFFSET($AT$2,0,0,ROW()-1,40),ROW()-1,FALSE))</f>
        <v>16</v>
      </c>
      <c r="AT200" t="str">
        <f>""</f>
        <v/>
      </c>
      <c r="AU200" t="str">
        <f>""</f>
        <v/>
      </c>
      <c r="AV200" t="str">
        <f>""</f>
        <v/>
      </c>
      <c r="AW200" t="str">
        <f>""</f>
        <v/>
      </c>
      <c r="AX200" t="str">
        <f>""</f>
        <v/>
      </c>
      <c r="AY200" t="str">
        <f>""</f>
        <v/>
      </c>
      <c r="AZ200" t="str">
        <f>""</f>
        <v/>
      </c>
      <c r="BA200" t="str">
        <f>""</f>
        <v/>
      </c>
      <c r="BB200" t="str">
        <f>""</f>
        <v/>
      </c>
      <c r="BC200" t="str">
        <f>""</f>
        <v/>
      </c>
      <c r="BD200">
        <f>130</f>
        <v>130</v>
      </c>
      <c r="BE200">
        <f>97</f>
        <v>97</v>
      </c>
      <c r="BF200">
        <f>90</f>
        <v>90</v>
      </c>
      <c r="BG200">
        <f>85</f>
        <v>85</v>
      </c>
      <c r="BH200">
        <f>70</f>
        <v>70</v>
      </c>
      <c r="BI200">
        <f>59</f>
        <v>59</v>
      </c>
      <c r="BJ200">
        <f>68</f>
        <v>68</v>
      </c>
      <c r="BK200">
        <f>79</f>
        <v>79</v>
      </c>
      <c r="BL200">
        <f>76</f>
        <v>76</v>
      </c>
      <c r="BM200">
        <f>68</f>
        <v>68</v>
      </c>
      <c r="BN200">
        <f>52</f>
        <v>52</v>
      </c>
      <c r="BO200">
        <f>75</f>
        <v>75</v>
      </c>
      <c r="BP200">
        <f>171</f>
        <v>171</v>
      </c>
      <c r="BQ200">
        <f>137</f>
        <v>137</v>
      </c>
      <c r="BR200">
        <f>128</f>
        <v>128</v>
      </c>
      <c r="BS200">
        <f>119</f>
        <v>119</v>
      </c>
      <c r="BT200">
        <f>119</f>
        <v>119</v>
      </c>
      <c r="BU200">
        <f>133</f>
        <v>133</v>
      </c>
      <c r="BV200">
        <f>47</f>
        <v>47</v>
      </c>
      <c r="BW200">
        <f>27</f>
        <v>27</v>
      </c>
      <c r="BX200">
        <f>25</f>
        <v>25</v>
      </c>
      <c r="BY200">
        <f>2</f>
        <v>2</v>
      </c>
      <c r="BZ200">
        <f>6</f>
        <v>6</v>
      </c>
      <c r="CA200">
        <f>68</f>
        <v>68</v>
      </c>
      <c r="CB200">
        <f>217</f>
        <v>217</v>
      </c>
      <c r="CC200">
        <f>204</f>
        <v>204</v>
      </c>
      <c r="CD200">
        <f>206</f>
        <v>206</v>
      </c>
      <c r="CE200">
        <f>68</f>
        <v>68</v>
      </c>
      <c r="CF200">
        <f>92</f>
        <v>92</v>
      </c>
      <c r="CG200">
        <f>16</f>
        <v>16</v>
      </c>
    </row>
    <row r="201" spans="1:85" x14ac:dyDescent="0.25">
      <c r="A201" t="str">
        <f>"    Daimler - Sterling"</f>
        <v xml:space="preserve">    Daimler - Sterling</v>
      </c>
      <c r="B201" t="str">
        <f>"DAI GR Equity"</f>
        <v>DAI GR Equity</v>
      </c>
      <c r="C201" t="str">
        <f t="shared" si="13"/>
        <v>X1701</v>
      </c>
      <c r="D201" t="str">
        <f t="shared" si="14"/>
        <v>WARDS_RETAIL_SALES_UNITS</v>
      </c>
      <c r="E201" t="str">
        <f t="shared" si="10"/>
        <v>Dynamic</v>
      </c>
      <c r="F201" t="str">
        <f ca="1">IF(AND(ISNUMBER($F$320),$B$294=1),$F$320,HLOOKUP(INDIRECT(ADDRESS(2,COLUMN())),OFFSET($AT$2,0,0,ROW()-1,40),ROW()-1,FALSE))</f>
        <v/>
      </c>
      <c r="G201" t="str">
        <f ca="1">IF(AND(ISNUMBER($G$320),$B$294=1),$G$320,HLOOKUP(INDIRECT(ADDRESS(2,COLUMN())),OFFSET($AT$2,0,0,ROW()-1,40),ROW()-1,FALSE))</f>
        <v/>
      </c>
      <c r="H201" t="str">
        <f ca="1">IF(AND(ISNUMBER($H$320),$B$294=1),$H$320,HLOOKUP(INDIRECT(ADDRESS(2,COLUMN())),OFFSET($AT$2,0,0,ROW()-1,40),ROW()-1,FALSE))</f>
        <v/>
      </c>
      <c r="I201" t="str">
        <f ca="1">IF(AND(ISNUMBER($I$320),$B$294=1),$I$320,HLOOKUP(INDIRECT(ADDRESS(2,COLUMN())),OFFSET($AT$2,0,0,ROW()-1,40),ROW()-1,FALSE))</f>
        <v/>
      </c>
      <c r="J201" t="str">
        <f ca="1">IF(AND(ISNUMBER($J$320),$B$294=1),$J$320,HLOOKUP(INDIRECT(ADDRESS(2,COLUMN())),OFFSET($AT$2,0,0,ROW()-1,40),ROW()-1,FALSE))</f>
        <v/>
      </c>
      <c r="K201" t="str">
        <f ca="1">IF(AND(ISNUMBER($K$320),$B$294=1),$K$320,HLOOKUP(INDIRECT(ADDRESS(2,COLUMN())),OFFSET($AT$2,0,0,ROW()-1,40),ROW()-1,FALSE))</f>
        <v/>
      </c>
      <c r="L201" t="str">
        <f ca="1">IF(AND(ISNUMBER($L$320),$B$294=1),$L$320,HLOOKUP(INDIRECT(ADDRESS(2,COLUMN())),OFFSET($AT$2,0,0,ROW()-1,40),ROW()-1,FALSE))</f>
        <v/>
      </c>
      <c r="M201" t="str">
        <f ca="1">IF(AND(ISNUMBER($M$320),$B$294=1),$M$320,HLOOKUP(INDIRECT(ADDRESS(2,COLUMN())),OFFSET($AT$2,0,0,ROW()-1,40),ROW()-1,FALSE))</f>
        <v/>
      </c>
      <c r="N201" t="str">
        <f ca="1">IF(AND(ISNUMBER($N$320),$B$294=1),$N$320,HLOOKUP(INDIRECT(ADDRESS(2,COLUMN())),OFFSET($AT$2,0,0,ROW()-1,40),ROW()-1,FALSE))</f>
        <v/>
      </c>
      <c r="O201" t="str">
        <f ca="1">IF(AND(ISNUMBER($O$320),$B$294=1),$O$320,HLOOKUP(INDIRECT(ADDRESS(2,COLUMN())),OFFSET($AT$2,0,0,ROW()-1,40),ROW()-1,FALSE))</f>
        <v/>
      </c>
      <c r="P201" t="str">
        <f ca="1">IF(AND(ISNUMBER($P$320),$B$294=1),$P$320,HLOOKUP(INDIRECT(ADDRESS(2,COLUMN())),OFFSET($AT$2,0,0,ROW()-1,40),ROW()-1,FALSE))</f>
        <v/>
      </c>
      <c r="Q201" t="str">
        <f ca="1">IF(AND(ISNUMBER($Q$320),$B$294=1),$Q$320,HLOOKUP(INDIRECT(ADDRESS(2,COLUMN())),OFFSET($AT$2,0,0,ROW()-1,40),ROW()-1,FALSE))</f>
        <v/>
      </c>
      <c r="R201" t="str">
        <f ca="1">IF(AND(ISNUMBER($R$320),$B$294=1),$R$320,HLOOKUP(INDIRECT(ADDRESS(2,COLUMN())),OFFSET($AT$2,0,0,ROW()-1,40),ROW()-1,FALSE))</f>
        <v/>
      </c>
      <c r="S201" t="str">
        <f ca="1">IF(AND(ISNUMBER($S$320),$B$294=1),$S$320,HLOOKUP(INDIRECT(ADDRESS(2,COLUMN())),OFFSET($AT$2,0,0,ROW()-1,40),ROW()-1,FALSE))</f>
        <v/>
      </c>
      <c r="T201" t="str">
        <f ca="1">IF(AND(ISNUMBER($T$320),$B$294=1),$T$320,HLOOKUP(INDIRECT(ADDRESS(2,COLUMN())),OFFSET($AT$2,0,0,ROW()-1,40),ROW()-1,FALSE))</f>
        <v/>
      </c>
      <c r="U201" t="str">
        <f ca="1">IF(AND(ISNUMBER($U$320),$B$294=1),$U$320,HLOOKUP(INDIRECT(ADDRESS(2,COLUMN())),OFFSET($AT$2,0,0,ROW()-1,40),ROW()-1,FALSE))</f>
        <v/>
      </c>
      <c r="V201" t="str">
        <f ca="1">IF(AND(ISNUMBER($V$320),$B$294=1),$V$320,HLOOKUP(INDIRECT(ADDRESS(2,COLUMN())),OFFSET($AT$2,0,0,ROW()-1,40),ROW()-1,FALSE))</f>
        <v/>
      </c>
      <c r="W201" t="str">
        <f ca="1">IF(AND(ISNUMBER($W$320),$B$294=1),$W$320,HLOOKUP(INDIRECT(ADDRESS(2,COLUMN())),OFFSET($AT$2,0,0,ROW()-1,40),ROW()-1,FALSE))</f>
        <v/>
      </c>
      <c r="X201" t="str">
        <f ca="1">IF(AND(ISNUMBER($X$320),$B$294=1),$X$320,HLOOKUP(INDIRECT(ADDRESS(2,COLUMN())),OFFSET($AT$2,0,0,ROW()-1,40),ROW()-1,FALSE))</f>
        <v/>
      </c>
      <c r="Y201" t="str">
        <f ca="1">IF(AND(ISNUMBER($Y$320),$B$294=1),$Y$320,HLOOKUP(INDIRECT(ADDRESS(2,COLUMN())),OFFSET($AT$2,0,0,ROW()-1,40),ROW()-1,FALSE))</f>
        <v/>
      </c>
      <c r="Z201" t="str">
        <f ca="1">IF(AND(ISNUMBER($Z$320),$B$294=1),$Z$320,HLOOKUP(INDIRECT(ADDRESS(2,COLUMN())),OFFSET($AT$2,0,0,ROW()-1,40),ROW()-1,FALSE))</f>
        <v/>
      </c>
      <c r="AA201" t="str">
        <f ca="1">IF(AND(ISNUMBER($AA$320),$B$294=1),$AA$320,HLOOKUP(INDIRECT(ADDRESS(2,COLUMN())),OFFSET($AT$2,0,0,ROW()-1,40),ROW()-1,FALSE))</f>
        <v/>
      </c>
      <c r="AB201" t="str">
        <f ca="1">IF(AND(ISNUMBER($AB$320),$B$294=1),$AB$320,HLOOKUP(INDIRECT(ADDRESS(2,COLUMN())),OFFSET($AT$2,0,0,ROW()-1,40),ROW()-1,FALSE))</f>
        <v/>
      </c>
      <c r="AC201" t="str">
        <f ca="1">IF(AND(ISNUMBER($AC$320),$B$294=1),$AC$320,HLOOKUP(INDIRECT(ADDRESS(2,COLUMN())),OFFSET($AT$2,0,0,ROW()-1,40),ROW()-1,FALSE))</f>
        <v/>
      </c>
      <c r="AD201" t="str">
        <f ca="1">IF(AND(ISNUMBER($AD$320),$B$294=1),$AD$320,HLOOKUP(INDIRECT(ADDRESS(2,COLUMN())),OFFSET($AT$2,0,0,ROW()-1,40),ROW()-1,FALSE))</f>
        <v/>
      </c>
      <c r="AE201" t="str">
        <f ca="1">IF(AND(ISNUMBER($AE$320),$B$294=1),$AE$320,HLOOKUP(INDIRECT(ADDRESS(2,COLUMN())),OFFSET($AT$2,0,0,ROW()-1,40),ROW()-1,FALSE))</f>
        <v/>
      </c>
      <c r="AF201" t="str">
        <f ca="1">IF(AND(ISNUMBER($AF$320),$B$294=1),$AF$320,HLOOKUP(INDIRECT(ADDRESS(2,COLUMN())),OFFSET($AT$2,0,0,ROW()-1,40),ROW()-1,FALSE))</f>
        <v/>
      </c>
      <c r="AG201" t="str">
        <f ca="1">IF(AND(ISNUMBER($AG$320),$B$294=1),$AG$320,HLOOKUP(INDIRECT(ADDRESS(2,COLUMN())),OFFSET($AT$2,0,0,ROW()-1,40),ROW()-1,FALSE))</f>
        <v/>
      </c>
      <c r="AH201" t="str">
        <f ca="1">IF(AND(ISNUMBER($AH$320),$B$294=1),$AH$320,HLOOKUP(INDIRECT(ADDRESS(2,COLUMN())),OFFSET($AT$2,0,0,ROW()-1,40),ROW()-1,FALSE))</f>
        <v/>
      </c>
      <c r="AI201" t="str">
        <f ca="1">IF(AND(ISNUMBER($AI$320),$B$294=1),$AI$320,HLOOKUP(INDIRECT(ADDRESS(2,COLUMN())),OFFSET($AT$2,0,0,ROW()-1,40),ROW()-1,FALSE))</f>
        <v/>
      </c>
      <c r="AJ201" t="str">
        <f ca="1">IF(AND(ISNUMBER($AJ$320),$B$294=1),$AJ$320,HLOOKUP(INDIRECT(ADDRESS(2,COLUMN())),OFFSET($AT$2,0,0,ROW()-1,40),ROW()-1,FALSE))</f>
        <v/>
      </c>
      <c r="AK201" t="str">
        <f ca="1">IF(AND(ISNUMBER($AK$320),$B$294=1),$AK$320,HLOOKUP(INDIRECT(ADDRESS(2,COLUMN())),OFFSET($AT$2,0,0,ROW()-1,40),ROW()-1,FALSE))</f>
        <v/>
      </c>
      <c r="AL201" t="str">
        <f ca="1">IF(AND(ISNUMBER($AL$320),$B$294=1),$AL$320,HLOOKUP(INDIRECT(ADDRESS(2,COLUMN())),OFFSET($AT$2,0,0,ROW()-1,40),ROW()-1,FALSE))</f>
        <v/>
      </c>
      <c r="AM201" t="str">
        <f ca="1">IF(AND(ISNUMBER($AM$320),$B$294=1),$AM$320,HLOOKUP(INDIRECT(ADDRESS(2,COLUMN())),OFFSET($AT$2,0,0,ROW()-1,40),ROW()-1,FALSE))</f>
        <v/>
      </c>
      <c r="AN201" t="str">
        <f ca="1">IF(AND(ISNUMBER($AN$320),$B$294=1),$AN$320,HLOOKUP(INDIRECT(ADDRESS(2,COLUMN())),OFFSET($AT$2,0,0,ROW()-1,40),ROW()-1,FALSE))</f>
        <v/>
      </c>
      <c r="AO201" t="str">
        <f ca="1">IF(AND(ISNUMBER($AO$320),$B$294=1),$AO$320,HLOOKUP(INDIRECT(ADDRESS(2,COLUMN())),OFFSET($AT$2,0,0,ROW()-1,40),ROW()-1,FALSE))</f>
        <v/>
      </c>
      <c r="AP201" t="str">
        <f ca="1">IF(AND(ISNUMBER($AP$320),$B$294=1),$AP$320,HLOOKUP(INDIRECT(ADDRESS(2,COLUMN())),OFFSET($AT$2,0,0,ROW()-1,40),ROW()-1,FALSE))</f>
        <v/>
      </c>
      <c r="AQ201" t="str">
        <f ca="1">IF(AND(ISNUMBER($AQ$320),$B$294=1),$AQ$320,HLOOKUP(INDIRECT(ADDRESS(2,COLUMN())),OFFSET($AT$2,0,0,ROW()-1,40),ROW()-1,FALSE))</f>
        <v/>
      </c>
      <c r="AR201" t="str">
        <f ca="1">IF(AND(ISNUMBER($AR$320),$B$294=1),$AR$320,HLOOKUP(INDIRECT(ADDRESS(2,COLUMN())),OFFSET($AT$2,0,0,ROW()-1,40),ROW()-1,FALSE))</f>
        <v/>
      </c>
      <c r="AS201" t="str">
        <f ca="1">IF(AND(ISNUMBER($AS$320),$B$294=1),$AS$320,HLOOKUP(INDIRECT(ADDRESS(2,COLUMN())),OFFSET($AT$2,0,0,ROW()-1,40),ROW()-1,FALSE))</f>
        <v/>
      </c>
      <c r="AT201" t="str">
        <f>""</f>
        <v/>
      </c>
      <c r="AU201" t="str">
        <f>""</f>
        <v/>
      </c>
      <c r="AV201" t="str">
        <f>""</f>
        <v/>
      </c>
      <c r="AW201" t="str">
        <f>""</f>
        <v/>
      </c>
      <c r="AX201" t="str">
        <f>""</f>
        <v/>
      </c>
      <c r="AY201" t="str">
        <f>""</f>
        <v/>
      </c>
      <c r="AZ201" t="str">
        <f>""</f>
        <v/>
      </c>
      <c r="BA201" t="str">
        <f>""</f>
        <v/>
      </c>
      <c r="BB201" t="str">
        <f>""</f>
        <v/>
      </c>
      <c r="BC201" t="str">
        <f>""</f>
        <v/>
      </c>
      <c r="BD201" t="str">
        <f>""</f>
        <v/>
      </c>
      <c r="BE201" t="str">
        <f>""</f>
        <v/>
      </c>
      <c r="BF201" t="str">
        <f>""</f>
        <v/>
      </c>
      <c r="BG201" t="str">
        <f>""</f>
        <v/>
      </c>
      <c r="BH201" t="str">
        <f>""</f>
        <v/>
      </c>
      <c r="BI201" t="str">
        <f>""</f>
        <v/>
      </c>
      <c r="BJ201" t="str">
        <f>""</f>
        <v/>
      </c>
      <c r="BK201" t="str">
        <f>""</f>
        <v/>
      </c>
      <c r="BL201" t="str">
        <f>""</f>
        <v/>
      </c>
      <c r="BM201" t="str">
        <f>""</f>
        <v/>
      </c>
      <c r="BN201" t="str">
        <f>""</f>
        <v/>
      </c>
      <c r="BO201" t="str">
        <f>""</f>
        <v/>
      </c>
      <c r="BP201" t="str">
        <f>""</f>
        <v/>
      </c>
      <c r="BQ201" t="str">
        <f>""</f>
        <v/>
      </c>
      <c r="BR201" t="str">
        <f>""</f>
        <v/>
      </c>
      <c r="BS201" t="str">
        <f>""</f>
        <v/>
      </c>
      <c r="BT201" t="str">
        <f>""</f>
        <v/>
      </c>
      <c r="BU201" t="str">
        <f>""</f>
        <v/>
      </c>
      <c r="BV201" t="str">
        <f>""</f>
        <v/>
      </c>
      <c r="BW201" t="str">
        <f>""</f>
        <v/>
      </c>
      <c r="BX201" t="str">
        <f>""</f>
        <v/>
      </c>
      <c r="BY201" t="str">
        <f>""</f>
        <v/>
      </c>
      <c r="BZ201" t="str">
        <f>""</f>
        <v/>
      </c>
      <c r="CA201" t="str">
        <f>""</f>
        <v/>
      </c>
      <c r="CB201" t="str">
        <f>""</f>
        <v/>
      </c>
      <c r="CC201" t="str">
        <f>""</f>
        <v/>
      </c>
      <c r="CD201" t="str">
        <f>""</f>
        <v/>
      </c>
      <c r="CE201" t="str">
        <f>""</f>
        <v/>
      </c>
      <c r="CF201" t="str">
        <f>""</f>
        <v/>
      </c>
      <c r="CG201" t="str">
        <f>""</f>
        <v/>
      </c>
    </row>
    <row r="202" spans="1:85" x14ac:dyDescent="0.25">
      <c r="A202" t="str">
        <f>"    Volvo - Volvo Truck"</f>
        <v xml:space="preserve">    Volvo - Volvo Truck</v>
      </c>
      <c r="B202" t="str">
        <f>"VOLVB SS Equity"</f>
        <v>VOLVB SS Equity</v>
      </c>
      <c r="C202" t="str">
        <f t="shared" si="13"/>
        <v>X1701</v>
      </c>
      <c r="D202" t="str">
        <f t="shared" si="14"/>
        <v>WARDS_RETAIL_SALES_UNITS</v>
      </c>
      <c r="E202" t="str">
        <f t="shared" si="10"/>
        <v>Dynamic</v>
      </c>
      <c r="F202">
        <f ca="1">IF(AND(ISNUMBER($F$321),$B$294=1),$F$321,HLOOKUP(INDIRECT(ADDRESS(2,COLUMN())),OFFSET($AT$2,0,0,ROW()-1,40),ROW()-1,FALSE))</f>
        <v>34</v>
      </c>
      <c r="G202">
        <f ca="1">IF(AND(ISNUMBER($G$321),$B$294=1),$G$321,HLOOKUP(INDIRECT(ADDRESS(2,COLUMN())),OFFSET($AT$2,0,0,ROW()-1,40),ROW()-1,FALSE))</f>
        <v>34</v>
      </c>
      <c r="H202">
        <f ca="1">IF(AND(ISNUMBER($H$321),$B$294=1),$H$321,HLOOKUP(INDIRECT(ADDRESS(2,COLUMN())),OFFSET($AT$2,0,0,ROW()-1,40),ROW()-1,FALSE))</f>
        <v>15</v>
      </c>
      <c r="I202">
        <f ca="1">IF(AND(ISNUMBER($I$321),$B$294=1),$I$321,HLOOKUP(INDIRECT(ADDRESS(2,COLUMN())),OFFSET($AT$2,0,0,ROW()-1,40),ROW()-1,FALSE))</f>
        <v>27</v>
      </c>
      <c r="J202">
        <f ca="1">IF(AND(ISNUMBER($J$321),$B$294=1),$J$321,HLOOKUP(INDIRECT(ADDRESS(2,COLUMN())),OFFSET($AT$2,0,0,ROW()-1,40),ROW()-1,FALSE))</f>
        <v>36</v>
      </c>
      <c r="K202">
        <f ca="1">IF(AND(ISNUMBER($K$321),$B$294=1),$K$321,HLOOKUP(INDIRECT(ADDRESS(2,COLUMN())),OFFSET($AT$2,0,0,ROW()-1,40),ROW()-1,FALSE))</f>
        <v>48</v>
      </c>
      <c r="L202">
        <f ca="1">IF(AND(ISNUMBER($L$321),$B$294=1),$L$321,HLOOKUP(INDIRECT(ADDRESS(2,COLUMN())),OFFSET($AT$2,0,0,ROW()-1,40),ROW()-1,FALSE))</f>
        <v>40</v>
      </c>
      <c r="M202">
        <f ca="1">IF(AND(ISNUMBER($M$321),$B$294=1),$M$321,HLOOKUP(INDIRECT(ADDRESS(2,COLUMN())),OFFSET($AT$2,0,0,ROW()-1,40),ROW()-1,FALSE))</f>
        <v>92</v>
      </c>
      <c r="N202">
        <f ca="1">IF(AND(ISNUMBER($N$321),$B$294=1),$N$321,HLOOKUP(INDIRECT(ADDRESS(2,COLUMN())),OFFSET($AT$2,0,0,ROW()-1,40),ROW()-1,FALSE))</f>
        <v>78</v>
      </c>
      <c r="O202">
        <f ca="1">IF(AND(ISNUMBER($O$321),$B$294=1),$O$321,HLOOKUP(INDIRECT(ADDRESS(2,COLUMN())),OFFSET($AT$2,0,0,ROW()-1,40),ROW()-1,FALSE))</f>
        <v>39</v>
      </c>
      <c r="P202">
        <f ca="1">IF(AND(ISNUMBER($P$321),$B$294=1),$P$321,HLOOKUP(INDIRECT(ADDRESS(2,COLUMN())),OFFSET($AT$2,0,0,ROW()-1,40),ROW()-1,FALSE))</f>
        <v>76</v>
      </c>
      <c r="Q202">
        <f ca="1">IF(AND(ISNUMBER($Q$321),$B$294=1),$Q$321,HLOOKUP(INDIRECT(ADDRESS(2,COLUMN())),OFFSET($AT$2,0,0,ROW()-1,40),ROW()-1,FALSE))</f>
        <v>53</v>
      </c>
      <c r="R202">
        <f ca="1">IF(AND(ISNUMBER($R$321),$B$294=1),$R$321,HLOOKUP(INDIRECT(ADDRESS(2,COLUMN())),OFFSET($AT$2,0,0,ROW()-1,40),ROW()-1,FALSE))</f>
        <v>47</v>
      </c>
      <c r="S202">
        <f ca="1">IF(AND(ISNUMBER($S$321),$B$294=1),$S$321,HLOOKUP(INDIRECT(ADDRESS(2,COLUMN())),OFFSET($AT$2,0,0,ROW()-1,40),ROW()-1,FALSE))</f>
        <v>31</v>
      </c>
      <c r="T202">
        <f ca="1">IF(AND(ISNUMBER($T$321),$B$294=1),$T$321,HLOOKUP(INDIRECT(ADDRESS(2,COLUMN())),OFFSET($AT$2,0,0,ROW()-1,40),ROW()-1,FALSE))</f>
        <v>79</v>
      </c>
      <c r="U202">
        <f ca="1">IF(AND(ISNUMBER($U$321),$B$294=1),$U$321,HLOOKUP(INDIRECT(ADDRESS(2,COLUMN())),OFFSET($AT$2,0,0,ROW()-1,40),ROW()-1,FALSE))</f>
        <v>33</v>
      </c>
      <c r="V202">
        <f ca="1">IF(AND(ISNUMBER($V$321),$B$294=1),$V$321,HLOOKUP(INDIRECT(ADDRESS(2,COLUMN())),OFFSET($AT$2,0,0,ROW()-1,40),ROW()-1,FALSE))</f>
        <v>35</v>
      </c>
      <c r="W202">
        <f ca="1">IF(AND(ISNUMBER($W$321),$B$294=1),$W$321,HLOOKUP(INDIRECT(ADDRESS(2,COLUMN())),OFFSET($AT$2,0,0,ROW()-1,40),ROW()-1,FALSE))</f>
        <v>57</v>
      </c>
      <c r="X202">
        <f ca="1">IF(AND(ISNUMBER($X$321),$B$294=1),$X$321,HLOOKUP(INDIRECT(ADDRESS(2,COLUMN())),OFFSET($AT$2,0,0,ROW()-1,40),ROW()-1,FALSE))</f>
        <v>62</v>
      </c>
      <c r="Y202">
        <f ca="1">IF(AND(ISNUMBER($Y$321),$B$294=1),$Y$321,HLOOKUP(INDIRECT(ADDRESS(2,COLUMN())),OFFSET($AT$2,0,0,ROW()-1,40),ROW()-1,FALSE))</f>
        <v>98</v>
      </c>
      <c r="Z202">
        <f ca="1">IF(AND(ISNUMBER($Z$321),$B$294=1),$Z$321,HLOOKUP(INDIRECT(ADDRESS(2,COLUMN())),OFFSET($AT$2,0,0,ROW()-1,40),ROW()-1,FALSE))</f>
        <v>30</v>
      </c>
      <c r="AA202">
        <f ca="1">IF(AND(ISNUMBER($AA$321),$B$294=1),$AA$321,HLOOKUP(INDIRECT(ADDRESS(2,COLUMN())),OFFSET($AT$2,0,0,ROW()-1,40),ROW()-1,FALSE))</f>
        <v>21</v>
      </c>
      <c r="AB202">
        <f ca="1">IF(AND(ISNUMBER($AB$321),$B$294=1),$AB$321,HLOOKUP(INDIRECT(ADDRESS(2,COLUMN())),OFFSET($AT$2,0,0,ROW()-1,40),ROW()-1,FALSE))</f>
        <v>210</v>
      </c>
      <c r="AC202">
        <f ca="1">IF(AND(ISNUMBER($AC$321),$B$294=1),$AC$321,HLOOKUP(INDIRECT(ADDRESS(2,COLUMN())),OFFSET($AT$2,0,0,ROW()-1,40),ROW()-1,FALSE))</f>
        <v>105</v>
      </c>
      <c r="AD202">
        <f ca="1">IF(AND(ISNUMBER($AD$321),$B$294=1),$AD$321,HLOOKUP(INDIRECT(ADDRESS(2,COLUMN())),OFFSET($AT$2,0,0,ROW()-1,40),ROW()-1,FALSE))</f>
        <v>48</v>
      </c>
      <c r="AE202">
        <f ca="1">IF(AND(ISNUMBER($AE$321),$B$294=1),$AE$321,HLOOKUP(INDIRECT(ADDRESS(2,COLUMN())),OFFSET($AT$2,0,0,ROW()-1,40),ROW()-1,FALSE))</f>
        <v>70</v>
      </c>
      <c r="AF202">
        <f ca="1">IF(AND(ISNUMBER($AF$321),$B$294=1),$AF$321,HLOOKUP(INDIRECT(ADDRESS(2,COLUMN())),OFFSET($AT$2,0,0,ROW()-1,40),ROW()-1,FALSE))</f>
        <v>78</v>
      </c>
      <c r="AG202">
        <f ca="1">IF(AND(ISNUMBER($AG$321),$B$294=1),$AG$321,HLOOKUP(INDIRECT(ADDRESS(2,COLUMN())),OFFSET($AT$2,0,0,ROW()-1,40),ROW()-1,FALSE))</f>
        <v>84</v>
      </c>
      <c r="AH202">
        <f ca="1">IF(AND(ISNUMBER($AH$321),$B$294=1),$AH$321,HLOOKUP(INDIRECT(ADDRESS(2,COLUMN())),OFFSET($AT$2,0,0,ROW()-1,40),ROW()-1,FALSE))</f>
        <v>75</v>
      </c>
      <c r="AI202">
        <f ca="1">IF(AND(ISNUMBER($AI$321),$B$294=1),$AI$321,HLOOKUP(INDIRECT(ADDRESS(2,COLUMN())),OFFSET($AT$2,0,0,ROW()-1,40),ROW()-1,FALSE))</f>
        <v>221</v>
      </c>
      <c r="AJ202">
        <f ca="1">IF(AND(ISNUMBER($AJ$321),$B$294=1),$AJ$321,HLOOKUP(INDIRECT(ADDRESS(2,COLUMN())),OFFSET($AT$2,0,0,ROW()-1,40),ROW()-1,FALSE))</f>
        <v>19</v>
      </c>
      <c r="AK202">
        <f ca="1">IF(AND(ISNUMBER($AK$321),$B$294=1),$AK$321,HLOOKUP(INDIRECT(ADDRESS(2,COLUMN())),OFFSET($AT$2,0,0,ROW()-1,40),ROW()-1,FALSE))</f>
        <v>29</v>
      </c>
      <c r="AL202">
        <f ca="1">IF(AND(ISNUMBER($AL$321),$B$294=1),$AL$321,HLOOKUP(INDIRECT(ADDRESS(2,COLUMN())),OFFSET($AT$2,0,0,ROW()-1,40),ROW()-1,FALSE))</f>
        <v>135</v>
      </c>
      <c r="AM202">
        <f ca="1">IF(AND(ISNUMBER($AM$321),$B$294=1),$AM$321,HLOOKUP(INDIRECT(ADDRESS(2,COLUMN())),OFFSET($AT$2,0,0,ROW()-1,40),ROW()-1,FALSE))</f>
        <v>52</v>
      </c>
      <c r="AN202">
        <f ca="1">IF(AND(ISNUMBER($AN$321),$B$294=1),$AN$321,HLOOKUP(INDIRECT(ADDRESS(2,COLUMN())),OFFSET($AT$2,0,0,ROW()-1,40),ROW()-1,FALSE))</f>
        <v>82</v>
      </c>
      <c r="AO202">
        <f ca="1">IF(AND(ISNUMBER($AO$321),$B$294=1),$AO$321,HLOOKUP(INDIRECT(ADDRESS(2,COLUMN())),OFFSET($AT$2,0,0,ROW()-1,40),ROW()-1,FALSE))</f>
        <v>75</v>
      </c>
      <c r="AP202">
        <f ca="1">IF(AND(ISNUMBER($AP$321),$B$294=1),$AP$321,HLOOKUP(INDIRECT(ADDRESS(2,COLUMN())),OFFSET($AT$2,0,0,ROW()-1,40),ROW()-1,FALSE))</f>
        <v>76</v>
      </c>
      <c r="AQ202">
        <f ca="1">IF(AND(ISNUMBER($AQ$321),$B$294=1),$AQ$321,HLOOKUP(INDIRECT(ADDRESS(2,COLUMN())),OFFSET($AT$2,0,0,ROW()-1,40),ROW()-1,FALSE))</f>
        <v>83</v>
      </c>
      <c r="AR202">
        <f ca="1">IF(AND(ISNUMBER($AR$321),$B$294=1),$AR$321,HLOOKUP(INDIRECT(ADDRESS(2,COLUMN())),OFFSET($AT$2,0,0,ROW()-1,40),ROW()-1,FALSE))</f>
        <v>115</v>
      </c>
      <c r="AS202">
        <f ca="1">IF(AND(ISNUMBER($AS$321),$B$294=1),$AS$321,HLOOKUP(INDIRECT(ADDRESS(2,COLUMN())),OFFSET($AT$2,0,0,ROW()-1,40),ROW()-1,FALSE))</f>
        <v>120</v>
      </c>
      <c r="AT202">
        <f>34</f>
        <v>34</v>
      </c>
      <c r="AU202">
        <f>34</f>
        <v>34</v>
      </c>
      <c r="AV202">
        <f>15</f>
        <v>15</v>
      </c>
      <c r="AW202">
        <f>27</f>
        <v>27</v>
      </c>
      <c r="AX202">
        <f>36</f>
        <v>36</v>
      </c>
      <c r="AY202">
        <f>48</f>
        <v>48</v>
      </c>
      <c r="AZ202">
        <f>40</f>
        <v>40</v>
      </c>
      <c r="BA202">
        <f>92</f>
        <v>92</v>
      </c>
      <c r="BB202">
        <f>78</f>
        <v>78</v>
      </c>
      <c r="BC202">
        <f>39</f>
        <v>39</v>
      </c>
      <c r="BD202">
        <f>76</f>
        <v>76</v>
      </c>
      <c r="BE202">
        <f>53</f>
        <v>53</v>
      </c>
      <c r="BF202">
        <f>47</f>
        <v>47</v>
      </c>
      <c r="BG202">
        <f>31</f>
        <v>31</v>
      </c>
      <c r="BH202">
        <f>79</f>
        <v>79</v>
      </c>
      <c r="BI202">
        <f>33</f>
        <v>33</v>
      </c>
      <c r="BJ202">
        <f>35</f>
        <v>35</v>
      </c>
      <c r="BK202">
        <f>57</f>
        <v>57</v>
      </c>
      <c r="BL202">
        <f>62</f>
        <v>62</v>
      </c>
      <c r="BM202">
        <f>98</f>
        <v>98</v>
      </c>
      <c r="BN202">
        <f>30</f>
        <v>30</v>
      </c>
      <c r="BO202">
        <f>21</f>
        <v>21</v>
      </c>
      <c r="BP202">
        <f>210</f>
        <v>210</v>
      </c>
      <c r="BQ202">
        <f>105</f>
        <v>105</v>
      </c>
      <c r="BR202">
        <f>48</f>
        <v>48</v>
      </c>
      <c r="BS202">
        <f>70</f>
        <v>70</v>
      </c>
      <c r="BT202">
        <f>78</f>
        <v>78</v>
      </c>
      <c r="BU202">
        <f>84</f>
        <v>84</v>
      </c>
      <c r="BV202">
        <f>75</f>
        <v>75</v>
      </c>
      <c r="BW202">
        <f>221</f>
        <v>221</v>
      </c>
      <c r="BX202">
        <f>19</f>
        <v>19</v>
      </c>
      <c r="BY202">
        <f>29</f>
        <v>29</v>
      </c>
      <c r="BZ202">
        <f>135</f>
        <v>135</v>
      </c>
      <c r="CA202">
        <f>52</f>
        <v>52</v>
      </c>
      <c r="CB202">
        <f>82</f>
        <v>82</v>
      </c>
      <c r="CC202">
        <f>75</f>
        <v>75</v>
      </c>
      <c r="CD202">
        <f>76</f>
        <v>76</v>
      </c>
      <c r="CE202">
        <f>83</f>
        <v>83</v>
      </c>
      <c r="CF202">
        <f>115</f>
        <v>115</v>
      </c>
      <c r="CG202">
        <f>120</f>
        <v>120</v>
      </c>
    </row>
    <row r="203" spans="1:85" x14ac:dyDescent="0.25">
      <c r="A203" t="str">
        <f>"    Volvo - Mack"</f>
        <v xml:space="preserve">    Volvo - Mack</v>
      </c>
      <c r="B203" t="str">
        <f>"VOLVB SS Equity"</f>
        <v>VOLVB SS Equity</v>
      </c>
      <c r="C203" t="str">
        <f t="shared" si="13"/>
        <v>X1701</v>
      </c>
      <c r="D203" t="str">
        <f t="shared" si="14"/>
        <v>WARDS_RETAIL_SALES_UNITS</v>
      </c>
      <c r="E203" t="str">
        <f t="shared" si="10"/>
        <v>Dynamic</v>
      </c>
      <c r="F203">
        <f ca="1">IF(AND(ISNUMBER($F$322),$B$294=1),$F$322,HLOOKUP(INDIRECT(ADDRESS(2,COLUMN())),OFFSET($AT$2,0,0,ROW()-1,40),ROW()-1,FALSE))</f>
        <v>10</v>
      </c>
      <c r="G203">
        <f ca="1">IF(AND(ISNUMBER($G$322),$B$294=1),$G$322,HLOOKUP(INDIRECT(ADDRESS(2,COLUMN())),OFFSET($AT$2,0,0,ROW()-1,40),ROW()-1,FALSE))</f>
        <v>4</v>
      </c>
      <c r="H203">
        <f ca="1">IF(AND(ISNUMBER($H$322),$B$294=1),$H$322,HLOOKUP(INDIRECT(ADDRESS(2,COLUMN())),OFFSET($AT$2,0,0,ROW()-1,40),ROW()-1,FALSE))</f>
        <v>7</v>
      </c>
      <c r="I203">
        <f ca="1">IF(AND(ISNUMBER($I$322),$B$294=1),$I$322,HLOOKUP(INDIRECT(ADDRESS(2,COLUMN())),OFFSET($AT$2,0,0,ROW()-1,40),ROW()-1,FALSE))</f>
        <v>3</v>
      </c>
      <c r="J203">
        <f ca="1">IF(AND(ISNUMBER($J$322),$B$294=1),$J$322,HLOOKUP(INDIRECT(ADDRESS(2,COLUMN())),OFFSET($AT$2,0,0,ROW()-1,40),ROW()-1,FALSE))</f>
        <v>15</v>
      </c>
      <c r="K203">
        <f ca="1">IF(AND(ISNUMBER($K$322),$B$294=1),$K$322,HLOOKUP(INDIRECT(ADDRESS(2,COLUMN())),OFFSET($AT$2,0,0,ROW()-1,40),ROW()-1,FALSE))</f>
        <v>56</v>
      </c>
      <c r="L203">
        <f ca="1">IF(AND(ISNUMBER($L$322),$B$294=1),$L$322,HLOOKUP(INDIRECT(ADDRESS(2,COLUMN())),OFFSET($AT$2,0,0,ROW()-1,40),ROW()-1,FALSE))</f>
        <v>16</v>
      </c>
      <c r="M203">
        <f ca="1">IF(AND(ISNUMBER($M$322),$B$294=1),$M$322,HLOOKUP(INDIRECT(ADDRESS(2,COLUMN())),OFFSET($AT$2,0,0,ROW()-1,40),ROW()-1,FALSE))</f>
        <v>27</v>
      </c>
      <c r="N203">
        <f ca="1">IF(AND(ISNUMBER($N$322),$B$294=1),$N$322,HLOOKUP(INDIRECT(ADDRESS(2,COLUMN())),OFFSET($AT$2,0,0,ROW()-1,40),ROW()-1,FALSE))</f>
        <v>24</v>
      </c>
      <c r="O203">
        <f ca="1">IF(AND(ISNUMBER($O$322),$B$294=1),$O$322,HLOOKUP(INDIRECT(ADDRESS(2,COLUMN())),OFFSET($AT$2,0,0,ROW()-1,40),ROW()-1,FALSE))</f>
        <v>16</v>
      </c>
      <c r="P203">
        <f ca="1">IF(AND(ISNUMBER($P$322),$B$294=1),$P$322,HLOOKUP(INDIRECT(ADDRESS(2,COLUMN())),OFFSET($AT$2,0,0,ROW()-1,40),ROW()-1,FALSE))</f>
        <v>39</v>
      </c>
      <c r="Q203">
        <f ca="1">IF(AND(ISNUMBER($Q$322),$B$294=1),$Q$322,HLOOKUP(INDIRECT(ADDRESS(2,COLUMN())),OFFSET($AT$2,0,0,ROW()-1,40),ROW()-1,FALSE))</f>
        <v>5</v>
      </c>
      <c r="R203">
        <f ca="1">IF(AND(ISNUMBER($R$322),$B$294=1),$R$322,HLOOKUP(INDIRECT(ADDRESS(2,COLUMN())),OFFSET($AT$2,0,0,ROW()-1,40),ROW()-1,FALSE))</f>
        <v>10</v>
      </c>
      <c r="S203">
        <f ca="1">IF(AND(ISNUMBER($S$322),$B$294=1),$S$322,HLOOKUP(INDIRECT(ADDRESS(2,COLUMN())),OFFSET($AT$2,0,0,ROW()-1,40),ROW()-1,FALSE))</f>
        <v>27</v>
      </c>
      <c r="T203">
        <f ca="1">IF(AND(ISNUMBER($T$322),$B$294=1),$T$322,HLOOKUP(INDIRECT(ADDRESS(2,COLUMN())),OFFSET($AT$2,0,0,ROW()-1,40),ROW()-1,FALSE))</f>
        <v>1</v>
      </c>
      <c r="U203">
        <f ca="1">IF(AND(ISNUMBER($U$322),$B$294=1),$U$322,HLOOKUP(INDIRECT(ADDRESS(2,COLUMN())),OFFSET($AT$2,0,0,ROW()-1,40),ROW()-1,FALSE))</f>
        <v>12</v>
      </c>
      <c r="V203">
        <f ca="1">IF(AND(ISNUMBER($V$322),$B$294=1),$V$322,HLOOKUP(INDIRECT(ADDRESS(2,COLUMN())),OFFSET($AT$2,0,0,ROW()-1,40),ROW()-1,FALSE))</f>
        <v>12</v>
      </c>
      <c r="W203">
        <f ca="1">IF(AND(ISNUMBER($W$322),$B$294=1),$W$322,HLOOKUP(INDIRECT(ADDRESS(2,COLUMN())),OFFSET($AT$2,0,0,ROW()-1,40),ROW()-1,FALSE))</f>
        <v>20</v>
      </c>
      <c r="X203">
        <f ca="1">IF(AND(ISNUMBER($X$322),$B$294=1),$X$322,HLOOKUP(INDIRECT(ADDRESS(2,COLUMN())),OFFSET($AT$2,0,0,ROW()-1,40),ROW()-1,FALSE))</f>
        <v>12</v>
      </c>
      <c r="Y203">
        <f ca="1">IF(AND(ISNUMBER($Y$322),$B$294=1),$Y$322,HLOOKUP(INDIRECT(ADDRESS(2,COLUMN())),OFFSET($AT$2,0,0,ROW()-1,40),ROW()-1,FALSE))</f>
        <v>21</v>
      </c>
      <c r="Z203">
        <f ca="1">IF(AND(ISNUMBER($Z$322),$B$294=1),$Z$322,HLOOKUP(INDIRECT(ADDRESS(2,COLUMN())),OFFSET($AT$2,0,0,ROW()-1,40),ROW()-1,FALSE))</f>
        <v>4</v>
      </c>
      <c r="AA203">
        <f ca="1">IF(AND(ISNUMBER($AA$322),$B$294=1),$AA$322,HLOOKUP(INDIRECT(ADDRESS(2,COLUMN())),OFFSET($AT$2,0,0,ROW()-1,40),ROW()-1,FALSE))</f>
        <v>14</v>
      </c>
      <c r="AB203">
        <f ca="1">IF(AND(ISNUMBER($AB$322),$B$294=1),$AB$322,HLOOKUP(INDIRECT(ADDRESS(2,COLUMN())),OFFSET($AT$2,0,0,ROW()-1,40),ROW()-1,FALSE))</f>
        <v>35</v>
      </c>
      <c r="AC203">
        <f ca="1">IF(AND(ISNUMBER($AC$322),$B$294=1),$AC$322,HLOOKUP(INDIRECT(ADDRESS(2,COLUMN())),OFFSET($AT$2,0,0,ROW()-1,40),ROW()-1,FALSE))</f>
        <v>33</v>
      </c>
      <c r="AD203">
        <f ca="1">IF(AND(ISNUMBER($AD$322),$B$294=1),$AD$322,HLOOKUP(INDIRECT(ADDRESS(2,COLUMN())),OFFSET($AT$2,0,0,ROW()-1,40),ROW()-1,FALSE))</f>
        <v>32</v>
      </c>
      <c r="AE203">
        <f ca="1">IF(AND(ISNUMBER($AE$322),$B$294=1),$AE$322,HLOOKUP(INDIRECT(ADDRESS(2,COLUMN())),OFFSET($AT$2,0,0,ROW()-1,40),ROW()-1,FALSE))</f>
        <v>39</v>
      </c>
      <c r="AF203">
        <f ca="1">IF(AND(ISNUMBER($AF$322),$B$294=1),$AF$322,HLOOKUP(INDIRECT(ADDRESS(2,COLUMN())),OFFSET($AT$2,0,0,ROW()-1,40),ROW()-1,FALSE))</f>
        <v>87</v>
      </c>
      <c r="AG203">
        <f ca="1">IF(AND(ISNUMBER($AG$322),$B$294=1),$AG$322,HLOOKUP(INDIRECT(ADDRESS(2,COLUMN())),OFFSET($AT$2,0,0,ROW()-1,40),ROW()-1,FALSE))</f>
        <v>70</v>
      </c>
      <c r="AH203">
        <f ca="1">IF(AND(ISNUMBER($AH$322),$B$294=1),$AH$322,HLOOKUP(INDIRECT(ADDRESS(2,COLUMN())),OFFSET($AT$2,0,0,ROW()-1,40),ROW()-1,FALSE))</f>
        <v>23</v>
      </c>
      <c r="AI203">
        <f ca="1">IF(AND(ISNUMBER($AI$322),$B$294=1),$AI$322,HLOOKUP(INDIRECT(ADDRESS(2,COLUMN())),OFFSET($AT$2,0,0,ROW()-1,40),ROW()-1,FALSE))</f>
        <v>25</v>
      </c>
      <c r="AJ203">
        <f ca="1">IF(AND(ISNUMBER($AJ$322),$B$294=1),$AJ$322,HLOOKUP(INDIRECT(ADDRESS(2,COLUMN())),OFFSET($AT$2,0,0,ROW()-1,40),ROW()-1,FALSE))</f>
        <v>23</v>
      </c>
      <c r="AK203">
        <f ca="1">IF(AND(ISNUMBER($AK$322),$B$294=1),$AK$322,HLOOKUP(INDIRECT(ADDRESS(2,COLUMN())),OFFSET($AT$2,0,0,ROW()-1,40),ROW()-1,FALSE))</f>
        <v>8</v>
      </c>
      <c r="AL203">
        <f ca="1">IF(AND(ISNUMBER($AL$322),$B$294=1),$AL$322,HLOOKUP(INDIRECT(ADDRESS(2,COLUMN())),OFFSET($AT$2,0,0,ROW()-1,40),ROW()-1,FALSE))</f>
        <v>29</v>
      </c>
      <c r="AM203">
        <f ca="1">IF(AND(ISNUMBER($AM$322),$B$294=1),$AM$322,HLOOKUP(INDIRECT(ADDRESS(2,COLUMN())),OFFSET($AT$2,0,0,ROW()-1,40),ROW()-1,FALSE))</f>
        <v>19</v>
      </c>
      <c r="AN203">
        <f ca="1">IF(AND(ISNUMBER($AN$322),$B$294=1),$AN$322,HLOOKUP(INDIRECT(ADDRESS(2,COLUMN())),OFFSET($AT$2,0,0,ROW()-1,40),ROW()-1,FALSE))</f>
        <v>37</v>
      </c>
      <c r="AO203">
        <f ca="1">IF(AND(ISNUMBER($AO$322),$B$294=1),$AO$322,HLOOKUP(INDIRECT(ADDRESS(2,COLUMN())),OFFSET($AT$2,0,0,ROW()-1,40),ROW()-1,FALSE))</f>
        <v>34</v>
      </c>
      <c r="AP203">
        <f ca="1">IF(AND(ISNUMBER($AP$322),$B$294=1),$AP$322,HLOOKUP(INDIRECT(ADDRESS(2,COLUMN())),OFFSET($AT$2,0,0,ROW()-1,40),ROW()-1,FALSE))</f>
        <v>34</v>
      </c>
      <c r="AQ203">
        <f ca="1">IF(AND(ISNUMBER($AQ$322),$B$294=1),$AQ$322,HLOOKUP(INDIRECT(ADDRESS(2,COLUMN())),OFFSET($AT$2,0,0,ROW()-1,40),ROW()-1,FALSE))</f>
        <v>56</v>
      </c>
      <c r="AR203">
        <f ca="1">IF(AND(ISNUMBER($AR$322),$B$294=1),$AR$322,HLOOKUP(INDIRECT(ADDRESS(2,COLUMN())),OFFSET($AT$2,0,0,ROW()-1,40),ROW()-1,FALSE))</f>
        <v>39</v>
      </c>
      <c r="AS203">
        <f ca="1">IF(AND(ISNUMBER($AS$322),$B$294=1),$AS$322,HLOOKUP(INDIRECT(ADDRESS(2,COLUMN())),OFFSET($AT$2,0,0,ROW()-1,40),ROW()-1,FALSE))</f>
        <v>21</v>
      </c>
      <c r="AT203">
        <f>10</f>
        <v>10</v>
      </c>
      <c r="AU203">
        <f>4</f>
        <v>4</v>
      </c>
      <c r="AV203">
        <f>7</f>
        <v>7</v>
      </c>
      <c r="AW203">
        <f>3</f>
        <v>3</v>
      </c>
      <c r="AX203">
        <f>15</f>
        <v>15</v>
      </c>
      <c r="AY203">
        <f>56</f>
        <v>56</v>
      </c>
      <c r="AZ203">
        <f>16</f>
        <v>16</v>
      </c>
      <c r="BA203">
        <f>27</f>
        <v>27</v>
      </c>
      <c r="BB203">
        <f>24</f>
        <v>24</v>
      </c>
      <c r="BC203">
        <f>16</f>
        <v>16</v>
      </c>
      <c r="BD203">
        <f>39</f>
        <v>39</v>
      </c>
      <c r="BE203">
        <f>5</f>
        <v>5</v>
      </c>
      <c r="BF203">
        <f>10</f>
        <v>10</v>
      </c>
      <c r="BG203">
        <f>27</f>
        <v>27</v>
      </c>
      <c r="BH203">
        <f>1</f>
        <v>1</v>
      </c>
      <c r="BI203">
        <f>12</f>
        <v>12</v>
      </c>
      <c r="BJ203">
        <f>12</f>
        <v>12</v>
      </c>
      <c r="BK203">
        <f>20</f>
        <v>20</v>
      </c>
      <c r="BL203">
        <f>12</f>
        <v>12</v>
      </c>
      <c r="BM203">
        <f>21</f>
        <v>21</v>
      </c>
      <c r="BN203">
        <f>4</f>
        <v>4</v>
      </c>
      <c r="BO203">
        <f>14</f>
        <v>14</v>
      </c>
      <c r="BP203">
        <f>35</f>
        <v>35</v>
      </c>
      <c r="BQ203">
        <f>33</f>
        <v>33</v>
      </c>
      <c r="BR203">
        <f>32</f>
        <v>32</v>
      </c>
      <c r="BS203">
        <f>39</f>
        <v>39</v>
      </c>
      <c r="BT203">
        <f>87</f>
        <v>87</v>
      </c>
      <c r="BU203">
        <f>70</f>
        <v>70</v>
      </c>
      <c r="BV203">
        <f>23</f>
        <v>23</v>
      </c>
      <c r="BW203">
        <f>25</f>
        <v>25</v>
      </c>
      <c r="BX203">
        <f>23</f>
        <v>23</v>
      </c>
      <c r="BY203">
        <f>8</f>
        <v>8</v>
      </c>
      <c r="BZ203">
        <f>29</f>
        <v>29</v>
      </c>
      <c r="CA203">
        <f>19</f>
        <v>19</v>
      </c>
      <c r="CB203">
        <f>37</f>
        <v>37</v>
      </c>
      <c r="CC203">
        <f>34</f>
        <v>34</v>
      </c>
      <c r="CD203">
        <f>34</f>
        <v>34</v>
      </c>
      <c r="CE203">
        <f>56</f>
        <v>56</v>
      </c>
      <c r="CF203">
        <f>39</f>
        <v>39</v>
      </c>
      <c r="CG203">
        <f>21</f>
        <v>21</v>
      </c>
    </row>
    <row r="204" spans="1:85" x14ac:dyDescent="0.25">
      <c r="A204" t="str">
        <f>"    Dina Camiones"</f>
        <v xml:space="preserve">    Dina Camiones</v>
      </c>
      <c r="B204" t="str">
        <f>"8128757Z MM Equity"</f>
        <v>8128757Z MM Equity</v>
      </c>
      <c r="C204" t="str">
        <f t="shared" si="13"/>
        <v>X1701</v>
      </c>
      <c r="D204" t="str">
        <f t="shared" si="14"/>
        <v>WARDS_RETAIL_SALES_UNITS</v>
      </c>
      <c r="E204" t="str">
        <f t="shared" si="10"/>
        <v>Dynamic</v>
      </c>
      <c r="F204" t="str">
        <f ca="1">IF(AND(ISNUMBER($F$323),$B$294=1),$F$323,HLOOKUP(INDIRECT(ADDRESS(2,COLUMN())),OFFSET($AT$2,0,0,ROW()-1,40),ROW()-1,FALSE))</f>
        <v/>
      </c>
      <c r="G204" t="str">
        <f ca="1">IF(AND(ISNUMBER($G$323),$B$294=1),$G$323,HLOOKUP(INDIRECT(ADDRESS(2,COLUMN())),OFFSET($AT$2,0,0,ROW()-1,40),ROW()-1,FALSE))</f>
        <v/>
      </c>
      <c r="H204" t="str">
        <f ca="1">IF(AND(ISNUMBER($H$323),$B$294=1),$H$323,HLOOKUP(INDIRECT(ADDRESS(2,COLUMN())),OFFSET($AT$2,0,0,ROW()-1,40),ROW()-1,FALSE))</f>
        <v/>
      </c>
      <c r="I204" t="str">
        <f ca="1">IF(AND(ISNUMBER($I$323),$B$294=1),$I$323,HLOOKUP(INDIRECT(ADDRESS(2,COLUMN())),OFFSET($AT$2,0,0,ROW()-1,40),ROW()-1,FALSE))</f>
        <v/>
      </c>
      <c r="J204" t="str">
        <f ca="1">IF(AND(ISNUMBER($J$323),$B$294=1),$J$323,HLOOKUP(INDIRECT(ADDRESS(2,COLUMN())),OFFSET($AT$2,0,0,ROW()-1,40),ROW()-1,FALSE))</f>
        <v/>
      </c>
      <c r="K204" t="str">
        <f ca="1">IF(AND(ISNUMBER($K$323),$B$294=1),$K$323,HLOOKUP(INDIRECT(ADDRESS(2,COLUMN())),OFFSET($AT$2,0,0,ROW()-1,40),ROW()-1,FALSE))</f>
        <v/>
      </c>
      <c r="L204" t="str">
        <f ca="1">IF(AND(ISNUMBER($L$323),$B$294=1),$L$323,HLOOKUP(INDIRECT(ADDRESS(2,COLUMN())),OFFSET($AT$2,0,0,ROW()-1,40),ROW()-1,FALSE))</f>
        <v/>
      </c>
      <c r="M204" t="str">
        <f ca="1">IF(AND(ISNUMBER($M$323),$B$294=1),$M$323,HLOOKUP(INDIRECT(ADDRESS(2,COLUMN())),OFFSET($AT$2,0,0,ROW()-1,40),ROW()-1,FALSE))</f>
        <v/>
      </c>
      <c r="N204" t="str">
        <f ca="1">IF(AND(ISNUMBER($N$323),$B$294=1),$N$323,HLOOKUP(INDIRECT(ADDRESS(2,COLUMN())),OFFSET($AT$2,0,0,ROW()-1,40),ROW()-1,FALSE))</f>
        <v/>
      </c>
      <c r="O204" t="str">
        <f ca="1">IF(AND(ISNUMBER($O$323),$B$294=1),$O$323,HLOOKUP(INDIRECT(ADDRESS(2,COLUMN())),OFFSET($AT$2,0,0,ROW()-1,40),ROW()-1,FALSE))</f>
        <v/>
      </c>
      <c r="P204">
        <f ca="1">IF(AND(ISNUMBER($P$323),$B$294=1),$P$323,HLOOKUP(INDIRECT(ADDRESS(2,COLUMN())),OFFSET($AT$2,0,0,ROW()-1,40),ROW()-1,FALSE))</f>
        <v>86</v>
      </c>
      <c r="Q204">
        <f ca="1">IF(AND(ISNUMBER($Q$323),$B$294=1),$Q$323,HLOOKUP(INDIRECT(ADDRESS(2,COLUMN())),OFFSET($AT$2,0,0,ROW()-1,40),ROW()-1,FALSE))</f>
        <v>64</v>
      </c>
      <c r="R204">
        <f ca="1">IF(AND(ISNUMBER($R$323),$B$294=1),$R$323,HLOOKUP(INDIRECT(ADDRESS(2,COLUMN())),OFFSET($AT$2,0,0,ROW()-1,40),ROW()-1,FALSE))</f>
        <v>59</v>
      </c>
      <c r="S204">
        <f ca="1">IF(AND(ISNUMBER($S$323),$B$294=1),$S$323,HLOOKUP(INDIRECT(ADDRESS(2,COLUMN())),OFFSET($AT$2,0,0,ROW()-1,40),ROW()-1,FALSE))</f>
        <v>56</v>
      </c>
      <c r="T204">
        <f ca="1">IF(AND(ISNUMBER($T$323),$B$294=1),$T$323,HLOOKUP(INDIRECT(ADDRESS(2,COLUMN())),OFFSET($AT$2,0,0,ROW()-1,40),ROW()-1,FALSE))</f>
        <v>46</v>
      </c>
      <c r="U204">
        <f ca="1">IF(AND(ISNUMBER($U$323),$B$294=1),$U$323,HLOOKUP(INDIRECT(ADDRESS(2,COLUMN())),OFFSET($AT$2,0,0,ROW()-1,40),ROW()-1,FALSE))</f>
        <v>39</v>
      </c>
      <c r="V204">
        <f ca="1">IF(AND(ISNUMBER($V$323),$B$294=1),$V$323,HLOOKUP(INDIRECT(ADDRESS(2,COLUMN())),OFFSET($AT$2,0,0,ROW()-1,40),ROW()-1,FALSE))</f>
        <v>44</v>
      </c>
      <c r="W204">
        <f ca="1">IF(AND(ISNUMBER($W$323),$B$294=1),$W$323,HLOOKUP(INDIRECT(ADDRESS(2,COLUMN())),OFFSET($AT$2,0,0,ROW()-1,40),ROW()-1,FALSE))</f>
        <v>52</v>
      </c>
      <c r="X204">
        <f ca="1">IF(AND(ISNUMBER($X$323),$B$294=1),$X$323,HLOOKUP(INDIRECT(ADDRESS(2,COLUMN())),OFFSET($AT$2,0,0,ROW()-1,40),ROW()-1,FALSE))</f>
        <v>50</v>
      </c>
      <c r="Y204">
        <f ca="1">IF(AND(ISNUMBER($Y$323),$B$294=1),$Y$323,HLOOKUP(INDIRECT(ADDRESS(2,COLUMN())),OFFSET($AT$2,0,0,ROW()-1,40),ROW()-1,FALSE))</f>
        <v>45</v>
      </c>
      <c r="Z204">
        <f ca="1">IF(AND(ISNUMBER($Z$323),$B$294=1),$Z$323,HLOOKUP(INDIRECT(ADDRESS(2,COLUMN())),OFFSET($AT$2,0,0,ROW()-1,40),ROW()-1,FALSE))</f>
        <v>34</v>
      </c>
      <c r="AA204">
        <f ca="1">IF(AND(ISNUMBER($AA$323),$B$294=1),$AA$323,HLOOKUP(INDIRECT(ADDRESS(2,COLUMN())),OFFSET($AT$2,0,0,ROW()-1,40),ROW()-1,FALSE))</f>
        <v>49</v>
      </c>
      <c r="AB204">
        <f ca="1">IF(AND(ISNUMBER($AB$323),$B$294=1),$AB$323,HLOOKUP(INDIRECT(ADDRESS(2,COLUMN())),OFFSET($AT$2,0,0,ROW()-1,40),ROW()-1,FALSE))</f>
        <v>67</v>
      </c>
      <c r="AC204">
        <f ca="1">IF(AND(ISNUMBER($AC$323),$B$294=1),$AC$323,HLOOKUP(INDIRECT(ADDRESS(2,COLUMN())),OFFSET($AT$2,0,0,ROW()-1,40),ROW()-1,FALSE))</f>
        <v>54</v>
      </c>
      <c r="AD204">
        <f ca="1">IF(AND(ISNUMBER($AD$323),$B$294=1),$AD$323,HLOOKUP(INDIRECT(ADDRESS(2,COLUMN())),OFFSET($AT$2,0,0,ROW()-1,40),ROW()-1,FALSE))</f>
        <v>50</v>
      </c>
      <c r="AE204">
        <f ca="1">IF(AND(ISNUMBER($AE$323),$B$294=1),$AE$323,HLOOKUP(INDIRECT(ADDRESS(2,COLUMN())),OFFSET($AT$2,0,0,ROW()-1,40),ROW()-1,FALSE))</f>
        <v>47</v>
      </c>
      <c r="AF204">
        <f ca="1">IF(AND(ISNUMBER($AF$323),$B$294=1),$AF$323,HLOOKUP(INDIRECT(ADDRESS(2,COLUMN())),OFFSET($AT$2,0,0,ROW()-1,40),ROW()-1,FALSE))</f>
        <v>47</v>
      </c>
      <c r="AG204">
        <f ca="1">IF(AND(ISNUMBER($AG$323),$B$294=1),$AG$323,HLOOKUP(INDIRECT(ADDRESS(2,COLUMN())),OFFSET($AT$2,0,0,ROW()-1,40),ROW()-1,FALSE))</f>
        <v>47</v>
      </c>
      <c r="AH204">
        <f ca="1">IF(AND(ISNUMBER($AH$323),$B$294=1),$AH$323,HLOOKUP(INDIRECT(ADDRESS(2,COLUMN())),OFFSET($AT$2,0,0,ROW()-1,40),ROW()-1,FALSE))</f>
        <v>45</v>
      </c>
      <c r="AI204">
        <f ca="1">IF(AND(ISNUMBER($AI$323),$B$294=1),$AI$323,HLOOKUP(INDIRECT(ADDRESS(2,COLUMN())),OFFSET($AT$2,0,0,ROW()-1,40),ROW()-1,FALSE))</f>
        <v>42</v>
      </c>
      <c r="AJ204">
        <f ca="1">IF(AND(ISNUMBER($AJ$323),$B$294=1),$AJ$323,HLOOKUP(INDIRECT(ADDRESS(2,COLUMN())),OFFSET($AT$2,0,0,ROW()-1,40),ROW()-1,FALSE))</f>
        <v>40</v>
      </c>
      <c r="AK204">
        <f ca="1">IF(AND(ISNUMBER($AK$323),$B$294=1),$AK$323,HLOOKUP(INDIRECT(ADDRESS(2,COLUMN())),OFFSET($AT$2,0,0,ROW()-1,40),ROW()-1,FALSE))</f>
        <v>52</v>
      </c>
      <c r="AL204">
        <f ca="1">IF(AND(ISNUMBER($AL$323),$B$294=1),$AL$323,HLOOKUP(INDIRECT(ADDRESS(2,COLUMN())),OFFSET($AT$2,0,0,ROW()-1,40),ROW()-1,FALSE))</f>
        <v>49</v>
      </c>
      <c r="AM204">
        <f ca="1">IF(AND(ISNUMBER($AM$323),$B$294=1),$AM$323,HLOOKUP(INDIRECT(ADDRESS(2,COLUMN())),OFFSET($AT$2,0,0,ROW()-1,40),ROW()-1,FALSE))</f>
        <v>52</v>
      </c>
      <c r="AN204">
        <f ca="1">IF(AND(ISNUMBER($AN$323),$B$294=1),$AN$323,HLOOKUP(INDIRECT(ADDRESS(2,COLUMN())),OFFSET($AT$2,0,0,ROW()-1,40),ROW()-1,FALSE))</f>
        <v>89</v>
      </c>
      <c r="AO204">
        <f ca="1">IF(AND(ISNUMBER($AO$323),$B$294=1),$AO$323,HLOOKUP(INDIRECT(ADDRESS(2,COLUMN())),OFFSET($AT$2,0,0,ROW()-1,40),ROW()-1,FALSE))</f>
        <v>77</v>
      </c>
      <c r="AP204">
        <f ca="1">IF(AND(ISNUMBER($AP$323),$B$294=1),$AP$323,HLOOKUP(INDIRECT(ADDRESS(2,COLUMN())),OFFSET($AT$2,0,0,ROW()-1,40),ROW()-1,FALSE))</f>
        <v>75</v>
      </c>
      <c r="AQ204">
        <f ca="1">IF(AND(ISNUMBER($AQ$323),$B$294=1),$AQ$323,HLOOKUP(INDIRECT(ADDRESS(2,COLUMN())),OFFSET($AT$2,0,0,ROW()-1,40),ROW()-1,FALSE))</f>
        <v>110</v>
      </c>
      <c r="AR204">
        <f ca="1">IF(AND(ISNUMBER($AR$323),$B$294=1),$AR$323,HLOOKUP(INDIRECT(ADDRESS(2,COLUMN())),OFFSET($AT$2,0,0,ROW()-1,40),ROW()-1,FALSE))</f>
        <v>24</v>
      </c>
      <c r="AS204">
        <f ca="1">IF(AND(ISNUMBER($AS$323),$B$294=1),$AS$323,HLOOKUP(INDIRECT(ADDRESS(2,COLUMN())),OFFSET($AT$2,0,0,ROW()-1,40),ROW()-1,FALSE))</f>
        <v>3</v>
      </c>
      <c r="AT204" t="str">
        <f>""</f>
        <v/>
      </c>
      <c r="AU204" t="str">
        <f>""</f>
        <v/>
      </c>
      <c r="AV204" t="str">
        <f>""</f>
        <v/>
      </c>
      <c r="AW204" t="str">
        <f>""</f>
        <v/>
      </c>
      <c r="AX204" t="str">
        <f>""</f>
        <v/>
      </c>
      <c r="AY204" t="str">
        <f>""</f>
        <v/>
      </c>
      <c r="AZ204" t="str">
        <f>""</f>
        <v/>
      </c>
      <c r="BA204" t="str">
        <f>""</f>
        <v/>
      </c>
      <c r="BB204" t="str">
        <f>""</f>
        <v/>
      </c>
      <c r="BC204" t="str">
        <f>""</f>
        <v/>
      </c>
      <c r="BD204">
        <f>86</f>
        <v>86</v>
      </c>
      <c r="BE204">
        <f>64</f>
        <v>64</v>
      </c>
      <c r="BF204">
        <f>59</f>
        <v>59</v>
      </c>
      <c r="BG204">
        <f>56</f>
        <v>56</v>
      </c>
      <c r="BH204">
        <f>46</f>
        <v>46</v>
      </c>
      <c r="BI204">
        <f>39</f>
        <v>39</v>
      </c>
      <c r="BJ204">
        <f>44</f>
        <v>44</v>
      </c>
      <c r="BK204">
        <f>52</f>
        <v>52</v>
      </c>
      <c r="BL204">
        <f>50</f>
        <v>50</v>
      </c>
      <c r="BM204">
        <f>45</f>
        <v>45</v>
      </c>
      <c r="BN204">
        <f>34</f>
        <v>34</v>
      </c>
      <c r="BO204">
        <f>49</f>
        <v>49</v>
      </c>
      <c r="BP204">
        <f>67</f>
        <v>67</v>
      </c>
      <c r="BQ204">
        <f>54</f>
        <v>54</v>
      </c>
      <c r="BR204">
        <f>50</f>
        <v>50</v>
      </c>
      <c r="BS204">
        <f>47</f>
        <v>47</v>
      </c>
      <c r="BT204">
        <f>47</f>
        <v>47</v>
      </c>
      <c r="BU204">
        <f>47</f>
        <v>47</v>
      </c>
      <c r="BV204">
        <f>45</f>
        <v>45</v>
      </c>
      <c r="BW204">
        <f>42</f>
        <v>42</v>
      </c>
      <c r="BX204">
        <f>40</f>
        <v>40</v>
      </c>
      <c r="BY204">
        <f>52</f>
        <v>52</v>
      </c>
      <c r="BZ204">
        <f>49</f>
        <v>49</v>
      </c>
      <c r="CA204">
        <f>52</f>
        <v>52</v>
      </c>
      <c r="CB204">
        <f>89</f>
        <v>89</v>
      </c>
      <c r="CC204">
        <f>77</f>
        <v>77</v>
      </c>
      <c r="CD204">
        <f>75</f>
        <v>75</v>
      </c>
      <c r="CE204">
        <f>110</f>
        <v>110</v>
      </c>
      <c r="CF204">
        <f>24</f>
        <v>24</v>
      </c>
      <c r="CG204">
        <f>3</f>
        <v>3</v>
      </c>
    </row>
    <row r="205" spans="1:85" x14ac:dyDescent="0.25">
      <c r="A205" t="str">
        <f>"    MAN - MAN"</f>
        <v xml:space="preserve">    MAN - MAN</v>
      </c>
      <c r="B205" t="str">
        <f>"VOW GR Equity"</f>
        <v>VOW GR Equity</v>
      </c>
      <c r="C205" t="str">
        <f t="shared" si="13"/>
        <v>X1701</v>
      </c>
      <c r="D205" t="str">
        <f t="shared" si="14"/>
        <v>WARDS_RETAIL_SALES_UNITS</v>
      </c>
      <c r="E205" t="str">
        <f t="shared" si="10"/>
        <v>Dynamic</v>
      </c>
      <c r="F205" t="str">
        <f ca="1">IF(AND(ISNUMBER($F$324),$B$294=1),$F$324,HLOOKUP(INDIRECT(ADDRESS(2,COLUMN())),OFFSET($AT$2,0,0,ROW()-1,40),ROW()-1,FALSE))</f>
        <v/>
      </c>
      <c r="G205" t="str">
        <f ca="1">IF(AND(ISNUMBER($G$324),$B$294=1),$G$324,HLOOKUP(INDIRECT(ADDRESS(2,COLUMN())),OFFSET($AT$2,0,0,ROW()-1,40),ROW()-1,FALSE))</f>
        <v/>
      </c>
      <c r="H205" t="str">
        <f ca="1">IF(AND(ISNUMBER($H$324),$B$294=1),$H$324,HLOOKUP(INDIRECT(ADDRESS(2,COLUMN())),OFFSET($AT$2,0,0,ROW()-1,40),ROW()-1,FALSE))</f>
        <v/>
      </c>
      <c r="I205" t="str">
        <f ca="1">IF(AND(ISNUMBER($I$324),$B$294=1),$I$324,HLOOKUP(INDIRECT(ADDRESS(2,COLUMN())),OFFSET($AT$2,0,0,ROW()-1,40),ROW()-1,FALSE))</f>
        <v/>
      </c>
      <c r="J205" t="str">
        <f ca="1">IF(AND(ISNUMBER($J$324),$B$294=1),$J$324,HLOOKUP(INDIRECT(ADDRESS(2,COLUMN())),OFFSET($AT$2,0,0,ROW()-1,40),ROW()-1,FALSE))</f>
        <v/>
      </c>
      <c r="K205" t="str">
        <f ca="1">IF(AND(ISNUMBER($K$324),$B$294=1),$K$324,HLOOKUP(INDIRECT(ADDRESS(2,COLUMN())),OFFSET($AT$2,0,0,ROW()-1,40),ROW()-1,FALSE))</f>
        <v/>
      </c>
      <c r="L205" t="str">
        <f ca="1">IF(AND(ISNUMBER($L$324),$B$294=1),$L$324,HLOOKUP(INDIRECT(ADDRESS(2,COLUMN())),OFFSET($AT$2,0,0,ROW()-1,40),ROW()-1,FALSE))</f>
        <v/>
      </c>
      <c r="M205" t="str">
        <f ca="1">IF(AND(ISNUMBER($M$324),$B$294=1),$M$324,HLOOKUP(INDIRECT(ADDRESS(2,COLUMN())),OFFSET($AT$2,0,0,ROW()-1,40),ROW()-1,FALSE))</f>
        <v/>
      </c>
      <c r="N205" t="str">
        <f ca="1">IF(AND(ISNUMBER($N$324),$B$294=1),$N$324,HLOOKUP(INDIRECT(ADDRESS(2,COLUMN())),OFFSET($AT$2,0,0,ROW()-1,40),ROW()-1,FALSE))</f>
        <v/>
      </c>
      <c r="O205" t="str">
        <f ca="1">IF(AND(ISNUMBER($O$324),$B$294=1),$O$324,HLOOKUP(INDIRECT(ADDRESS(2,COLUMN())),OFFSET($AT$2,0,0,ROW()-1,40),ROW()-1,FALSE))</f>
        <v/>
      </c>
      <c r="P205">
        <f ca="1">IF(AND(ISNUMBER($P$324),$B$294=1),$P$324,HLOOKUP(INDIRECT(ADDRESS(2,COLUMN())),OFFSET($AT$2,0,0,ROW()-1,40),ROW()-1,FALSE))</f>
        <v>68</v>
      </c>
      <c r="Q205">
        <f ca="1">IF(AND(ISNUMBER($Q$324),$B$294=1),$Q$324,HLOOKUP(INDIRECT(ADDRESS(2,COLUMN())),OFFSET($AT$2,0,0,ROW()-1,40),ROW()-1,FALSE))</f>
        <v>51</v>
      </c>
      <c r="R205">
        <f ca="1">IF(AND(ISNUMBER($R$324),$B$294=1),$R$324,HLOOKUP(INDIRECT(ADDRESS(2,COLUMN())),OFFSET($AT$2,0,0,ROW()-1,40),ROW()-1,FALSE))</f>
        <v>47</v>
      </c>
      <c r="S205">
        <f ca="1">IF(AND(ISNUMBER($S$324),$B$294=1),$S$324,HLOOKUP(INDIRECT(ADDRESS(2,COLUMN())),OFFSET($AT$2,0,0,ROW()-1,40),ROW()-1,FALSE))</f>
        <v>45</v>
      </c>
      <c r="T205">
        <f ca="1">IF(AND(ISNUMBER($T$324),$B$294=1),$T$324,HLOOKUP(INDIRECT(ADDRESS(2,COLUMN())),OFFSET($AT$2,0,0,ROW()-1,40),ROW()-1,FALSE))</f>
        <v>36</v>
      </c>
      <c r="U205">
        <f ca="1">IF(AND(ISNUMBER($U$324),$B$294=1),$U$324,HLOOKUP(INDIRECT(ADDRESS(2,COLUMN())),OFFSET($AT$2,0,0,ROW()-1,40),ROW()-1,FALSE))</f>
        <v>31</v>
      </c>
      <c r="V205">
        <f ca="1">IF(AND(ISNUMBER($V$324),$B$294=1),$V$324,HLOOKUP(INDIRECT(ADDRESS(2,COLUMN())),OFFSET($AT$2,0,0,ROW()-1,40),ROW()-1,FALSE))</f>
        <v>35</v>
      </c>
      <c r="W205">
        <f ca="1">IF(AND(ISNUMBER($W$324),$B$294=1),$W$324,HLOOKUP(INDIRECT(ADDRESS(2,COLUMN())),OFFSET($AT$2,0,0,ROW()-1,40),ROW()-1,FALSE))</f>
        <v>41</v>
      </c>
      <c r="X205">
        <f ca="1">IF(AND(ISNUMBER($X$324),$B$294=1),$X$324,HLOOKUP(INDIRECT(ADDRESS(2,COLUMN())),OFFSET($AT$2,0,0,ROW()-1,40),ROW()-1,FALSE))</f>
        <v>40</v>
      </c>
      <c r="Y205">
        <f ca="1">IF(AND(ISNUMBER($Y$324),$B$294=1),$Y$324,HLOOKUP(INDIRECT(ADDRESS(2,COLUMN())),OFFSET($AT$2,0,0,ROW()-1,40),ROW()-1,FALSE))</f>
        <v>35</v>
      </c>
      <c r="Z205">
        <f ca="1">IF(AND(ISNUMBER($Z$324),$B$294=1),$Z$324,HLOOKUP(INDIRECT(ADDRESS(2,COLUMN())),OFFSET($AT$2,0,0,ROW()-1,40),ROW()-1,FALSE))</f>
        <v>27</v>
      </c>
      <c r="AA205">
        <f ca="1">IF(AND(ISNUMBER($AA$324),$B$294=1),$AA$324,HLOOKUP(INDIRECT(ADDRESS(2,COLUMN())),OFFSET($AT$2,0,0,ROW()-1,40),ROW()-1,FALSE))</f>
        <v>39</v>
      </c>
      <c r="AB205">
        <f ca="1">IF(AND(ISNUMBER($AB$324),$B$294=1),$AB$324,HLOOKUP(INDIRECT(ADDRESS(2,COLUMN())),OFFSET($AT$2,0,0,ROW()-1,40),ROW()-1,FALSE))</f>
        <v>37</v>
      </c>
      <c r="AC205">
        <f ca="1">IF(AND(ISNUMBER($AC$324),$B$294=1),$AC$324,HLOOKUP(INDIRECT(ADDRESS(2,COLUMN())),OFFSET($AT$2,0,0,ROW()-1,40),ROW()-1,FALSE))</f>
        <v>30</v>
      </c>
      <c r="AD205">
        <f ca="1">IF(AND(ISNUMBER($AD$324),$B$294=1),$AD$324,HLOOKUP(INDIRECT(ADDRESS(2,COLUMN())),OFFSET($AT$2,0,0,ROW()-1,40),ROW()-1,FALSE))</f>
        <v>28</v>
      </c>
      <c r="AE205">
        <f ca="1">IF(AND(ISNUMBER($AE$324),$B$294=1),$AE$324,HLOOKUP(INDIRECT(ADDRESS(2,COLUMN())),OFFSET($AT$2,0,0,ROW()-1,40),ROW()-1,FALSE))</f>
        <v>26</v>
      </c>
      <c r="AF205">
        <f ca="1">IF(AND(ISNUMBER($AF$324),$B$294=1),$AF$324,HLOOKUP(INDIRECT(ADDRESS(2,COLUMN())),OFFSET($AT$2,0,0,ROW()-1,40),ROW()-1,FALSE))</f>
        <v>26</v>
      </c>
      <c r="AG205">
        <f ca="1">IF(AND(ISNUMBER($AG$324),$B$294=1),$AG$324,HLOOKUP(INDIRECT(ADDRESS(2,COLUMN())),OFFSET($AT$2,0,0,ROW()-1,40),ROW()-1,FALSE))</f>
        <v>26</v>
      </c>
      <c r="AH205">
        <f ca="1">IF(AND(ISNUMBER($AH$324),$B$294=1),$AH$324,HLOOKUP(INDIRECT(ADDRESS(2,COLUMN())),OFFSET($AT$2,0,0,ROW()-1,40),ROW()-1,FALSE))</f>
        <v>25</v>
      </c>
      <c r="AI205">
        <f ca="1">IF(AND(ISNUMBER($AI$324),$B$294=1),$AI$324,HLOOKUP(INDIRECT(ADDRESS(2,COLUMN())),OFFSET($AT$2,0,0,ROW()-1,40),ROW()-1,FALSE))</f>
        <v>23</v>
      </c>
      <c r="AJ205">
        <f ca="1">IF(AND(ISNUMBER($AJ$324),$B$294=1),$AJ$324,HLOOKUP(INDIRECT(ADDRESS(2,COLUMN())),OFFSET($AT$2,0,0,ROW()-1,40),ROW()-1,FALSE))</f>
        <v>22</v>
      </c>
      <c r="AK205">
        <f ca="1">IF(AND(ISNUMBER($AK$324),$B$294=1),$AK$324,HLOOKUP(INDIRECT(ADDRESS(2,COLUMN())),OFFSET($AT$2,0,0,ROW()-1,40),ROW()-1,FALSE))</f>
        <v>29</v>
      </c>
      <c r="AL205">
        <f ca="1">IF(AND(ISNUMBER($AL$324),$B$294=1),$AL$324,HLOOKUP(INDIRECT(ADDRESS(2,COLUMN())),OFFSET($AT$2,0,0,ROW()-1,40),ROW()-1,FALSE))</f>
        <v>27</v>
      </c>
      <c r="AM205">
        <f ca="1">IF(AND(ISNUMBER($AM$324),$B$294=1),$AM$324,HLOOKUP(INDIRECT(ADDRESS(2,COLUMN())),OFFSET($AT$2,0,0,ROW()-1,40),ROW()-1,FALSE))</f>
        <v>29</v>
      </c>
      <c r="AN205">
        <f ca="1">IF(AND(ISNUMBER($AN$324),$B$294=1),$AN$324,HLOOKUP(INDIRECT(ADDRESS(2,COLUMN())),OFFSET($AT$2,0,0,ROW()-1,40),ROW()-1,FALSE))</f>
        <v>32</v>
      </c>
      <c r="AO205">
        <f ca="1">IF(AND(ISNUMBER($AO$324),$B$294=1),$AO$324,HLOOKUP(INDIRECT(ADDRESS(2,COLUMN())),OFFSET($AT$2,0,0,ROW()-1,40),ROW()-1,FALSE))</f>
        <v>29</v>
      </c>
      <c r="AP205">
        <f ca="1">IF(AND(ISNUMBER($AP$324),$B$294=1),$AP$324,HLOOKUP(INDIRECT(ADDRESS(2,COLUMN())),OFFSET($AT$2,0,0,ROW()-1,40),ROW()-1,FALSE))</f>
        <v>29</v>
      </c>
      <c r="AQ205">
        <f ca="1">IF(AND(ISNUMBER($AQ$324),$B$294=1),$AQ$324,HLOOKUP(INDIRECT(ADDRESS(2,COLUMN())),OFFSET($AT$2,0,0,ROW()-1,40),ROW()-1,FALSE))</f>
        <v>26</v>
      </c>
      <c r="AR205">
        <f ca="1">IF(AND(ISNUMBER($AR$324),$B$294=1),$AR$324,HLOOKUP(INDIRECT(ADDRESS(2,COLUMN())),OFFSET($AT$2,0,0,ROW()-1,40),ROW()-1,FALSE))</f>
        <v>10</v>
      </c>
      <c r="AS205">
        <f ca="1">IF(AND(ISNUMBER($AS$324),$B$294=1),$AS$324,HLOOKUP(INDIRECT(ADDRESS(2,COLUMN())),OFFSET($AT$2,0,0,ROW()-1,40),ROW()-1,FALSE))</f>
        <v>34</v>
      </c>
      <c r="AT205" t="str">
        <f>""</f>
        <v/>
      </c>
      <c r="AU205" t="str">
        <f>""</f>
        <v/>
      </c>
      <c r="AV205" t="str">
        <f>""</f>
        <v/>
      </c>
      <c r="AW205" t="str">
        <f>""</f>
        <v/>
      </c>
      <c r="AX205" t="str">
        <f>""</f>
        <v/>
      </c>
      <c r="AY205" t="str">
        <f>""</f>
        <v/>
      </c>
      <c r="AZ205" t="str">
        <f>""</f>
        <v/>
      </c>
      <c r="BA205" t="str">
        <f>""</f>
        <v/>
      </c>
      <c r="BB205" t="str">
        <f>""</f>
        <v/>
      </c>
      <c r="BC205" t="str">
        <f>""</f>
        <v/>
      </c>
      <c r="BD205">
        <f>68</f>
        <v>68</v>
      </c>
      <c r="BE205">
        <f>51</f>
        <v>51</v>
      </c>
      <c r="BF205">
        <f>47</f>
        <v>47</v>
      </c>
      <c r="BG205">
        <f>45</f>
        <v>45</v>
      </c>
      <c r="BH205">
        <f>36</f>
        <v>36</v>
      </c>
      <c r="BI205">
        <f>31</f>
        <v>31</v>
      </c>
      <c r="BJ205">
        <f>35</f>
        <v>35</v>
      </c>
      <c r="BK205">
        <f>41</f>
        <v>41</v>
      </c>
      <c r="BL205">
        <f>40</f>
        <v>40</v>
      </c>
      <c r="BM205">
        <f>35</f>
        <v>35</v>
      </c>
      <c r="BN205">
        <f>27</f>
        <v>27</v>
      </c>
      <c r="BO205">
        <f>39</f>
        <v>39</v>
      </c>
      <c r="BP205">
        <f>37</f>
        <v>37</v>
      </c>
      <c r="BQ205">
        <f>30</f>
        <v>30</v>
      </c>
      <c r="BR205">
        <f>28</f>
        <v>28</v>
      </c>
      <c r="BS205">
        <f>26</f>
        <v>26</v>
      </c>
      <c r="BT205">
        <f>26</f>
        <v>26</v>
      </c>
      <c r="BU205">
        <f>26</f>
        <v>26</v>
      </c>
      <c r="BV205">
        <f>25</f>
        <v>25</v>
      </c>
      <c r="BW205">
        <f>23</f>
        <v>23</v>
      </c>
      <c r="BX205">
        <f>22</f>
        <v>22</v>
      </c>
      <c r="BY205">
        <f>29</f>
        <v>29</v>
      </c>
      <c r="BZ205">
        <f>27</f>
        <v>27</v>
      </c>
      <c r="CA205">
        <f>29</f>
        <v>29</v>
      </c>
      <c r="CB205">
        <f>32</f>
        <v>32</v>
      </c>
      <c r="CC205">
        <f>29</f>
        <v>29</v>
      </c>
      <c r="CD205">
        <f>29</f>
        <v>29</v>
      </c>
      <c r="CE205">
        <f>26</f>
        <v>26</v>
      </c>
      <c r="CF205">
        <f>10</f>
        <v>10</v>
      </c>
      <c r="CG205">
        <f>34</f>
        <v>34</v>
      </c>
    </row>
    <row r="206" spans="1:85" x14ac:dyDescent="0.25">
      <c r="A206" t="str">
        <f>"    MAN - Volkswagen Truck &amp; Bus"</f>
        <v xml:space="preserve">    MAN - Volkswagen Truck &amp; Bus</v>
      </c>
      <c r="B206" t="str">
        <f>"VOW GR Equity"</f>
        <v>VOW GR Equity</v>
      </c>
      <c r="C206" t="str">
        <f t="shared" si="13"/>
        <v>X1701</v>
      </c>
      <c r="D206" t="str">
        <f t="shared" si="14"/>
        <v>WARDS_RETAIL_SALES_UNITS</v>
      </c>
      <c r="E206" t="str">
        <f t="shared" si="10"/>
        <v>Dynamic</v>
      </c>
      <c r="F206" t="str">
        <f ca="1">IF(AND(ISNUMBER($F$325),$B$294=1),$F$325,HLOOKUP(INDIRECT(ADDRESS(2,COLUMN())),OFFSET($AT$2,0,0,ROW()-1,40),ROW()-1,FALSE))</f>
        <v/>
      </c>
      <c r="G206" t="str">
        <f ca="1">IF(AND(ISNUMBER($G$325),$B$294=1),$G$325,HLOOKUP(INDIRECT(ADDRESS(2,COLUMN())),OFFSET($AT$2,0,0,ROW()-1,40),ROW()-1,FALSE))</f>
        <v/>
      </c>
      <c r="H206" t="str">
        <f ca="1">IF(AND(ISNUMBER($H$325),$B$294=1),$H$325,HLOOKUP(INDIRECT(ADDRESS(2,COLUMN())),OFFSET($AT$2,0,0,ROW()-1,40),ROW()-1,FALSE))</f>
        <v/>
      </c>
      <c r="I206" t="str">
        <f ca="1">IF(AND(ISNUMBER($I$325),$B$294=1),$I$325,HLOOKUP(INDIRECT(ADDRESS(2,COLUMN())),OFFSET($AT$2,0,0,ROW()-1,40),ROW()-1,FALSE))</f>
        <v/>
      </c>
      <c r="J206" t="str">
        <f ca="1">IF(AND(ISNUMBER($J$325),$B$294=1),$J$325,HLOOKUP(INDIRECT(ADDRESS(2,COLUMN())),OFFSET($AT$2,0,0,ROW()-1,40),ROW()-1,FALSE))</f>
        <v/>
      </c>
      <c r="K206" t="str">
        <f ca="1">IF(AND(ISNUMBER($K$325),$B$294=1),$K$325,HLOOKUP(INDIRECT(ADDRESS(2,COLUMN())),OFFSET($AT$2,0,0,ROW()-1,40),ROW()-1,FALSE))</f>
        <v/>
      </c>
      <c r="L206" t="str">
        <f ca="1">IF(AND(ISNUMBER($L$325),$B$294=1),$L$325,HLOOKUP(INDIRECT(ADDRESS(2,COLUMN())),OFFSET($AT$2,0,0,ROW()-1,40),ROW()-1,FALSE))</f>
        <v/>
      </c>
      <c r="M206" t="str">
        <f ca="1">IF(AND(ISNUMBER($M$325),$B$294=1),$M$325,HLOOKUP(INDIRECT(ADDRESS(2,COLUMN())),OFFSET($AT$2,0,0,ROW()-1,40),ROW()-1,FALSE))</f>
        <v/>
      </c>
      <c r="N206" t="str">
        <f ca="1">IF(AND(ISNUMBER($N$325),$B$294=1),$N$325,HLOOKUP(INDIRECT(ADDRESS(2,COLUMN())),OFFSET($AT$2,0,0,ROW()-1,40),ROW()-1,FALSE))</f>
        <v/>
      </c>
      <c r="O206" t="str">
        <f ca="1">IF(AND(ISNUMBER($O$325),$B$294=1),$O$325,HLOOKUP(INDIRECT(ADDRESS(2,COLUMN())),OFFSET($AT$2,0,0,ROW()-1,40),ROW()-1,FALSE))</f>
        <v/>
      </c>
      <c r="P206" t="str">
        <f ca="1">IF(AND(ISNUMBER($P$325),$B$294=1),$P$325,HLOOKUP(INDIRECT(ADDRESS(2,COLUMN())),OFFSET($AT$2,0,0,ROW()-1,40),ROW()-1,FALSE))</f>
        <v/>
      </c>
      <c r="Q206" t="str">
        <f ca="1">IF(AND(ISNUMBER($Q$325),$B$294=1),$Q$325,HLOOKUP(INDIRECT(ADDRESS(2,COLUMN())),OFFSET($AT$2,0,0,ROW()-1,40),ROW()-1,FALSE))</f>
        <v/>
      </c>
      <c r="R206" t="str">
        <f ca="1">IF(AND(ISNUMBER($R$325),$B$294=1),$R$325,HLOOKUP(INDIRECT(ADDRESS(2,COLUMN())),OFFSET($AT$2,0,0,ROW()-1,40),ROW()-1,FALSE))</f>
        <v/>
      </c>
      <c r="S206" t="str">
        <f ca="1">IF(AND(ISNUMBER($S$325),$B$294=1),$S$325,HLOOKUP(INDIRECT(ADDRESS(2,COLUMN())),OFFSET($AT$2,0,0,ROW()-1,40),ROW()-1,FALSE))</f>
        <v/>
      </c>
      <c r="T206" t="str">
        <f ca="1">IF(AND(ISNUMBER($T$325),$B$294=1),$T$325,HLOOKUP(INDIRECT(ADDRESS(2,COLUMN())),OFFSET($AT$2,0,0,ROW()-1,40),ROW()-1,FALSE))</f>
        <v/>
      </c>
      <c r="U206" t="str">
        <f ca="1">IF(AND(ISNUMBER($U$325),$B$294=1),$U$325,HLOOKUP(INDIRECT(ADDRESS(2,COLUMN())),OFFSET($AT$2,0,0,ROW()-1,40),ROW()-1,FALSE))</f>
        <v/>
      </c>
      <c r="V206" t="str">
        <f ca="1">IF(AND(ISNUMBER($V$325),$B$294=1),$V$325,HLOOKUP(INDIRECT(ADDRESS(2,COLUMN())),OFFSET($AT$2,0,0,ROW()-1,40),ROW()-1,FALSE))</f>
        <v/>
      </c>
      <c r="W206" t="str">
        <f ca="1">IF(AND(ISNUMBER($W$325),$B$294=1),$W$325,HLOOKUP(INDIRECT(ADDRESS(2,COLUMN())),OFFSET($AT$2,0,0,ROW()-1,40),ROW()-1,FALSE))</f>
        <v/>
      </c>
      <c r="X206" t="str">
        <f ca="1">IF(AND(ISNUMBER($X$325),$B$294=1),$X$325,HLOOKUP(INDIRECT(ADDRESS(2,COLUMN())),OFFSET($AT$2,0,0,ROW()-1,40),ROW()-1,FALSE))</f>
        <v/>
      </c>
      <c r="Y206" t="str">
        <f ca="1">IF(AND(ISNUMBER($Y$325),$B$294=1),$Y$325,HLOOKUP(INDIRECT(ADDRESS(2,COLUMN())),OFFSET($AT$2,0,0,ROW()-1,40),ROW()-1,FALSE))</f>
        <v/>
      </c>
      <c r="Z206" t="str">
        <f ca="1">IF(AND(ISNUMBER($Z$325),$B$294=1),$Z$325,HLOOKUP(INDIRECT(ADDRESS(2,COLUMN())),OFFSET($AT$2,0,0,ROW()-1,40),ROW()-1,FALSE))</f>
        <v/>
      </c>
      <c r="AA206" t="str">
        <f ca="1">IF(AND(ISNUMBER($AA$325),$B$294=1),$AA$325,HLOOKUP(INDIRECT(ADDRESS(2,COLUMN())),OFFSET($AT$2,0,0,ROW()-1,40),ROW()-1,FALSE))</f>
        <v/>
      </c>
      <c r="AB206" t="str">
        <f ca="1">IF(AND(ISNUMBER($AB$325),$B$294=1),$AB$325,HLOOKUP(INDIRECT(ADDRESS(2,COLUMN())),OFFSET($AT$2,0,0,ROW()-1,40),ROW()-1,FALSE))</f>
        <v/>
      </c>
      <c r="AC206" t="str">
        <f ca="1">IF(AND(ISNUMBER($AC$325),$B$294=1),$AC$325,HLOOKUP(INDIRECT(ADDRESS(2,COLUMN())),OFFSET($AT$2,0,0,ROW()-1,40),ROW()-1,FALSE))</f>
        <v/>
      </c>
      <c r="AD206" t="str">
        <f ca="1">IF(AND(ISNUMBER($AD$325),$B$294=1),$AD$325,HLOOKUP(INDIRECT(ADDRESS(2,COLUMN())),OFFSET($AT$2,0,0,ROW()-1,40),ROW()-1,FALSE))</f>
        <v/>
      </c>
      <c r="AE206" t="str">
        <f ca="1">IF(AND(ISNUMBER($AE$325),$B$294=1),$AE$325,HLOOKUP(INDIRECT(ADDRESS(2,COLUMN())),OFFSET($AT$2,0,0,ROW()-1,40),ROW()-1,FALSE))</f>
        <v/>
      </c>
      <c r="AF206" t="str">
        <f ca="1">IF(AND(ISNUMBER($AF$325),$B$294=1),$AF$325,HLOOKUP(INDIRECT(ADDRESS(2,COLUMN())),OFFSET($AT$2,0,0,ROW()-1,40),ROW()-1,FALSE))</f>
        <v/>
      </c>
      <c r="AG206" t="str">
        <f ca="1">IF(AND(ISNUMBER($AG$325),$B$294=1),$AG$325,HLOOKUP(INDIRECT(ADDRESS(2,COLUMN())),OFFSET($AT$2,0,0,ROW()-1,40),ROW()-1,FALSE))</f>
        <v/>
      </c>
      <c r="AH206" t="str">
        <f ca="1">IF(AND(ISNUMBER($AH$325),$B$294=1),$AH$325,HLOOKUP(INDIRECT(ADDRESS(2,COLUMN())),OFFSET($AT$2,0,0,ROW()-1,40),ROW()-1,FALSE))</f>
        <v/>
      </c>
      <c r="AI206" t="str">
        <f ca="1">IF(AND(ISNUMBER($AI$325),$B$294=1),$AI$325,HLOOKUP(INDIRECT(ADDRESS(2,COLUMN())),OFFSET($AT$2,0,0,ROW()-1,40),ROW()-1,FALSE))</f>
        <v/>
      </c>
      <c r="AJ206" t="str">
        <f ca="1">IF(AND(ISNUMBER($AJ$325),$B$294=1),$AJ$325,HLOOKUP(INDIRECT(ADDRESS(2,COLUMN())),OFFSET($AT$2,0,0,ROW()-1,40),ROW()-1,FALSE))</f>
        <v/>
      </c>
      <c r="AK206" t="str">
        <f ca="1">IF(AND(ISNUMBER($AK$325),$B$294=1),$AK$325,HLOOKUP(INDIRECT(ADDRESS(2,COLUMN())),OFFSET($AT$2,0,0,ROW()-1,40),ROW()-1,FALSE))</f>
        <v/>
      </c>
      <c r="AL206" t="str">
        <f ca="1">IF(AND(ISNUMBER($AL$325),$B$294=1),$AL$325,HLOOKUP(INDIRECT(ADDRESS(2,COLUMN())),OFFSET($AT$2,0,0,ROW()-1,40),ROW()-1,FALSE))</f>
        <v/>
      </c>
      <c r="AM206" t="str">
        <f ca="1">IF(AND(ISNUMBER($AM$325),$B$294=1),$AM$325,HLOOKUP(INDIRECT(ADDRESS(2,COLUMN())),OFFSET($AT$2,0,0,ROW()-1,40),ROW()-1,FALSE))</f>
        <v/>
      </c>
      <c r="AN206" t="str">
        <f ca="1">IF(AND(ISNUMBER($AN$325),$B$294=1),$AN$325,HLOOKUP(INDIRECT(ADDRESS(2,COLUMN())),OFFSET($AT$2,0,0,ROW()-1,40),ROW()-1,FALSE))</f>
        <v/>
      </c>
      <c r="AO206" t="str">
        <f ca="1">IF(AND(ISNUMBER($AO$325),$B$294=1),$AO$325,HLOOKUP(INDIRECT(ADDRESS(2,COLUMN())),OFFSET($AT$2,0,0,ROW()-1,40),ROW()-1,FALSE))</f>
        <v/>
      </c>
      <c r="AP206" t="str">
        <f ca="1">IF(AND(ISNUMBER($AP$325),$B$294=1),$AP$325,HLOOKUP(INDIRECT(ADDRESS(2,COLUMN())),OFFSET($AT$2,0,0,ROW()-1,40),ROW()-1,FALSE))</f>
        <v/>
      </c>
      <c r="AQ206" t="str">
        <f ca="1">IF(AND(ISNUMBER($AQ$325),$B$294=1),$AQ$325,HLOOKUP(INDIRECT(ADDRESS(2,COLUMN())),OFFSET($AT$2,0,0,ROW()-1,40),ROW()-1,FALSE))</f>
        <v/>
      </c>
      <c r="AR206" t="str">
        <f ca="1">IF(AND(ISNUMBER($AR$325),$B$294=1),$AR$325,HLOOKUP(INDIRECT(ADDRESS(2,COLUMN())),OFFSET($AT$2,0,0,ROW()-1,40),ROW()-1,FALSE))</f>
        <v/>
      </c>
      <c r="AS206" t="str">
        <f ca="1">IF(AND(ISNUMBER($AS$325),$B$294=1),$AS$325,HLOOKUP(INDIRECT(ADDRESS(2,COLUMN())),OFFSET($AT$2,0,0,ROW()-1,40),ROW()-1,FALSE))</f>
        <v/>
      </c>
      <c r="AT206" t="str">
        <f>""</f>
        <v/>
      </c>
      <c r="AU206" t="str">
        <f>""</f>
        <v/>
      </c>
      <c r="AV206" t="str">
        <f>""</f>
        <v/>
      </c>
      <c r="AW206" t="str">
        <f>""</f>
        <v/>
      </c>
      <c r="AX206" t="str">
        <f>""</f>
        <v/>
      </c>
      <c r="AY206" t="str">
        <f>""</f>
        <v/>
      </c>
      <c r="AZ206" t="str">
        <f>""</f>
        <v/>
      </c>
      <c r="BA206" t="str">
        <f>""</f>
        <v/>
      </c>
      <c r="BB206" t="str">
        <f>""</f>
        <v/>
      </c>
      <c r="BC206" t="str">
        <f>""</f>
        <v/>
      </c>
      <c r="BD206" t="str">
        <f>""</f>
        <v/>
      </c>
      <c r="BE206" t="str">
        <f>""</f>
        <v/>
      </c>
      <c r="BF206" t="str">
        <f>""</f>
        <v/>
      </c>
      <c r="BG206" t="str">
        <f>""</f>
        <v/>
      </c>
      <c r="BH206" t="str">
        <f>""</f>
        <v/>
      </c>
      <c r="BI206" t="str">
        <f>""</f>
        <v/>
      </c>
      <c r="BJ206" t="str">
        <f>""</f>
        <v/>
      </c>
      <c r="BK206" t="str">
        <f>""</f>
        <v/>
      </c>
      <c r="BL206" t="str">
        <f>""</f>
        <v/>
      </c>
      <c r="BM206" t="str">
        <f>""</f>
        <v/>
      </c>
      <c r="BN206" t="str">
        <f>""</f>
        <v/>
      </c>
      <c r="BO206" t="str">
        <f>""</f>
        <v/>
      </c>
      <c r="BP206" t="str">
        <f>""</f>
        <v/>
      </c>
      <c r="BQ206" t="str">
        <f>""</f>
        <v/>
      </c>
      <c r="BR206" t="str">
        <f>""</f>
        <v/>
      </c>
      <c r="BS206" t="str">
        <f>""</f>
        <v/>
      </c>
      <c r="BT206" t="str">
        <f>""</f>
        <v/>
      </c>
      <c r="BU206" t="str">
        <f>""</f>
        <v/>
      </c>
      <c r="BV206" t="str">
        <f>""</f>
        <v/>
      </c>
      <c r="BW206" t="str">
        <f>""</f>
        <v/>
      </c>
      <c r="BX206" t="str">
        <f>""</f>
        <v/>
      </c>
      <c r="BY206" t="str">
        <f>""</f>
        <v/>
      </c>
      <c r="BZ206" t="str">
        <f>""</f>
        <v/>
      </c>
      <c r="CA206" t="str">
        <f>""</f>
        <v/>
      </c>
      <c r="CB206" t="str">
        <f>""</f>
        <v/>
      </c>
      <c r="CC206" t="str">
        <f>""</f>
        <v/>
      </c>
      <c r="CD206" t="str">
        <f>""</f>
        <v/>
      </c>
      <c r="CE206" t="str">
        <f>""</f>
        <v/>
      </c>
      <c r="CF206" t="str">
        <f>""</f>
        <v/>
      </c>
      <c r="CG206" t="str">
        <f>""</f>
        <v/>
      </c>
    </row>
    <row r="207" spans="1:85" x14ac:dyDescent="0.25">
      <c r="A207" t="str">
        <f>"    Scania"</f>
        <v xml:space="preserve">    Scania</v>
      </c>
      <c r="B207" t="str">
        <f>"SCVB SS Equity"</f>
        <v>SCVB SS Equity</v>
      </c>
      <c r="C207" t="str">
        <f t="shared" si="13"/>
        <v>X1701</v>
      </c>
      <c r="D207" t="str">
        <f t="shared" si="14"/>
        <v>WARDS_RETAIL_SALES_UNITS</v>
      </c>
      <c r="E207" t="str">
        <f t="shared" si="10"/>
        <v>Dynamic</v>
      </c>
      <c r="F207" t="str">
        <f ca="1">IF(AND(ISNUMBER($F$326),$B$294=1),$F$326,HLOOKUP(INDIRECT(ADDRESS(2,COLUMN())),OFFSET($AT$2,0,0,ROW()-1,40),ROW()-1,FALSE))</f>
        <v/>
      </c>
      <c r="G207" t="str">
        <f ca="1">IF(AND(ISNUMBER($G$326),$B$294=1),$G$326,HLOOKUP(INDIRECT(ADDRESS(2,COLUMN())),OFFSET($AT$2,0,0,ROW()-1,40),ROW()-1,FALSE))</f>
        <v/>
      </c>
      <c r="H207" t="str">
        <f ca="1">IF(AND(ISNUMBER($H$326),$B$294=1),$H$326,HLOOKUP(INDIRECT(ADDRESS(2,COLUMN())),OFFSET($AT$2,0,0,ROW()-1,40),ROW()-1,FALSE))</f>
        <v/>
      </c>
      <c r="I207" t="str">
        <f ca="1">IF(AND(ISNUMBER($I$326),$B$294=1),$I$326,HLOOKUP(INDIRECT(ADDRESS(2,COLUMN())),OFFSET($AT$2,0,0,ROW()-1,40),ROW()-1,FALSE))</f>
        <v/>
      </c>
      <c r="J207" t="str">
        <f ca="1">IF(AND(ISNUMBER($J$326),$B$294=1),$J$326,HLOOKUP(INDIRECT(ADDRESS(2,COLUMN())),OFFSET($AT$2,0,0,ROW()-1,40),ROW()-1,FALSE))</f>
        <v/>
      </c>
      <c r="K207" t="str">
        <f ca="1">IF(AND(ISNUMBER($K$326),$B$294=1),$K$326,HLOOKUP(INDIRECT(ADDRESS(2,COLUMN())),OFFSET($AT$2,0,0,ROW()-1,40),ROW()-1,FALSE))</f>
        <v/>
      </c>
      <c r="L207" t="str">
        <f ca="1">IF(AND(ISNUMBER($L$326),$B$294=1),$L$326,HLOOKUP(INDIRECT(ADDRESS(2,COLUMN())),OFFSET($AT$2,0,0,ROW()-1,40),ROW()-1,FALSE))</f>
        <v/>
      </c>
      <c r="M207" t="str">
        <f ca="1">IF(AND(ISNUMBER($M$326),$B$294=1),$M$326,HLOOKUP(INDIRECT(ADDRESS(2,COLUMN())),OFFSET($AT$2,0,0,ROW()-1,40),ROW()-1,FALSE))</f>
        <v/>
      </c>
      <c r="N207" t="str">
        <f ca="1">IF(AND(ISNUMBER($N$326),$B$294=1),$N$326,HLOOKUP(INDIRECT(ADDRESS(2,COLUMN())),OFFSET($AT$2,0,0,ROW()-1,40),ROW()-1,FALSE))</f>
        <v/>
      </c>
      <c r="O207" t="str">
        <f ca="1">IF(AND(ISNUMBER($O$326),$B$294=1),$O$326,HLOOKUP(INDIRECT(ADDRESS(2,COLUMN())),OFFSET($AT$2,0,0,ROW()-1,40),ROW()-1,FALSE))</f>
        <v/>
      </c>
      <c r="P207">
        <f ca="1">IF(AND(ISNUMBER($P$326),$B$294=1),$P$326,HLOOKUP(INDIRECT(ADDRESS(2,COLUMN())),OFFSET($AT$2,0,0,ROW()-1,40),ROW()-1,FALSE))</f>
        <v>222</v>
      </c>
      <c r="Q207">
        <f ca="1">IF(AND(ISNUMBER($Q$326),$B$294=1),$Q$326,HLOOKUP(INDIRECT(ADDRESS(2,COLUMN())),OFFSET($AT$2,0,0,ROW()-1,40),ROW()-1,FALSE))</f>
        <v>165</v>
      </c>
      <c r="R207">
        <f ca="1">IF(AND(ISNUMBER($R$326),$B$294=1),$R$326,HLOOKUP(INDIRECT(ADDRESS(2,COLUMN())),OFFSET($AT$2,0,0,ROW()-1,40),ROW()-1,FALSE))</f>
        <v>154</v>
      </c>
      <c r="S207">
        <f ca="1">IF(AND(ISNUMBER($S$326),$B$294=1),$S$326,HLOOKUP(INDIRECT(ADDRESS(2,COLUMN())),OFFSET($AT$2,0,0,ROW()-1,40),ROW()-1,FALSE))</f>
        <v>146</v>
      </c>
      <c r="T207">
        <f ca="1">IF(AND(ISNUMBER($T$326),$B$294=1),$T$326,HLOOKUP(INDIRECT(ADDRESS(2,COLUMN())),OFFSET($AT$2,0,0,ROW()-1,40),ROW()-1,FALSE))</f>
        <v>119</v>
      </c>
      <c r="U207">
        <f ca="1">IF(AND(ISNUMBER($U$326),$B$294=1),$U$326,HLOOKUP(INDIRECT(ADDRESS(2,COLUMN())),OFFSET($AT$2,0,0,ROW()-1,40),ROW()-1,FALSE))</f>
        <v>102</v>
      </c>
      <c r="V207">
        <f ca="1">IF(AND(ISNUMBER($V$326),$B$294=1),$V$326,HLOOKUP(INDIRECT(ADDRESS(2,COLUMN())),OFFSET($AT$2,0,0,ROW()-1,40),ROW()-1,FALSE))</f>
        <v>116</v>
      </c>
      <c r="W207">
        <f ca="1">IF(AND(ISNUMBER($W$326),$B$294=1),$W$326,HLOOKUP(INDIRECT(ADDRESS(2,COLUMN())),OFFSET($AT$2,0,0,ROW()-1,40),ROW()-1,FALSE))</f>
        <v>134</v>
      </c>
      <c r="X207">
        <f ca="1">IF(AND(ISNUMBER($X$326),$B$294=1),$X$326,HLOOKUP(INDIRECT(ADDRESS(2,COLUMN())),OFFSET($AT$2,0,0,ROW()-1,40),ROW()-1,FALSE))</f>
        <v>131</v>
      </c>
      <c r="Y207">
        <f ca="1">IF(AND(ISNUMBER($Y$326),$B$294=1),$Y$326,HLOOKUP(INDIRECT(ADDRESS(2,COLUMN())),OFFSET($AT$2,0,0,ROW()-1,40),ROW()-1,FALSE))</f>
        <v>116</v>
      </c>
      <c r="Z207">
        <f ca="1">IF(AND(ISNUMBER($Z$326),$B$294=1),$Z$326,HLOOKUP(INDIRECT(ADDRESS(2,COLUMN())),OFFSET($AT$2,0,0,ROW()-1,40),ROW()-1,FALSE))</f>
        <v>89</v>
      </c>
      <c r="AA207">
        <f ca="1">IF(AND(ISNUMBER($AA$326),$B$294=1),$AA$326,HLOOKUP(INDIRECT(ADDRESS(2,COLUMN())),OFFSET($AT$2,0,0,ROW()-1,40),ROW()-1,FALSE))</f>
        <v>127</v>
      </c>
      <c r="AB207">
        <f ca="1">IF(AND(ISNUMBER($AB$326),$B$294=1),$AB$326,HLOOKUP(INDIRECT(ADDRESS(2,COLUMN())),OFFSET($AT$2,0,0,ROW()-1,40),ROW()-1,FALSE))</f>
        <v>118</v>
      </c>
      <c r="AC207">
        <f ca="1">IF(AND(ISNUMBER($AC$326),$B$294=1),$AC$326,HLOOKUP(INDIRECT(ADDRESS(2,COLUMN())),OFFSET($AT$2,0,0,ROW()-1,40),ROW()-1,FALSE))</f>
        <v>95</v>
      </c>
      <c r="AD207">
        <f ca="1">IF(AND(ISNUMBER($AD$326),$B$294=1),$AD$326,HLOOKUP(INDIRECT(ADDRESS(2,COLUMN())),OFFSET($AT$2,0,0,ROW()-1,40),ROW()-1,FALSE))</f>
        <v>89</v>
      </c>
      <c r="AE207">
        <f ca="1">IF(AND(ISNUMBER($AE$326),$B$294=1),$AE$326,HLOOKUP(INDIRECT(ADDRESS(2,COLUMN())),OFFSET($AT$2,0,0,ROW()-1,40),ROW()-1,FALSE))</f>
        <v>83</v>
      </c>
      <c r="AF207">
        <f ca="1">IF(AND(ISNUMBER($AF$326),$B$294=1),$AF$326,HLOOKUP(INDIRECT(ADDRESS(2,COLUMN())),OFFSET($AT$2,0,0,ROW()-1,40),ROW()-1,FALSE))</f>
        <v>83</v>
      </c>
      <c r="AG207">
        <f ca="1">IF(AND(ISNUMBER($AG$326),$B$294=1),$AG$326,HLOOKUP(INDIRECT(ADDRESS(2,COLUMN())),OFFSET($AT$2,0,0,ROW()-1,40),ROW()-1,FALSE))</f>
        <v>83</v>
      </c>
      <c r="AH207">
        <f ca="1">IF(AND(ISNUMBER($AH$326),$B$294=1),$AH$326,HLOOKUP(INDIRECT(ADDRESS(2,COLUMN())),OFFSET($AT$2,0,0,ROW()-1,40),ROW()-1,FALSE))</f>
        <v>80</v>
      </c>
      <c r="AI207">
        <f ca="1">IF(AND(ISNUMBER($AI$326),$B$294=1),$AI$326,HLOOKUP(INDIRECT(ADDRESS(2,COLUMN())),OFFSET($AT$2,0,0,ROW()-1,40),ROW()-1,FALSE))</f>
        <v>74</v>
      </c>
      <c r="AJ207">
        <f ca="1">IF(AND(ISNUMBER($AJ$326),$B$294=1),$AJ$326,HLOOKUP(INDIRECT(ADDRESS(2,COLUMN())),OFFSET($AT$2,0,0,ROW()-1,40),ROW()-1,FALSE))</f>
        <v>71</v>
      </c>
      <c r="AK207">
        <f ca="1">IF(AND(ISNUMBER($AK$326),$B$294=1),$AK$326,HLOOKUP(INDIRECT(ADDRESS(2,COLUMN())),OFFSET($AT$2,0,0,ROW()-1,40),ROW()-1,FALSE))</f>
        <v>92</v>
      </c>
      <c r="AL207">
        <f ca="1">IF(AND(ISNUMBER($AL$326),$B$294=1),$AL$326,HLOOKUP(INDIRECT(ADDRESS(2,COLUMN())),OFFSET($AT$2,0,0,ROW()-1,40),ROW()-1,FALSE))</f>
        <v>86</v>
      </c>
      <c r="AM207">
        <f ca="1">IF(AND(ISNUMBER($AM$326),$B$294=1),$AM$326,HLOOKUP(INDIRECT(ADDRESS(2,COLUMN())),OFFSET($AT$2,0,0,ROW()-1,40),ROW()-1,FALSE))</f>
        <v>92</v>
      </c>
      <c r="AN207">
        <f ca="1">IF(AND(ISNUMBER($AN$326),$B$294=1),$AN$326,HLOOKUP(INDIRECT(ADDRESS(2,COLUMN())),OFFSET($AT$2,0,0,ROW()-1,40),ROW()-1,FALSE))</f>
        <v>101</v>
      </c>
      <c r="AO207">
        <f ca="1">IF(AND(ISNUMBER($AO$326),$B$294=1),$AO$326,HLOOKUP(INDIRECT(ADDRESS(2,COLUMN())),OFFSET($AT$2,0,0,ROW()-1,40),ROW()-1,FALSE))</f>
        <v>93</v>
      </c>
      <c r="AP207">
        <f ca="1">IF(AND(ISNUMBER($AP$326),$B$294=1),$AP$326,HLOOKUP(INDIRECT(ADDRESS(2,COLUMN())),OFFSET($AT$2,0,0,ROW()-1,40),ROW()-1,FALSE))</f>
        <v>98</v>
      </c>
      <c r="AQ207">
        <f ca="1">IF(AND(ISNUMBER($AQ$326),$B$294=1),$AQ$326,HLOOKUP(INDIRECT(ADDRESS(2,COLUMN())),OFFSET($AT$2,0,0,ROW()-1,40),ROW()-1,FALSE))</f>
        <v>76</v>
      </c>
      <c r="AR207">
        <f ca="1">IF(AND(ISNUMBER($AR$326),$B$294=1),$AR$326,HLOOKUP(INDIRECT(ADDRESS(2,COLUMN())),OFFSET($AT$2,0,0,ROW()-1,40),ROW()-1,FALSE))</f>
        <v>47</v>
      </c>
      <c r="AS207">
        <f ca="1">IF(AND(ISNUMBER($AS$326),$B$294=1),$AS$326,HLOOKUP(INDIRECT(ADDRESS(2,COLUMN())),OFFSET($AT$2,0,0,ROW()-1,40),ROW()-1,FALSE))</f>
        <v>69</v>
      </c>
      <c r="AT207" t="str">
        <f>""</f>
        <v/>
      </c>
      <c r="AU207" t="str">
        <f>""</f>
        <v/>
      </c>
      <c r="AV207" t="str">
        <f>""</f>
        <v/>
      </c>
      <c r="AW207" t="str">
        <f>""</f>
        <v/>
      </c>
      <c r="AX207" t="str">
        <f>""</f>
        <v/>
      </c>
      <c r="AY207" t="str">
        <f>""</f>
        <v/>
      </c>
      <c r="AZ207" t="str">
        <f>""</f>
        <v/>
      </c>
      <c r="BA207" t="str">
        <f>""</f>
        <v/>
      </c>
      <c r="BB207" t="str">
        <f>""</f>
        <v/>
      </c>
      <c r="BC207" t="str">
        <f>""</f>
        <v/>
      </c>
      <c r="BD207">
        <f>222</f>
        <v>222</v>
      </c>
      <c r="BE207">
        <f>165</f>
        <v>165</v>
      </c>
      <c r="BF207">
        <f>154</f>
        <v>154</v>
      </c>
      <c r="BG207">
        <f>146</f>
        <v>146</v>
      </c>
      <c r="BH207">
        <f>119</f>
        <v>119</v>
      </c>
      <c r="BI207">
        <f>102</f>
        <v>102</v>
      </c>
      <c r="BJ207">
        <f>116</f>
        <v>116</v>
      </c>
      <c r="BK207">
        <f>134</f>
        <v>134</v>
      </c>
      <c r="BL207">
        <f>131</f>
        <v>131</v>
      </c>
      <c r="BM207">
        <f>116</f>
        <v>116</v>
      </c>
      <c r="BN207">
        <f>89</f>
        <v>89</v>
      </c>
      <c r="BO207">
        <f>127</f>
        <v>127</v>
      </c>
      <c r="BP207">
        <f>118</f>
        <v>118</v>
      </c>
      <c r="BQ207">
        <f>95</f>
        <v>95</v>
      </c>
      <c r="BR207">
        <f>89</f>
        <v>89</v>
      </c>
      <c r="BS207">
        <f>83</f>
        <v>83</v>
      </c>
      <c r="BT207">
        <f>83</f>
        <v>83</v>
      </c>
      <c r="BU207">
        <f>83</f>
        <v>83</v>
      </c>
      <c r="BV207">
        <f>80</f>
        <v>80</v>
      </c>
      <c r="BW207">
        <f>74</f>
        <v>74</v>
      </c>
      <c r="BX207">
        <f>71</f>
        <v>71</v>
      </c>
      <c r="BY207">
        <f>92</f>
        <v>92</v>
      </c>
      <c r="BZ207">
        <f>86</f>
        <v>86</v>
      </c>
      <c r="CA207">
        <f>92</f>
        <v>92</v>
      </c>
      <c r="CB207">
        <f>101</f>
        <v>101</v>
      </c>
      <c r="CC207">
        <f>93</f>
        <v>93</v>
      </c>
      <c r="CD207">
        <f>98</f>
        <v>98</v>
      </c>
      <c r="CE207">
        <f>76</f>
        <v>76</v>
      </c>
      <c r="CF207">
        <f>47</f>
        <v>47</v>
      </c>
      <c r="CG207">
        <f>69</f>
        <v>69</v>
      </c>
    </row>
    <row r="208" spans="1:85" x14ac:dyDescent="0.25">
      <c r="A208" t="str">
        <f>"    Unspecified/Other"</f>
        <v xml:space="preserve">    Unspecified/Other</v>
      </c>
      <c r="B208" t="str">
        <f>""</f>
        <v/>
      </c>
      <c r="E208" t="str">
        <f>"Expression"</f>
        <v>Expression</v>
      </c>
      <c r="F208">
        <f t="shared" ref="F208:AS208" ca="1" si="15">HLOOKUP(INDIRECT(ADDRESS(2,COLUMN())),OFFSET($AT$2,0,0,ROW()-1,40),ROW()-1,FALSE)</f>
        <v>380</v>
      </c>
      <c r="G208">
        <f t="shared" ca="1" si="15"/>
        <v>503</v>
      </c>
      <c r="H208">
        <f t="shared" ca="1" si="15"/>
        <v>329</v>
      </c>
      <c r="I208">
        <f t="shared" ca="1" si="15"/>
        <v>354</v>
      </c>
      <c r="J208">
        <f t="shared" ca="1" si="15"/>
        <v>485</v>
      </c>
      <c r="K208">
        <f t="shared" ca="1" si="15"/>
        <v>417</v>
      </c>
      <c r="L208">
        <f t="shared" ca="1" si="15"/>
        <v>388</v>
      </c>
      <c r="M208">
        <f t="shared" ca="1" si="15"/>
        <v>440</v>
      </c>
      <c r="N208">
        <f t="shared" ca="1" si="15"/>
        <v>233</v>
      </c>
      <c r="O208">
        <f t="shared" ca="1" si="15"/>
        <v>343</v>
      </c>
      <c r="P208">
        <f t="shared" ca="1" si="15"/>
        <v>0</v>
      </c>
      <c r="Q208">
        <f t="shared" ca="1" si="15"/>
        <v>0</v>
      </c>
      <c r="R208">
        <f t="shared" ca="1" si="15"/>
        <v>0</v>
      </c>
      <c r="S208">
        <f t="shared" ca="1" si="15"/>
        <v>0</v>
      </c>
      <c r="T208">
        <f t="shared" ca="1" si="15"/>
        <v>0</v>
      </c>
      <c r="U208">
        <f t="shared" ca="1" si="15"/>
        <v>0</v>
      </c>
      <c r="V208">
        <f t="shared" ca="1" si="15"/>
        <v>0</v>
      </c>
      <c r="W208">
        <f t="shared" ca="1" si="15"/>
        <v>0</v>
      </c>
      <c r="X208">
        <f t="shared" ca="1" si="15"/>
        <v>0</v>
      </c>
      <c r="Y208">
        <f t="shared" ca="1" si="15"/>
        <v>0</v>
      </c>
      <c r="Z208">
        <f t="shared" ca="1" si="15"/>
        <v>0</v>
      </c>
      <c r="AA208">
        <f t="shared" ca="1" si="15"/>
        <v>0</v>
      </c>
      <c r="AB208">
        <f t="shared" ca="1" si="15"/>
        <v>0</v>
      </c>
      <c r="AC208">
        <f t="shared" ca="1" si="15"/>
        <v>0</v>
      </c>
      <c r="AD208">
        <f t="shared" ca="1" si="15"/>
        <v>0</v>
      </c>
      <c r="AE208">
        <f t="shared" ca="1" si="15"/>
        <v>0</v>
      </c>
      <c r="AF208">
        <f t="shared" ca="1" si="15"/>
        <v>0</v>
      </c>
      <c r="AG208">
        <f t="shared" ca="1" si="15"/>
        <v>0</v>
      </c>
      <c r="AH208">
        <f t="shared" ca="1" si="15"/>
        <v>0</v>
      </c>
      <c r="AI208">
        <f t="shared" ca="1" si="15"/>
        <v>0</v>
      </c>
      <c r="AJ208">
        <f t="shared" ca="1" si="15"/>
        <v>0</v>
      </c>
      <c r="AK208">
        <f t="shared" ca="1" si="15"/>
        <v>0</v>
      </c>
      <c r="AL208">
        <f t="shared" ca="1" si="15"/>
        <v>0</v>
      </c>
      <c r="AM208">
        <f t="shared" ca="1" si="15"/>
        <v>0</v>
      </c>
      <c r="AN208">
        <f t="shared" ca="1" si="15"/>
        <v>0</v>
      </c>
      <c r="AO208">
        <f t="shared" ca="1" si="15"/>
        <v>0</v>
      </c>
      <c r="AP208">
        <f t="shared" ca="1" si="15"/>
        <v>0</v>
      </c>
      <c r="AQ208">
        <f t="shared" ca="1" si="15"/>
        <v>0</v>
      </c>
      <c r="AR208">
        <f t="shared" ca="1" si="15"/>
        <v>0</v>
      </c>
      <c r="AS208">
        <f t="shared" ca="1" si="15"/>
        <v>0</v>
      </c>
      <c r="AT208">
        <f>380</f>
        <v>380</v>
      </c>
      <c r="AU208">
        <f>503</f>
        <v>503</v>
      </c>
      <c r="AV208">
        <f>329</f>
        <v>329</v>
      </c>
      <c r="AW208">
        <f>354</f>
        <v>354</v>
      </c>
      <c r="AX208">
        <f>485</f>
        <v>485</v>
      </c>
      <c r="AY208">
        <f>417</f>
        <v>417</v>
      </c>
      <c r="AZ208">
        <f>388</f>
        <v>388</v>
      </c>
      <c r="BA208">
        <f>440</f>
        <v>440</v>
      </c>
      <c r="BB208">
        <f>233</f>
        <v>233</v>
      </c>
      <c r="BC208">
        <f>343</f>
        <v>343</v>
      </c>
      <c r="BD208">
        <f>0</f>
        <v>0</v>
      </c>
      <c r="BE208">
        <f>0</f>
        <v>0</v>
      </c>
      <c r="BF208">
        <f>0</f>
        <v>0</v>
      </c>
      <c r="BG208">
        <f>0</f>
        <v>0</v>
      </c>
      <c r="BH208">
        <f>0</f>
        <v>0</v>
      </c>
      <c r="BI208">
        <f>0</f>
        <v>0</v>
      </c>
      <c r="BJ208">
        <f>0</f>
        <v>0</v>
      </c>
      <c r="BK208">
        <f>0</f>
        <v>0</v>
      </c>
      <c r="BL208">
        <f>0</f>
        <v>0</v>
      </c>
      <c r="BM208">
        <f>0</f>
        <v>0</v>
      </c>
      <c r="BN208">
        <f>0</f>
        <v>0</v>
      </c>
      <c r="BO208">
        <f>0</f>
        <v>0</v>
      </c>
      <c r="BP208">
        <f>0</f>
        <v>0</v>
      </c>
      <c r="BQ208">
        <f>0</f>
        <v>0</v>
      </c>
      <c r="BR208">
        <f>0</f>
        <v>0</v>
      </c>
      <c r="BS208">
        <f>0</f>
        <v>0</v>
      </c>
      <c r="BT208">
        <f>0</f>
        <v>0</v>
      </c>
      <c r="BU208">
        <f>0</f>
        <v>0</v>
      </c>
      <c r="BV208">
        <f>0</f>
        <v>0</v>
      </c>
      <c r="BW208">
        <f>0</f>
        <v>0</v>
      </c>
      <c r="BX208">
        <f>0</f>
        <v>0</v>
      </c>
      <c r="BY208">
        <f>0</f>
        <v>0</v>
      </c>
      <c r="BZ208">
        <f>0</f>
        <v>0</v>
      </c>
      <c r="CA208">
        <f>0</f>
        <v>0</v>
      </c>
      <c r="CB208">
        <f>0</f>
        <v>0</v>
      </c>
      <c r="CC208">
        <f>0</f>
        <v>0</v>
      </c>
      <c r="CD208">
        <f>0</f>
        <v>0</v>
      </c>
      <c r="CE208">
        <f>0</f>
        <v>0</v>
      </c>
      <c r="CF208">
        <f>0</f>
        <v>0</v>
      </c>
      <c r="CG208">
        <f>0</f>
        <v>0</v>
      </c>
    </row>
    <row r="209" spans="1:85" x14ac:dyDescent="0.25">
      <c r="A209" t="str">
        <f>"Total North America (Class 6-7)"</f>
        <v>Total North America (Class 6-7)</v>
      </c>
      <c r="B209" t="str">
        <f>"TRCKNA6S Index"</f>
        <v>TRCKNA6S Index</v>
      </c>
      <c r="C209" t="str">
        <f>"PR005"</f>
        <v>PR005</v>
      </c>
      <c r="D209" t="str">
        <f>"PX_LAST"</f>
        <v>PX_LAST</v>
      </c>
      <c r="E209" t="str">
        <f>"Dynamic"</f>
        <v>Dynamic</v>
      </c>
      <c r="F209">
        <f ca="1">IF(AND(ISNUMBER($F$327),$B$294=1),$F$327,HLOOKUP(INDIRECT(ADDRESS(2,COLUMN())),OFFSET($AT$2,0,0,ROW()-1,40),ROW()-1,FALSE))</f>
        <v>11874</v>
      </c>
      <c r="G209">
        <f ca="1">IF(AND(ISNUMBER($G$327),$B$294=1),$G$327,HLOOKUP(INDIRECT(ADDRESS(2,COLUMN())),OFFSET($AT$2,0,0,ROW()-1,40),ROW()-1,FALSE))</f>
        <v>11212</v>
      </c>
      <c r="H209">
        <f ca="1">IF(AND(ISNUMBER($H$327),$B$294=1),$H$327,HLOOKUP(INDIRECT(ADDRESS(2,COLUMN())),OFFSET($AT$2,0,0,ROW()-1,40),ROW()-1,FALSE))</f>
        <v>13645</v>
      </c>
      <c r="I209">
        <f ca="1">IF(AND(ISNUMBER($I$327),$B$294=1),$I$327,HLOOKUP(INDIRECT(ADDRESS(2,COLUMN())),OFFSET($AT$2,0,0,ROW()-1,40),ROW()-1,FALSE))</f>
        <v>11102</v>
      </c>
      <c r="J209">
        <f ca="1">IF(AND(ISNUMBER($J$327),$B$294=1),$J$327,HLOOKUP(INDIRECT(ADDRESS(2,COLUMN())),OFFSET($AT$2,0,0,ROW()-1,40),ROW()-1,FALSE))</f>
        <v>11462</v>
      </c>
      <c r="K209">
        <f ca="1">IF(AND(ISNUMBER($K$327),$B$294=1),$K$327,HLOOKUP(INDIRECT(ADDRESS(2,COLUMN())),OFFSET($AT$2,0,0,ROW()-1,40),ROW()-1,FALSE))</f>
        <v>10943</v>
      </c>
      <c r="L209">
        <f ca="1">IF(AND(ISNUMBER($L$327),$B$294=1),$L$327,HLOOKUP(INDIRECT(ADDRESS(2,COLUMN())),OFFSET($AT$2,0,0,ROW()-1,40),ROW()-1,FALSE))</f>
        <v>11193</v>
      </c>
      <c r="M209">
        <f ca="1">IF(AND(ISNUMBER($M$327),$B$294=1),$M$327,HLOOKUP(INDIRECT(ADDRESS(2,COLUMN())),OFFSET($AT$2,0,0,ROW()-1,40),ROW()-1,FALSE))</f>
        <v>13806</v>
      </c>
      <c r="N209">
        <f ca="1">IF(AND(ISNUMBER($N$327),$B$294=1),$N$327,HLOOKUP(INDIRECT(ADDRESS(2,COLUMN())),OFFSET($AT$2,0,0,ROW()-1,40),ROW()-1,FALSE))</f>
        <v>10901</v>
      </c>
      <c r="O209">
        <f ca="1">IF(AND(ISNUMBER($O$327),$B$294=1),$O$327,HLOOKUP(INDIRECT(ADDRESS(2,COLUMN())),OFFSET($AT$2,0,0,ROW()-1,40),ROW()-1,FALSE))</f>
        <v>9962</v>
      </c>
      <c r="P209">
        <f ca="1">IF(AND(ISNUMBER($P$327),$B$294=1),$P$327,HLOOKUP(INDIRECT(ADDRESS(2,COLUMN())),OFFSET($AT$2,0,0,ROW()-1,40),ROW()-1,FALSE))</f>
        <v>11689</v>
      </c>
      <c r="Q209">
        <f ca="1">IF(AND(ISNUMBER($Q$327),$B$294=1),$Q$327,HLOOKUP(INDIRECT(ADDRESS(2,COLUMN())),OFFSET($AT$2,0,0,ROW()-1,40),ROW()-1,FALSE))</f>
        <v>9895</v>
      </c>
      <c r="R209">
        <f ca="1">IF(AND(ISNUMBER($R$327),$B$294=1),$R$327,HLOOKUP(INDIRECT(ADDRESS(2,COLUMN())),OFFSET($AT$2,0,0,ROW()-1,40),ROW()-1,FALSE))</f>
        <v>10705</v>
      </c>
      <c r="S209">
        <f ca="1">IF(AND(ISNUMBER($S$327),$B$294=1),$S$327,HLOOKUP(INDIRECT(ADDRESS(2,COLUMN())),OFFSET($AT$2,0,0,ROW()-1,40),ROW()-1,FALSE))</f>
        <v>11848</v>
      </c>
      <c r="T209">
        <f ca="1">IF(AND(ISNUMBER($T$327),$B$294=1),$T$327,HLOOKUP(INDIRECT(ADDRESS(2,COLUMN())),OFFSET($AT$2,0,0,ROW()-1,40),ROW()-1,FALSE))</f>
        <v>12410</v>
      </c>
      <c r="U209">
        <f ca="1">IF(AND(ISNUMBER($U$327),$B$294=1),$U$327,HLOOKUP(INDIRECT(ADDRESS(2,COLUMN())),OFFSET($AT$2,0,0,ROW()-1,40),ROW()-1,FALSE))</f>
        <v>11016</v>
      </c>
      <c r="V209">
        <f ca="1">IF(AND(ISNUMBER($V$327),$B$294=1),$V$327,HLOOKUP(INDIRECT(ADDRESS(2,COLUMN())),OFFSET($AT$2,0,0,ROW()-1,40),ROW()-1,FALSE))</f>
        <v>11674</v>
      </c>
      <c r="W209">
        <f ca="1">IF(AND(ISNUMBER($W$327),$B$294=1),$W$327,HLOOKUP(INDIRECT(ADDRESS(2,COLUMN())),OFFSET($AT$2,0,0,ROW()-1,40),ROW()-1,FALSE))</f>
        <v>10916</v>
      </c>
      <c r="X209">
        <f ca="1">IF(AND(ISNUMBER($X$327),$B$294=1),$X$327,HLOOKUP(INDIRECT(ADDRESS(2,COLUMN())),OFFSET($AT$2,0,0,ROW()-1,40),ROW()-1,FALSE))</f>
        <v>11308</v>
      </c>
      <c r="Y209">
        <f ca="1">IF(AND(ISNUMBER($Y$327),$B$294=1),$Y$327,HLOOKUP(INDIRECT(ADDRESS(2,COLUMN())),OFFSET($AT$2,0,0,ROW()-1,40),ROW()-1,FALSE))</f>
        <v>13119</v>
      </c>
      <c r="Z209">
        <f ca="1">IF(AND(ISNUMBER($Z$327),$B$294=1),$Z$327,HLOOKUP(INDIRECT(ADDRESS(2,COLUMN())),OFFSET($AT$2,0,0,ROW()-1,40),ROW()-1,FALSE))</f>
        <v>11171</v>
      </c>
      <c r="AA209">
        <f ca="1">IF(AND(ISNUMBER($AA$327),$B$294=1),$AA$327,HLOOKUP(INDIRECT(ADDRESS(2,COLUMN())),OFFSET($AT$2,0,0,ROW()-1,40),ROW()-1,FALSE))</f>
        <v>9843</v>
      </c>
      <c r="AB209">
        <f ca="1">IF(AND(ISNUMBER($AB$327),$B$294=1),$AB$327,HLOOKUP(INDIRECT(ADDRESS(2,COLUMN())),OFFSET($AT$2,0,0,ROW()-1,40),ROW()-1,FALSE))</f>
        <v>11598</v>
      </c>
      <c r="AC209">
        <f ca="1">IF(AND(ISNUMBER($AC$327),$B$294=1),$AC$327,HLOOKUP(INDIRECT(ADDRESS(2,COLUMN())),OFFSET($AT$2,0,0,ROW()-1,40),ROW()-1,FALSE))</f>
        <v>10547</v>
      </c>
      <c r="AD209">
        <f ca="1">IF(AND(ISNUMBER($AD$327),$B$294=1),$AD$327,HLOOKUP(INDIRECT(ADDRESS(2,COLUMN())),OFFSET($AT$2,0,0,ROW()-1,40),ROW()-1,FALSE))</f>
        <v>12020</v>
      </c>
      <c r="AE209">
        <f ca="1">IF(AND(ISNUMBER($AE$327),$B$294=1),$AE$327,HLOOKUP(INDIRECT(ADDRESS(2,COLUMN())),OFFSET($AT$2,0,0,ROW()-1,40),ROW()-1,FALSE))</f>
        <v>11007</v>
      </c>
      <c r="AF209">
        <f ca="1">IF(AND(ISNUMBER($AF$327),$B$294=1),$AF$327,HLOOKUP(INDIRECT(ADDRESS(2,COLUMN())),OFFSET($AT$2,0,0,ROW()-1,40),ROW()-1,FALSE))</f>
        <v>11184</v>
      </c>
      <c r="AG209">
        <f ca="1">IF(AND(ISNUMBER($AG$327),$B$294=1),$AG$327,HLOOKUP(INDIRECT(ADDRESS(2,COLUMN())),OFFSET($AT$2,0,0,ROW()-1,40),ROW()-1,FALSE))</f>
        <v>11442</v>
      </c>
      <c r="AH209">
        <f ca="1">IF(AND(ISNUMBER($AH$327),$B$294=1),$AH$327,HLOOKUP(INDIRECT(ADDRESS(2,COLUMN())),OFFSET($AT$2,0,0,ROW()-1,40),ROW()-1,FALSE))</f>
        <v>11385</v>
      </c>
      <c r="AI209">
        <f ca="1">IF(AND(ISNUMBER($AI$327),$B$294=1),$AI$327,HLOOKUP(INDIRECT(ADDRESS(2,COLUMN())),OFFSET($AT$2,0,0,ROW()-1,40),ROW()-1,FALSE))</f>
        <v>9475</v>
      </c>
      <c r="AJ209">
        <f ca="1">IF(AND(ISNUMBER($AJ$327),$B$294=1),$AJ$327,HLOOKUP(INDIRECT(ADDRESS(2,COLUMN())),OFFSET($AT$2,0,0,ROW()-1,40),ROW()-1,FALSE))</f>
        <v>9965</v>
      </c>
      <c r="AK209">
        <f ca="1">IF(AND(ISNUMBER($AK$327),$B$294=1),$AK$327,HLOOKUP(INDIRECT(ADDRESS(2,COLUMN())),OFFSET($AT$2,0,0,ROW()-1,40),ROW()-1,FALSE))</f>
        <v>11406</v>
      </c>
      <c r="AL209">
        <f ca="1">IF(AND(ISNUMBER($AL$327),$B$294=1),$AL$327,HLOOKUP(INDIRECT(ADDRESS(2,COLUMN())),OFFSET($AT$2,0,0,ROW()-1,40),ROW()-1,FALSE))</f>
        <v>9040</v>
      </c>
      <c r="AM209">
        <f ca="1">IF(AND(ISNUMBER($AM$327),$B$294=1),$AM$327,HLOOKUP(INDIRECT(ADDRESS(2,COLUMN())),OFFSET($AT$2,0,0,ROW()-1,40),ROW()-1,FALSE))</f>
        <v>9193</v>
      </c>
      <c r="AN209">
        <f ca="1">IF(AND(ISNUMBER($AN$327),$B$294=1),$AN$327,HLOOKUP(INDIRECT(ADDRESS(2,COLUMN())),OFFSET($AT$2,0,0,ROW()-1,40),ROW()-1,FALSE))</f>
        <v>11257</v>
      </c>
      <c r="AO209">
        <f ca="1">IF(AND(ISNUMBER($AO$327),$B$294=1),$AO$327,HLOOKUP(INDIRECT(ADDRESS(2,COLUMN())),OFFSET($AT$2,0,0,ROW()-1,40),ROW()-1,FALSE))</f>
        <v>7981</v>
      </c>
      <c r="AP209">
        <f ca="1">IF(AND(ISNUMBER($AP$327),$B$294=1),$AP$327,HLOOKUP(INDIRECT(ADDRESS(2,COLUMN())),OFFSET($AT$2,0,0,ROW()-1,40),ROW()-1,FALSE))</f>
        <v>10648</v>
      </c>
      <c r="AQ209">
        <f ca="1">IF(AND(ISNUMBER($AQ$327),$B$294=1),$AQ$327,HLOOKUP(INDIRECT(ADDRESS(2,COLUMN())),OFFSET($AT$2,0,0,ROW()-1,40),ROW()-1,FALSE))</f>
        <v>10667</v>
      </c>
      <c r="AR209">
        <f ca="1">IF(AND(ISNUMBER($AR$327),$B$294=1),$AR$327,HLOOKUP(INDIRECT(ADDRESS(2,COLUMN())),OFFSET($AT$2,0,0,ROW()-1,40),ROW()-1,FALSE))</f>
        <v>9927</v>
      </c>
      <c r="AS209">
        <f ca="1">IF(AND(ISNUMBER($AS$327),$B$294=1),$AS$327,HLOOKUP(INDIRECT(ADDRESS(2,COLUMN())),OFFSET($AT$2,0,0,ROW()-1,40),ROW()-1,FALSE))</f>
        <v>11137</v>
      </c>
      <c r="AT209">
        <f>11874</f>
        <v>11874</v>
      </c>
      <c r="AU209">
        <f>11212</f>
        <v>11212</v>
      </c>
      <c r="AV209">
        <f>13645</f>
        <v>13645</v>
      </c>
      <c r="AW209">
        <f>11102</f>
        <v>11102</v>
      </c>
      <c r="AX209">
        <f>11462</f>
        <v>11462</v>
      </c>
      <c r="AY209">
        <f>10943</f>
        <v>10943</v>
      </c>
      <c r="AZ209">
        <f>11193</f>
        <v>11193</v>
      </c>
      <c r="BA209">
        <f>13806</f>
        <v>13806</v>
      </c>
      <c r="BB209">
        <f>10901</f>
        <v>10901</v>
      </c>
      <c r="BC209">
        <f>9962</f>
        <v>9962</v>
      </c>
      <c r="BD209">
        <f>11689</f>
        <v>11689</v>
      </c>
      <c r="BE209">
        <f>9895</f>
        <v>9895</v>
      </c>
      <c r="BF209">
        <f>10705</f>
        <v>10705</v>
      </c>
      <c r="BG209">
        <f>11848</f>
        <v>11848</v>
      </c>
      <c r="BH209">
        <f>12410</f>
        <v>12410</v>
      </c>
      <c r="BI209">
        <f>11016</f>
        <v>11016</v>
      </c>
      <c r="BJ209">
        <f>11674</f>
        <v>11674</v>
      </c>
      <c r="BK209">
        <f>10916</f>
        <v>10916</v>
      </c>
      <c r="BL209">
        <f>11308</f>
        <v>11308</v>
      </c>
      <c r="BM209">
        <f>13119</f>
        <v>13119</v>
      </c>
      <c r="BN209">
        <f>11171</f>
        <v>11171</v>
      </c>
      <c r="BO209">
        <f>9843</f>
        <v>9843</v>
      </c>
      <c r="BP209">
        <f>11598</f>
        <v>11598</v>
      </c>
      <c r="BQ209">
        <f>10547</f>
        <v>10547</v>
      </c>
      <c r="BR209">
        <f>12020</f>
        <v>12020</v>
      </c>
      <c r="BS209">
        <f>11007</f>
        <v>11007</v>
      </c>
      <c r="BT209">
        <f>11184</f>
        <v>11184</v>
      </c>
      <c r="BU209">
        <f>11442</f>
        <v>11442</v>
      </c>
      <c r="BV209">
        <f>11385</f>
        <v>11385</v>
      </c>
      <c r="BW209">
        <f>9475</f>
        <v>9475</v>
      </c>
      <c r="BX209">
        <f>9965</f>
        <v>9965</v>
      </c>
      <c r="BY209">
        <f>11406</f>
        <v>11406</v>
      </c>
      <c r="BZ209">
        <f>9040</f>
        <v>9040</v>
      </c>
      <c r="CA209">
        <f>9193</f>
        <v>9193</v>
      </c>
      <c r="CB209">
        <f>11257</f>
        <v>11257</v>
      </c>
      <c r="CC209">
        <f>7981</f>
        <v>7981</v>
      </c>
      <c r="CD209">
        <f>10648</f>
        <v>10648</v>
      </c>
      <c r="CE209">
        <f>10667</f>
        <v>10667</v>
      </c>
      <c r="CF209">
        <f>9927</f>
        <v>9927</v>
      </c>
      <c r="CG209">
        <f>11137</f>
        <v>11137</v>
      </c>
    </row>
    <row r="210" spans="1:85" x14ac:dyDescent="0.25">
      <c r="A210" t="str">
        <f>"    Daimler - Freightliner"</f>
        <v xml:space="preserve">    Daimler - Freightliner</v>
      </c>
      <c r="B210" t="str">
        <f>""</f>
        <v/>
      </c>
      <c r="E210" t="str">
        <f t="shared" ref="E210:E218" si="16">"Expression"</f>
        <v>Expression</v>
      </c>
      <c r="F210">
        <f ca="1">IF(AND($B$294=1,LEN($F$235) * LEN($F$254) * LEN($F$265)&gt;0),$F$235+$F$254+$F$265,HLOOKUP(INDIRECT(ADDRESS(2,COLUMN())),OFFSET($AT$2,0,0,ROW()-1,40),ROW()-1,FALSE))</f>
        <v>4235</v>
      </c>
      <c r="G210">
        <f ca="1">IF(AND($B$294=1,LEN($G$235) * LEN($G$254) * LEN($G$265)&gt;0),$G$235+$G$254+$G$265,HLOOKUP(INDIRECT(ADDRESS(2,COLUMN())),OFFSET($AT$2,0,0,ROW()-1,40),ROW()-1,FALSE))</f>
        <v>4113</v>
      </c>
      <c r="H210">
        <f ca="1">IF(AND($B$294=1,LEN($H$235) * LEN($H$254) * LEN($H$265)&gt;0),$H$235+$H$254+$H$265,HLOOKUP(INDIRECT(ADDRESS(2,COLUMN())),OFFSET($AT$2,0,0,ROW()-1,40),ROW()-1,FALSE))</f>
        <v>4799</v>
      </c>
      <c r="I210">
        <f ca="1">IF(AND($B$294=1,LEN($I$235) * LEN($I$254) * LEN($I$265)&gt;0),$I$235+$I$254+$I$265,HLOOKUP(INDIRECT(ADDRESS(2,COLUMN())),OFFSET($AT$2,0,0,ROW()-1,40),ROW()-1,FALSE))</f>
        <v>3770</v>
      </c>
      <c r="J210">
        <f ca="1">IF(AND($B$294=1,LEN($J$235) * LEN($J$254) * LEN($J$265)&gt;0),$J$235+$J$254+$J$265,HLOOKUP(INDIRECT(ADDRESS(2,COLUMN())),OFFSET($AT$2,0,0,ROW()-1,40),ROW()-1,FALSE))</f>
        <v>3912</v>
      </c>
      <c r="K210">
        <f ca="1">IF(AND($B$294=1,LEN($K$235) * LEN($K$254) * LEN($K$265)&gt;0),$K$235+$K$254+$K$265,HLOOKUP(INDIRECT(ADDRESS(2,COLUMN())),OFFSET($AT$2,0,0,ROW()-1,40),ROW()-1,FALSE))</f>
        <v>4471</v>
      </c>
      <c r="L210">
        <f ca="1">IF(AND($B$294=1,LEN($L$235) * LEN($L$254) * LEN($L$265)&gt;0),$L$235+$L$254+$L$265,HLOOKUP(INDIRECT(ADDRESS(2,COLUMN())),OFFSET($AT$2,0,0,ROW()-1,40),ROW()-1,FALSE))</f>
        <v>4246</v>
      </c>
      <c r="M210">
        <f ca="1">IF(AND($B$294=1,LEN($M$235) * LEN($M$254) * LEN($M$265)&gt;0),$M$235+$M$254+$M$265,HLOOKUP(INDIRECT(ADDRESS(2,COLUMN())),OFFSET($AT$2,0,0,ROW()-1,40),ROW()-1,FALSE))</f>
        <v>4988</v>
      </c>
      <c r="N210">
        <f ca="1">IF(AND($B$294=1,LEN($N$235) * LEN($N$254) * LEN($N$265)&gt;0),$N$235+$N$254+$N$265,HLOOKUP(INDIRECT(ADDRESS(2,COLUMN())),OFFSET($AT$2,0,0,ROW()-1,40),ROW()-1,FALSE))</f>
        <v>4288</v>
      </c>
      <c r="O210">
        <f ca="1">IF(AND($B$294=1,LEN($O$235) * LEN($O$254) * LEN($O$265)&gt;0),$O$235+$O$254+$O$265,HLOOKUP(INDIRECT(ADDRESS(2,COLUMN())),OFFSET($AT$2,0,0,ROW()-1,40),ROW()-1,FALSE))</f>
        <v>3698</v>
      </c>
      <c r="P210">
        <f ca="1">IF(AND($B$294=1,LEN($P$235) * LEN($P$254) * LEN($P$265)&gt;0),$P$235+$P$254+$P$265,HLOOKUP(INDIRECT(ADDRESS(2,COLUMN())),OFFSET($AT$2,0,0,ROW()-1,40),ROW()-1,FALSE))</f>
        <v>3390</v>
      </c>
      <c r="Q210">
        <f ca="1">IF(AND($B$294=1,LEN($Q$235) * LEN($Q$254) * LEN($Q$265)&gt;0),$Q$235+$Q$254+$Q$265,HLOOKUP(INDIRECT(ADDRESS(2,COLUMN())),OFFSET($AT$2,0,0,ROW()-1,40),ROW()-1,FALSE))</f>
        <v>3624</v>
      </c>
      <c r="R210">
        <f ca="1">IF(AND($B$294=1,LEN($R$235) * LEN($R$254) * LEN($R$265)&gt;0),$R$235+$R$254+$R$265,HLOOKUP(INDIRECT(ADDRESS(2,COLUMN())),OFFSET($AT$2,0,0,ROW()-1,40),ROW()-1,FALSE))</f>
        <v>4054</v>
      </c>
      <c r="S210">
        <f ca="1">IF(AND($B$294=1,LEN($S$235) * LEN($S$254) * LEN($S$265)&gt;0),$S$235+$S$254+$S$265,HLOOKUP(INDIRECT(ADDRESS(2,COLUMN())),OFFSET($AT$2,0,0,ROW()-1,40),ROW()-1,FALSE))</f>
        <v>3925</v>
      </c>
      <c r="T210">
        <f ca="1">IF(AND($B$294=1,LEN($T$235) * LEN($T$254) * LEN($T$265)&gt;0),$T$235+$T$254+$T$265,HLOOKUP(INDIRECT(ADDRESS(2,COLUMN())),OFFSET($AT$2,0,0,ROW()-1,40),ROW()-1,FALSE))</f>
        <v>4664</v>
      </c>
      <c r="U210">
        <f ca="1">IF(AND($B$294=1,LEN($U$235) * LEN($U$254) * LEN($U$265)&gt;0),$U$235+$U$254+$U$265,HLOOKUP(INDIRECT(ADDRESS(2,COLUMN())),OFFSET($AT$2,0,0,ROW()-1,40),ROW()-1,FALSE))</f>
        <v>4063</v>
      </c>
      <c r="V210">
        <f ca="1">IF(AND($B$294=1,LEN($V$235) * LEN($V$254) * LEN($V$265)&gt;0),$V$235+$V$254+$V$265,HLOOKUP(INDIRECT(ADDRESS(2,COLUMN())),OFFSET($AT$2,0,0,ROW()-1,40),ROW()-1,FALSE))</f>
        <v>4350</v>
      </c>
      <c r="W210">
        <f ca="1">IF(AND($B$294=1,LEN($W$235) * LEN($W$254) * LEN($W$265)&gt;0),$W$235+$W$254+$W$265,HLOOKUP(INDIRECT(ADDRESS(2,COLUMN())),OFFSET($AT$2,0,0,ROW()-1,40),ROW()-1,FALSE))</f>
        <v>4011</v>
      </c>
      <c r="X210">
        <f ca="1">IF(AND($B$294=1,LEN($X$235) * LEN($X$254) * LEN($X$265)&gt;0),$X$235+$X$254+$X$265,HLOOKUP(INDIRECT(ADDRESS(2,COLUMN())),OFFSET($AT$2,0,0,ROW()-1,40),ROW()-1,FALSE))</f>
        <v>3860</v>
      </c>
      <c r="Y210">
        <f ca="1">IF(AND($B$294=1,LEN($Y$235) * LEN($Y$254) * LEN($Y$265)&gt;0),$Y$235+$Y$254+$Y$265,HLOOKUP(INDIRECT(ADDRESS(2,COLUMN())),OFFSET($AT$2,0,0,ROW()-1,40),ROW()-1,FALSE))</f>
        <v>4425</v>
      </c>
      <c r="Z210">
        <f ca="1">IF(AND($B$294=1,LEN($Z$235) * LEN($Z$254) * LEN($Z$265)&gt;0),$Z$235+$Z$254+$Z$265,HLOOKUP(INDIRECT(ADDRESS(2,COLUMN())),OFFSET($AT$2,0,0,ROW()-1,40),ROW()-1,FALSE))</f>
        <v>4436</v>
      </c>
      <c r="AA210">
        <f ca="1">IF(AND($B$294=1,LEN($AA$235) * LEN($AA$254) * LEN($AA$265)&gt;0),$AA$235+$AA$254+$AA$265,HLOOKUP(INDIRECT(ADDRESS(2,COLUMN())),OFFSET($AT$2,0,0,ROW()-1,40),ROW()-1,FALSE))</f>
        <v>4028</v>
      </c>
      <c r="AB210">
        <f ca="1">IF(AND($B$294=1,LEN($AB$235) * LEN($AB$254) * LEN($AB$265)&gt;0),$AB$235+$AB$254+$AB$265,HLOOKUP(INDIRECT(ADDRESS(2,COLUMN())),OFFSET($AT$2,0,0,ROW()-1,40),ROW()-1,FALSE))</f>
        <v>3557</v>
      </c>
      <c r="AC210">
        <f ca="1">IF(AND($B$294=1,LEN($AC$235) * LEN($AC$254) * LEN($AC$265)&gt;0),$AC$235+$AC$254+$AC$265,HLOOKUP(INDIRECT(ADDRESS(2,COLUMN())),OFFSET($AT$2,0,0,ROW()-1,40),ROW()-1,FALSE))</f>
        <v>4589</v>
      </c>
      <c r="AD210">
        <f ca="1">IF(AND($B$294=1,LEN($AD$235) * LEN($AD$254) * LEN($AD$265)&gt;0),$AD$235+$AD$254+$AD$265,HLOOKUP(INDIRECT(ADDRESS(2,COLUMN())),OFFSET($AT$2,0,0,ROW()-1,40),ROW()-1,FALSE))</f>
        <v>4907</v>
      </c>
      <c r="AE210">
        <f ca="1">IF(AND($B$294=1,LEN($AE$235) * LEN($AE$254) * LEN($AE$265)&gt;0),$AE$235+$AE$254+$AE$265,HLOOKUP(INDIRECT(ADDRESS(2,COLUMN())),OFFSET($AT$2,0,0,ROW()-1,40),ROW()-1,FALSE))</f>
        <v>4295</v>
      </c>
      <c r="AF210">
        <f ca="1">IF(AND($B$294=1,LEN($AF$235) * LEN($AF$254) * LEN($AF$265)&gt;0),$AF$235+$AF$254+$AF$265,HLOOKUP(INDIRECT(ADDRESS(2,COLUMN())),OFFSET($AT$2,0,0,ROW()-1,40),ROW()-1,FALSE))</f>
        <v>4126</v>
      </c>
      <c r="AG210">
        <f ca="1">IF(AND($B$294=1,LEN($AG$235) * LEN($AG$254) * LEN($AG$265)&gt;0),$AG$235+$AG$254+$AG$265,HLOOKUP(INDIRECT(ADDRESS(2,COLUMN())),OFFSET($AT$2,0,0,ROW()-1,40),ROW()-1,FALSE))</f>
        <v>3859</v>
      </c>
      <c r="AH210">
        <f ca="1">IF(AND($B$294=1,LEN($AH$235) * LEN($AH$254) * LEN($AH$265)&gt;0),$AH$235+$AH$254+$AH$265,HLOOKUP(INDIRECT(ADDRESS(2,COLUMN())),OFFSET($AT$2,0,0,ROW()-1,40),ROW()-1,FALSE))</f>
        <v>4182</v>
      </c>
      <c r="AI210">
        <f ca="1">IF(AND($B$294=1,LEN($AI$235) * LEN($AI$254) * LEN($AI$265)&gt;0),$AI$235+$AI$254+$AI$265,HLOOKUP(INDIRECT(ADDRESS(2,COLUMN())),OFFSET($AT$2,0,0,ROW()-1,40),ROW()-1,FALSE))</f>
        <v>4037</v>
      </c>
      <c r="AJ210">
        <f ca="1">IF(AND($B$294=1,LEN($AJ$235) * LEN($AJ$254) * LEN($AJ$265)&gt;0),$AJ$235+$AJ$254+$AJ$265,HLOOKUP(INDIRECT(ADDRESS(2,COLUMN())),OFFSET($AT$2,0,0,ROW()-1,40),ROW()-1,FALSE))</f>
        <v>3941</v>
      </c>
      <c r="AK210">
        <f ca="1">IF(AND($B$294=1,LEN($AK$235) * LEN($AK$254) * LEN($AK$265)&gt;0),$AK$235+$AK$254+$AK$265,HLOOKUP(INDIRECT(ADDRESS(2,COLUMN())),OFFSET($AT$2,0,0,ROW()-1,40),ROW()-1,FALSE))</f>
        <v>4121</v>
      </c>
      <c r="AL210">
        <f ca="1">IF(AND($B$294=1,LEN($AL$235) * LEN($AL$254) * LEN($AL$265)&gt;0),$AL$235+$AL$254+$AL$265,HLOOKUP(INDIRECT(ADDRESS(2,COLUMN())),OFFSET($AT$2,0,0,ROW()-1,40),ROW()-1,FALSE))</f>
        <v>3564</v>
      </c>
      <c r="AM210">
        <f ca="1">IF(AND($B$294=1,LEN($AM$235) * LEN($AM$254) * LEN($AM$265)&gt;0),$AM$235+$AM$254+$AM$265,HLOOKUP(INDIRECT(ADDRESS(2,COLUMN())),OFFSET($AT$2,0,0,ROW()-1,40),ROW()-1,FALSE))</f>
        <v>3599</v>
      </c>
      <c r="AN210">
        <f ca="1">IF(AND($B$294=1,LEN($AN$235) * LEN($AN$254) * LEN($AN$265)&gt;0),$AN$235+$AN$254+$AN$265,HLOOKUP(INDIRECT(ADDRESS(2,COLUMN())),OFFSET($AT$2,0,0,ROW()-1,40),ROW()-1,FALSE))</f>
        <v>3702</v>
      </c>
      <c r="AO210">
        <f ca="1">IF(AND($B$294=1,LEN($AO$235) * LEN($AO$254) * LEN($AO$265)&gt;0),$AO$235+$AO$254+$AO$265,HLOOKUP(INDIRECT(ADDRESS(2,COLUMN())),OFFSET($AT$2,0,0,ROW()-1,40),ROW()-1,FALSE))</f>
        <v>2932</v>
      </c>
      <c r="AP210">
        <f ca="1">IF(AND($B$294=1,LEN($AP$235) * LEN($AP$254) * LEN($AP$265)&gt;0),$AP$235+$AP$254+$AP$265,HLOOKUP(INDIRECT(ADDRESS(2,COLUMN())),OFFSET($AT$2,0,0,ROW()-1,40),ROW()-1,FALSE))</f>
        <v>4215</v>
      </c>
      <c r="AQ210">
        <f ca="1">IF(AND($B$294=1,LEN($AQ$235) * LEN($AQ$254) * LEN($AQ$265)&gt;0),$AQ$235+$AQ$254+$AQ$265,HLOOKUP(INDIRECT(ADDRESS(2,COLUMN())),OFFSET($AT$2,0,0,ROW()-1,40),ROW()-1,FALSE))</f>
        <v>3912</v>
      </c>
      <c r="AR210">
        <f ca="1">IF(AND($B$294=1,LEN($AR$235) * LEN($AR$254) * LEN($AR$265)&gt;0),$AR$235+$AR$254+$AR$265,HLOOKUP(INDIRECT(ADDRESS(2,COLUMN())),OFFSET($AT$2,0,0,ROW()-1,40),ROW()-1,FALSE))</f>
        <v>3911</v>
      </c>
      <c r="AS210">
        <f ca="1">IF(AND($B$294=1,LEN($AS$235) * LEN($AS$254) * LEN($AS$265)&gt;0),$AS$235+$AS$254+$AS$265,HLOOKUP(INDIRECT(ADDRESS(2,COLUMN())),OFFSET($AT$2,0,0,ROW()-1,40),ROW()-1,FALSE))</f>
        <v>4250</v>
      </c>
      <c r="AT210">
        <f>4235</f>
        <v>4235</v>
      </c>
      <c r="AU210">
        <f>4113</f>
        <v>4113</v>
      </c>
      <c r="AV210">
        <f>4799</f>
        <v>4799</v>
      </c>
      <c r="AW210">
        <f>3770</f>
        <v>3770</v>
      </c>
      <c r="AX210">
        <f>3912</f>
        <v>3912</v>
      </c>
      <c r="AY210">
        <f>4471</f>
        <v>4471</v>
      </c>
      <c r="AZ210">
        <f>4246</f>
        <v>4246</v>
      </c>
      <c r="BA210">
        <f>4988</f>
        <v>4988</v>
      </c>
      <c r="BB210">
        <f>4288</f>
        <v>4288</v>
      </c>
      <c r="BC210">
        <f>3698</f>
        <v>3698</v>
      </c>
      <c r="BD210">
        <f>3390</f>
        <v>3390</v>
      </c>
      <c r="BE210">
        <f>3624</f>
        <v>3624</v>
      </c>
      <c r="BF210">
        <f>4054</f>
        <v>4054</v>
      </c>
      <c r="BG210">
        <f>3925</f>
        <v>3925</v>
      </c>
      <c r="BH210">
        <f>4664</f>
        <v>4664</v>
      </c>
      <c r="BI210">
        <f>4063</f>
        <v>4063</v>
      </c>
      <c r="BJ210">
        <f>4350</f>
        <v>4350</v>
      </c>
      <c r="BK210">
        <f>4011</f>
        <v>4011</v>
      </c>
      <c r="BL210">
        <f>3860</f>
        <v>3860</v>
      </c>
      <c r="BM210">
        <f>4425</f>
        <v>4425</v>
      </c>
      <c r="BN210">
        <f>4436</f>
        <v>4436</v>
      </c>
      <c r="BO210">
        <f>4028</f>
        <v>4028</v>
      </c>
      <c r="BP210">
        <f>3557</f>
        <v>3557</v>
      </c>
      <c r="BQ210">
        <f>4589</f>
        <v>4589</v>
      </c>
      <c r="BR210">
        <f>4907</f>
        <v>4907</v>
      </c>
      <c r="BS210">
        <f>4295</f>
        <v>4295</v>
      </c>
      <c r="BT210">
        <f>4126</f>
        <v>4126</v>
      </c>
      <c r="BU210">
        <f>3859</f>
        <v>3859</v>
      </c>
      <c r="BV210">
        <f>4182</f>
        <v>4182</v>
      </c>
      <c r="BW210">
        <f>4037</f>
        <v>4037</v>
      </c>
      <c r="BX210">
        <f>3941</f>
        <v>3941</v>
      </c>
      <c r="BY210">
        <f>4121</f>
        <v>4121</v>
      </c>
      <c r="BZ210">
        <f>3564</f>
        <v>3564</v>
      </c>
      <c r="CA210">
        <f>3599</f>
        <v>3599</v>
      </c>
      <c r="CB210">
        <f>3702</f>
        <v>3702</v>
      </c>
      <c r="CC210">
        <f>2932</f>
        <v>2932</v>
      </c>
      <c r="CD210">
        <f>4215</f>
        <v>4215</v>
      </c>
      <c r="CE210">
        <f>3912</f>
        <v>3912</v>
      </c>
      <c r="CF210">
        <f>3911</f>
        <v>3911</v>
      </c>
      <c r="CG210">
        <f>4250</f>
        <v>4250</v>
      </c>
    </row>
    <row r="211" spans="1:85" x14ac:dyDescent="0.25">
      <c r="A211" t="str">
        <f>"    Daimler - Mercedes-Benz"</f>
        <v xml:space="preserve">    Daimler - Mercedes-Benz</v>
      </c>
      <c r="B211" t="str">
        <f>""</f>
        <v/>
      </c>
      <c r="E211" t="str">
        <f t="shared" si="16"/>
        <v>Expression</v>
      </c>
      <c r="F211" t="str">
        <f ca="1">IF(AND($B$294=1,LEN($F$266)&gt;0),$F$266,HLOOKUP(INDIRECT(ADDRESS(2,COLUMN())),OFFSET($AT$2,0,0,ROW()-1,40),ROW()-1,FALSE))</f>
        <v/>
      </c>
      <c r="G211" t="str">
        <f ca="1">IF(AND($B$294=1,LEN($G$266)&gt;0),$G$266,HLOOKUP(INDIRECT(ADDRESS(2,COLUMN())),OFFSET($AT$2,0,0,ROW()-1,40),ROW()-1,FALSE))</f>
        <v/>
      </c>
      <c r="H211" t="str">
        <f ca="1">IF(AND($B$294=1,LEN($H$266)&gt;0),$H$266,HLOOKUP(INDIRECT(ADDRESS(2,COLUMN())),OFFSET($AT$2,0,0,ROW()-1,40),ROW()-1,FALSE))</f>
        <v/>
      </c>
      <c r="I211" t="str">
        <f ca="1">IF(AND($B$294=1,LEN($I$266)&gt;0),$I$266,HLOOKUP(INDIRECT(ADDRESS(2,COLUMN())),OFFSET($AT$2,0,0,ROW()-1,40),ROW()-1,FALSE))</f>
        <v/>
      </c>
      <c r="J211" t="str">
        <f ca="1">IF(AND($B$294=1,LEN($J$266)&gt;0),$J$266,HLOOKUP(INDIRECT(ADDRESS(2,COLUMN())),OFFSET($AT$2,0,0,ROW()-1,40),ROW()-1,FALSE))</f>
        <v/>
      </c>
      <c r="K211" t="str">
        <f ca="1">IF(AND($B$294=1,LEN($K$266)&gt;0),$K$266,HLOOKUP(INDIRECT(ADDRESS(2,COLUMN())),OFFSET($AT$2,0,0,ROW()-1,40),ROW()-1,FALSE))</f>
        <v/>
      </c>
      <c r="L211" t="str">
        <f ca="1">IF(AND($B$294=1,LEN($L$266)&gt;0),$L$266,HLOOKUP(INDIRECT(ADDRESS(2,COLUMN())),OFFSET($AT$2,0,0,ROW()-1,40),ROW()-1,FALSE))</f>
        <v/>
      </c>
      <c r="M211" t="str">
        <f ca="1">IF(AND($B$294=1,LEN($M$266)&gt;0),$M$266,HLOOKUP(INDIRECT(ADDRESS(2,COLUMN())),OFFSET($AT$2,0,0,ROW()-1,40),ROW()-1,FALSE))</f>
        <v/>
      </c>
      <c r="N211" t="str">
        <f ca="1">IF(AND($B$294=1,LEN($N$266)&gt;0),$N$266,HLOOKUP(INDIRECT(ADDRESS(2,COLUMN())),OFFSET($AT$2,0,0,ROW()-1,40),ROW()-1,FALSE))</f>
        <v/>
      </c>
      <c r="O211" t="str">
        <f ca="1">IF(AND($B$294=1,LEN($O$266)&gt;0),$O$266,HLOOKUP(INDIRECT(ADDRESS(2,COLUMN())),OFFSET($AT$2,0,0,ROW()-1,40),ROW()-1,FALSE))</f>
        <v/>
      </c>
      <c r="P211">
        <f ca="1">IF(AND($B$294=1,LEN($P$266)&gt;0),$P$266,HLOOKUP(INDIRECT(ADDRESS(2,COLUMN())),OFFSET($AT$2,0,0,ROW()-1,40),ROW()-1,FALSE))</f>
        <v>433</v>
      </c>
      <c r="Q211">
        <f ca="1">IF(AND($B$294=1,LEN($Q$266)&gt;0),$Q$266,HLOOKUP(INDIRECT(ADDRESS(2,COLUMN())),OFFSET($AT$2,0,0,ROW()-1,40),ROW()-1,FALSE))</f>
        <v>361</v>
      </c>
      <c r="R211">
        <f ca="1">IF(AND($B$294=1,LEN($R$266)&gt;0),$R$266,HLOOKUP(INDIRECT(ADDRESS(2,COLUMN())),OFFSET($AT$2,0,0,ROW()-1,40),ROW()-1,FALSE))</f>
        <v>293</v>
      </c>
      <c r="S211">
        <f ca="1">IF(AND($B$294=1,LEN($S$266)&gt;0),$S$266,HLOOKUP(INDIRECT(ADDRESS(2,COLUMN())),OFFSET($AT$2,0,0,ROW()-1,40),ROW()-1,FALSE))</f>
        <v>318</v>
      </c>
      <c r="T211">
        <f ca="1">IF(AND($B$294=1,LEN($T$266)&gt;0),$T$266,HLOOKUP(INDIRECT(ADDRESS(2,COLUMN())),OFFSET($AT$2,0,0,ROW()-1,40),ROW()-1,FALSE))</f>
        <v>418</v>
      </c>
      <c r="U211">
        <f ca="1">IF(AND($B$294=1,LEN($U$266)&gt;0),$U$266,HLOOKUP(INDIRECT(ADDRESS(2,COLUMN())),OFFSET($AT$2,0,0,ROW()-1,40),ROW()-1,FALSE))</f>
        <v>367</v>
      </c>
      <c r="V211">
        <f ca="1">IF(AND($B$294=1,LEN($V$266)&gt;0),$V$266,HLOOKUP(INDIRECT(ADDRESS(2,COLUMN())),OFFSET($AT$2,0,0,ROW()-1,40),ROW()-1,FALSE))</f>
        <v>454</v>
      </c>
      <c r="W211">
        <f ca="1">IF(AND($B$294=1,LEN($W$266)&gt;0),$W$266,HLOOKUP(INDIRECT(ADDRESS(2,COLUMN())),OFFSET($AT$2,0,0,ROW()-1,40),ROW()-1,FALSE))</f>
        <v>293</v>
      </c>
      <c r="X211">
        <f ca="1">IF(AND($B$294=1,LEN($X$266)&gt;0),$X$266,HLOOKUP(INDIRECT(ADDRESS(2,COLUMN())),OFFSET($AT$2,0,0,ROW()-1,40),ROW()-1,FALSE))</f>
        <v>272</v>
      </c>
      <c r="Y211">
        <f ca="1">IF(AND($B$294=1,LEN($Y$266)&gt;0),$Y$266,HLOOKUP(INDIRECT(ADDRESS(2,COLUMN())),OFFSET($AT$2,0,0,ROW()-1,40),ROW()-1,FALSE))</f>
        <v>368</v>
      </c>
      <c r="Z211">
        <f ca="1">IF(AND($B$294=1,LEN($Z$266)&gt;0),$Z$266,HLOOKUP(INDIRECT(ADDRESS(2,COLUMN())),OFFSET($AT$2,0,0,ROW()-1,40),ROW()-1,FALSE))</f>
        <v>260</v>
      </c>
      <c r="AA211">
        <f ca="1">IF(AND($B$294=1,LEN($AA$266)&gt;0),$AA$266,HLOOKUP(INDIRECT(ADDRESS(2,COLUMN())),OFFSET($AT$2,0,0,ROW()-1,40),ROW()-1,FALSE))</f>
        <v>188</v>
      </c>
      <c r="AB211">
        <f ca="1">IF(AND($B$294=1,LEN($AB$266)&gt;0),$AB$266,HLOOKUP(INDIRECT(ADDRESS(2,COLUMN())),OFFSET($AT$2,0,0,ROW()-1,40),ROW()-1,FALSE))</f>
        <v>342</v>
      </c>
      <c r="AC211">
        <f ca="1">IF(AND($B$294=1,LEN($AC$266)&gt;0),$AC$266,HLOOKUP(INDIRECT(ADDRESS(2,COLUMN())),OFFSET($AT$2,0,0,ROW()-1,40),ROW()-1,FALSE))</f>
        <v>274</v>
      </c>
      <c r="AD211">
        <f ca="1">IF(AND($B$294=1,LEN($AD$266)&gt;0),$AD$266,HLOOKUP(INDIRECT(ADDRESS(2,COLUMN())),OFFSET($AT$2,0,0,ROW()-1,40),ROW()-1,FALSE))</f>
        <v>257</v>
      </c>
      <c r="AE211">
        <f ca="1">IF(AND($B$294=1,LEN($AE$266)&gt;0),$AE$266,HLOOKUP(INDIRECT(ADDRESS(2,COLUMN())),OFFSET($AT$2,0,0,ROW()-1,40),ROW()-1,FALSE))</f>
        <v>239</v>
      </c>
      <c r="AF211">
        <f ca="1">IF(AND($B$294=1,LEN($AF$266)&gt;0),$AF$266,HLOOKUP(INDIRECT(ADDRESS(2,COLUMN())),OFFSET($AT$2,0,0,ROW()-1,40),ROW()-1,FALSE))</f>
        <v>239</v>
      </c>
      <c r="AG211">
        <f ca="1">IF(AND($B$294=1,LEN($AG$266)&gt;0),$AG$266,HLOOKUP(INDIRECT(ADDRESS(2,COLUMN())),OFFSET($AT$2,0,0,ROW()-1,40),ROW()-1,FALSE))</f>
        <v>287</v>
      </c>
      <c r="AH211">
        <f ca="1">IF(AND($B$294=1,LEN($AH$266)&gt;0),$AH$266,HLOOKUP(INDIRECT(ADDRESS(2,COLUMN())),OFFSET($AT$2,0,0,ROW()-1,40),ROW()-1,FALSE))</f>
        <v>282</v>
      </c>
      <c r="AI211">
        <f ca="1">IF(AND($B$294=1,LEN($AI$266)&gt;0),$AI$266,HLOOKUP(INDIRECT(ADDRESS(2,COLUMN())),OFFSET($AT$2,0,0,ROW()-1,40),ROW()-1,FALSE))</f>
        <v>194</v>
      </c>
      <c r="AJ211">
        <f ca="1">IF(AND($B$294=1,LEN($AJ$266)&gt;0),$AJ$266,HLOOKUP(INDIRECT(ADDRESS(2,COLUMN())),OFFSET($AT$2,0,0,ROW()-1,40),ROW()-1,FALSE))</f>
        <v>238</v>
      </c>
      <c r="AK211">
        <f ca="1">IF(AND($B$294=1,LEN($AK$266)&gt;0),$AK$266,HLOOKUP(INDIRECT(ADDRESS(2,COLUMN())),OFFSET($AT$2,0,0,ROW()-1,40),ROW()-1,FALSE))</f>
        <v>195</v>
      </c>
      <c r="AL211">
        <f ca="1">IF(AND($B$294=1,LEN($AL$266)&gt;0),$AL$266,HLOOKUP(INDIRECT(ADDRESS(2,COLUMN())),OFFSET($AT$2,0,0,ROW()-1,40),ROW()-1,FALSE))</f>
        <v>152</v>
      </c>
      <c r="AM211">
        <f ca="1">IF(AND($B$294=1,LEN($AM$266)&gt;0),$AM$266,HLOOKUP(INDIRECT(ADDRESS(2,COLUMN())),OFFSET($AT$2,0,0,ROW()-1,40),ROW()-1,FALSE))</f>
        <v>187</v>
      </c>
      <c r="AN211">
        <f ca="1">IF(AND($B$294=1,LEN($AN$266)&gt;0),$AN$266,HLOOKUP(INDIRECT(ADDRESS(2,COLUMN())),OFFSET($AT$2,0,0,ROW()-1,40),ROW()-1,FALSE))</f>
        <v>222</v>
      </c>
      <c r="AO211">
        <f ca="1">IF(AND($B$294=1,LEN($AO$266)&gt;0),$AO$266,HLOOKUP(INDIRECT(ADDRESS(2,COLUMN())),OFFSET($AT$2,0,0,ROW()-1,40),ROW()-1,FALSE))</f>
        <v>204</v>
      </c>
      <c r="AP211">
        <f ca="1">IF(AND($B$294=1,LEN($AP$266)&gt;0),$AP$266,HLOOKUP(INDIRECT(ADDRESS(2,COLUMN())),OFFSET($AT$2,0,0,ROW()-1,40),ROW()-1,FALSE))</f>
        <v>205</v>
      </c>
      <c r="AQ211">
        <f ca="1">IF(AND($B$294=1,LEN($AQ$266)&gt;0),$AQ$266,HLOOKUP(INDIRECT(ADDRESS(2,COLUMN())),OFFSET($AT$2,0,0,ROW()-1,40),ROW()-1,FALSE))</f>
        <v>206</v>
      </c>
      <c r="AR211">
        <f ca="1">IF(AND($B$294=1,LEN($AR$266)&gt;0),$AR$266,HLOOKUP(INDIRECT(ADDRESS(2,COLUMN())),OFFSET($AT$2,0,0,ROW()-1,40),ROW()-1,FALSE))</f>
        <v>280</v>
      </c>
      <c r="AS211">
        <f ca="1">IF(AND($B$294=1,LEN($AS$266)&gt;0),$AS$266,HLOOKUP(INDIRECT(ADDRESS(2,COLUMN())),OFFSET($AT$2,0,0,ROW()-1,40),ROW()-1,FALSE))</f>
        <v>250</v>
      </c>
      <c r="AT211" t="str">
        <f>""</f>
        <v/>
      </c>
      <c r="AU211" t="str">
        <f>""</f>
        <v/>
      </c>
      <c r="AV211" t="str">
        <f>""</f>
        <v/>
      </c>
      <c r="AW211" t="str">
        <f>""</f>
        <v/>
      </c>
      <c r="AX211" t="str">
        <f>""</f>
        <v/>
      </c>
      <c r="AY211" t="str">
        <f>""</f>
        <v/>
      </c>
      <c r="AZ211" t="str">
        <f>""</f>
        <v/>
      </c>
      <c r="BA211" t="str">
        <f>""</f>
        <v/>
      </c>
      <c r="BB211" t="str">
        <f>""</f>
        <v/>
      </c>
      <c r="BC211" t="str">
        <f>""</f>
        <v/>
      </c>
      <c r="BD211">
        <f>433</f>
        <v>433</v>
      </c>
      <c r="BE211">
        <f>361</f>
        <v>361</v>
      </c>
      <c r="BF211">
        <f>293</f>
        <v>293</v>
      </c>
      <c r="BG211">
        <f>318</f>
        <v>318</v>
      </c>
      <c r="BH211">
        <f>418</f>
        <v>418</v>
      </c>
      <c r="BI211">
        <f>367</f>
        <v>367</v>
      </c>
      <c r="BJ211">
        <f>454</f>
        <v>454</v>
      </c>
      <c r="BK211">
        <f>293</f>
        <v>293</v>
      </c>
      <c r="BL211">
        <f>272</f>
        <v>272</v>
      </c>
      <c r="BM211">
        <f>368</f>
        <v>368</v>
      </c>
      <c r="BN211">
        <f>260</f>
        <v>260</v>
      </c>
      <c r="BO211">
        <f>188</f>
        <v>188</v>
      </c>
      <c r="BP211">
        <f>342</f>
        <v>342</v>
      </c>
      <c r="BQ211">
        <f>274</f>
        <v>274</v>
      </c>
      <c r="BR211">
        <f>257</f>
        <v>257</v>
      </c>
      <c r="BS211">
        <f>239</f>
        <v>239</v>
      </c>
      <c r="BT211">
        <f>239</f>
        <v>239</v>
      </c>
      <c r="BU211">
        <f>287</f>
        <v>287</v>
      </c>
      <c r="BV211">
        <f>282</f>
        <v>282</v>
      </c>
      <c r="BW211">
        <f>194</f>
        <v>194</v>
      </c>
      <c r="BX211">
        <f>238</f>
        <v>238</v>
      </c>
      <c r="BY211">
        <f>195</f>
        <v>195</v>
      </c>
      <c r="BZ211">
        <f>152</f>
        <v>152</v>
      </c>
      <c r="CA211">
        <f>187</f>
        <v>187</v>
      </c>
      <c r="CB211">
        <f>222</f>
        <v>222</v>
      </c>
      <c r="CC211">
        <f>204</f>
        <v>204</v>
      </c>
      <c r="CD211">
        <f>205</f>
        <v>205</v>
      </c>
      <c r="CE211">
        <f>206</f>
        <v>206</v>
      </c>
      <c r="CF211">
        <f>280</f>
        <v>280</v>
      </c>
      <c r="CG211">
        <f>250</f>
        <v>250</v>
      </c>
    </row>
    <row r="212" spans="1:85" x14ac:dyDescent="0.25">
      <c r="A212" t="str">
        <f>"    Daimler - Mitsubishi Fuso"</f>
        <v xml:space="preserve">    Daimler - Mitsubishi Fuso</v>
      </c>
      <c r="B212" t="str">
        <f>""</f>
        <v/>
      </c>
      <c r="E212" t="str">
        <f t="shared" si="16"/>
        <v>Expression</v>
      </c>
      <c r="F212" t="str">
        <f ca="1">IF(AND($B$294=1,LEN($F$236) * LEN($F$255)&gt;0),$F$236+$F$255,HLOOKUP(INDIRECT(ADDRESS(2,COLUMN())),OFFSET($AT$2,0,0,ROW()-1,40),ROW()-1,FALSE))</f>
        <v/>
      </c>
      <c r="G212" t="str">
        <f ca="1">IF(AND($B$294=1,LEN($G$236) * LEN($G$255)&gt;0),$G$236+$G$255,HLOOKUP(INDIRECT(ADDRESS(2,COLUMN())),OFFSET($AT$2,0,0,ROW()-1,40),ROW()-1,FALSE))</f>
        <v/>
      </c>
      <c r="H212" t="str">
        <f ca="1">IF(AND($B$294=1,LEN($H$236) * LEN($H$255)&gt;0),$H$236+$H$255,HLOOKUP(INDIRECT(ADDRESS(2,COLUMN())),OFFSET($AT$2,0,0,ROW()-1,40),ROW()-1,FALSE))</f>
        <v/>
      </c>
      <c r="I212" t="str">
        <f ca="1">IF(AND($B$294=1,LEN($I$236) * LEN($I$255)&gt;0),$I$236+$I$255,HLOOKUP(INDIRECT(ADDRESS(2,COLUMN())),OFFSET($AT$2,0,0,ROW()-1,40),ROW()-1,FALSE))</f>
        <v/>
      </c>
      <c r="J212" t="str">
        <f ca="1">IF(AND($B$294=1,LEN($J$236) * LEN($J$255)&gt;0),$J$236+$J$255,HLOOKUP(INDIRECT(ADDRESS(2,COLUMN())),OFFSET($AT$2,0,0,ROW()-1,40),ROW()-1,FALSE))</f>
        <v/>
      </c>
      <c r="K212" t="str">
        <f ca="1">IF(AND($B$294=1,LEN($K$236) * LEN($K$255)&gt;0),$K$236+$K$255,HLOOKUP(INDIRECT(ADDRESS(2,COLUMN())),OFFSET($AT$2,0,0,ROW()-1,40),ROW()-1,FALSE))</f>
        <v/>
      </c>
      <c r="L212" t="str">
        <f ca="1">IF(AND($B$294=1,LEN($L$236) * LEN($L$255)&gt;0),$L$236+$L$255,HLOOKUP(INDIRECT(ADDRESS(2,COLUMN())),OFFSET($AT$2,0,0,ROW()-1,40),ROW()-1,FALSE))</f>
        <v/>
      </c>
      <c r="M212" t="str">
        <f ca="1">IF(AND($B$294=1,LEN($M$236) * LEN($M$255)&gt;0),$M$236+$M$255,HLOOKUP(INDIRECT(ADDRESS(2,COLUMN())),OFFSET($AT$2,0,0,ROW()-1,40),ROW()-1,FALSE))</f>
        <v/>
      </c>
      <c r="N212" t="str">
        <f ca="1">IF(AND($B$294=1,LEN($N$236) * LEN($N$255)&gt;0),$N$236+$N$255,HLOOKUP(INDIRECT(ADDRESS(2,COLUMN())),OFFSET($AT$2,0,0,ROW()-1,40),ROW()-1,FALSE))</f>
        <v/>
      </c>
      <c r="O212" t="str">
        <f ca="1">IF(AND($B$294=1,LEN($O$236) * LEN($O$255)&gt;0),$O$236+$O$255,HLOOKUP(INDIRECT(ADDRESS(2,COLUMN())),OFFSET($AT$2,0,0,ROW()-1,40),ROW()-1,FALSE))</f>
        <v/>
      </c>
      <c r="P212" t="str">
        <f ca="1">IF(AND($B$294=1,LEN($P$236) * LEN($P$255)&gt;0),$P$236+$P$255,HLOOKUP(INDIRECT(ADDRESS(2,COLUMN())),OFFSET($AT$2,0,0,ROW()-1,40),ROW()-1,FALSE))</f>
        <v/>
      </c>
      <c r="Q212" t="str">
        <f ca="1">IF(AND($B$294=1,LEN($Q$236) * LEN($Q$255)&gt;0),$Q$236+$Q$255,HLOOKUP(INDIRECT(ADDRESS(2,COLUMN())),OFFSET($AT$2,0,0,ROW()-1,40),ROW()-1,FALSE))</f>
        <v/>
      </c>
      <c r="R212" t="str">
        <f ca="1">IF(AND($B$294=1,LEN($R$236) * LEN($R$255)&gt;0),$R$236+$R$255,HLOOKUP(INDIRECT(ADDRESS(2,COLUMN())),OFFSET($AT$2,0,0,ROW()-1,40),ROW()-1,FALSE))</f>
        <v/>
      </c>
      <c r="S212" t="str">
        <f ca="1">IF(AND($B$294=1,LEN($S$236) * LEN($S$255)&gt;0),$S$236+$S$255,HLOOKUP(INDIRECT(ADDRESS(2,COLUMN())),OFFSET($AT$2,0,0,ROW()-1,40),ROW()-1,FALSE))</f>
        <v/>
      </c>
      <c r="T212" t="str">
        <f ca="1">IF(AND($B$294=1,LEN($T$236) * LEN($T$255)&gt;0),$T$236+$T$255,HLOOKUP(INDIRECT(ADDRESS(2,COLUMN())),OFFSET($AT$2,0,0,ROW()-1,40),ROW()-1,FALSE))</f>
        <v/>
      </c>
      <c r="U212" t="str">
        <f ca="1">IF(AND($B$294=1,LEN($U$236) * LEN($U$255)&gt;0),$U$236+$U$255,HLOOKUP(INDIRECT(ADDRESS(2,COLUMN())),OFFSET($AT$2,0,0,ROW()-1,40),ROW()-1,FALSE))</f>
        <v/>
      </c>
      <c r="V212" t="str">
        <f ca="1">IF(AND($B$294=1,LEN($V$236) * LEN($V$255)&gt;0),$V$236+$V$255,HLOOKUP(INDIRECT(ADDRESS(2,COLUMN())),OFFSET($AT$2,0,0,ROW()-1,40),ROW()-1,FALSE))</f>
        <v/>
      </c>
      <c r="W212" t="str">
        <f ca="1">IF(AND($B$294=1,LEN($W$236) * LEN($W$255)&gt;0),$W$236+$W$255,HLOOKUP(INDIRECT(ADDRESS(2,COLUMN())),OFFSET($AT$2,0,0,ROW()-1,40),ROW()-1,FALSE))</f>
        <v/>
      </c>
      <c r="X212" t="str">
        <f ca="1">IF(AND($B$294=1,LEN($X$236) * LEN($X$255)&gt;0),$X$236+$X$255,HLOOKUP(INDIRECT(ADDRESS(2,COLUMN())),OFFSET($AT$2,0,0,ROW()-1,40),ROW()-1,FALSE))</f>
        <v/>
      </c>
      <c r="Y212" t="str">
        <f ca="1">IF(AND($B$294=1,LEN($Y$236) * LEN($Y$255)&gt;0),$Y$236+$Y$255,HLOOKUP(INDIRECT(ADDRESS(2,COLUMN())),OFFSET($AT$2,0,0,ROW()-1,40),ROW()-1,FALSE))</f>
        <v/>
      </c>
      <c r="Z212" t="str">
        <f ca="1">IF(AND($B$294=1,LEN($Z$236) * LEN($Z$255)&gt;0),$Z$236+$Z$255,HLOOKUP(INDIRECT(ADDRESS(2,COLUMN())),OFFSET($AT$2,0,0,ROW()-1,40),ROW()-1,FALSE))</f>
        <v/>
      </c>
      <c r="AA212" t="str">
        <f ca="1">IF(AND($B$294=1,LEN($AA$236) * LEN($AA$255)&gt;0),$AA$236+$AA$255,HLOOKUP(INDIRECT(ADDRESS(2,COLUMN())),OFFSET($AT$2,0,0,ROW()-1,40),ROW()-1,FALSE))</f>
        <v/>
      </c>
      <c r="AB212" t="str">
        <f ca="1">IF(AND($B$294=1,LEN($AB$236) * LEN($AB$255)&gt;0),$AB$236+$AB$255,HLOOKUP(INDIRECT(ADDRESS(2,COLUMN())),OFFSET($AT$2,0,0,ROW()-1,40),ROW()-1,FALSE))</f>
        <v/>
      </c>
      <c r="AC212" t="str">
        <f ca="1">IF(AND($B$294=1,LEN($AC$236) * LEN($AC$255)&gt;0),$AC$236+$AC$255,HLOOKUP(INDIRECT(ADDRESS(2,COLUMN())),OFFSET($AT$2,0,0,ROW()-1,40),ROW()-1,FALSE))</f>
        <v/>
      </c>
      <c r="AD212" t="str">
        <f ca="1">IF(AND($B$294=1,LEN($AD$236) * LEN($AD$255)&gt;0),$AD$236+$AD$255,HLOOKUP(INDIRECT(ADDRESS(2,COLUMN())),OFFSET($AT$2,0,0,ROW()-1,40),ROW()-1,FALSE))</f>
        <v/>
      </c>
      <c r="AE212" t="str">
        <f ca="1">IF(AND($B$294=1,LEN($AE$236) * LEN($AE$255)&gt;0),$AE$236+$AE$255,HLOOKUP(INDIRECT(ADDRESS(2,COLUMN())),OFFSET($AT$2,0,0,ROW()-1,40),ROW()-1,FALSE))</f>
        <v/>
      </c>
      <c r="AF212" t="str">
        <f ca="1">IF(AND($B$294=1,LEN($AF$236) * LEN($AF$255)&gt;0),$AF$236+$AF$255,HLOOKUP(INDIRECT(ADDRESS(2,COLUMN())),OFFSET($AT$2,0,0,ROW()-1,40),ROW()-1,FALSE))</f>
        <v/>
      </c>
      <c r="AG212" t="str">
        <f ca="1">IF(AND($B$294=1,LEN($AG$236) * LEN($AG$255)&gt;0),$AG$236+$AG$255,HLOOKUP(INDIRECT(ADDRESS(2,COLUMN())),OFFSET($AT$2,0,0,ROW()-1,40),ROW()-1,FALSE))</f>
        <v/>
      </c>
      <c r="AH212" t="str">
        <f ca="1">IF(AND($B$294=1,LEN($AH$236) * LEN($AH$255)&gt;0),$AH$236+$AH$255,HLOOKUP(INDIRECT(ADDRESS(2,COLUMN())),OFFSET($AT$2,0,0,ROW()-1,40),ROW()-1,FALSE))</f>
        <v/>
      </c>
      <c r="AI212" t="str">
        <f ca="1">IF(AND($B$294=1,LEN($AI$236) * LEN($AI$255)&gt;0),$AI$236+$AI$255,HLOOKUP(INDIRECT(ADDRESS(2,COLUMN())),OFFSET($AT$2,0,0,ROW()-1,40),ROW()-1,FALSE))</f>
        <v/>
      </c>
      <c r="AJ212" t="str">
        <f ca="1">IF(AND($B$294=1,LEN($AJ$236) * LEN($AJ$255)&gt;0),$AJ$236+$AJ$255,HLOOKUP(INDIRECT(ADDRESS(2,COLUMN())),OFFSET($AT$2,0,0,ROW()-1,40),ROW()-1,FALSE))</f>
        <v/>
      </c>
      <c r="AK212" t="str">
        <f ca="1">IF(AND($B$294=1,LEN($AK$236) * LEN($AK$255)&gt;0),$AK$236+$AK$255,HLOOKUP(INDIRECT(ADDRESS(2,COLUMN())),OFFSET($AT$2,0,0,ROW()-1,40),ROW()-1,FALSE))</f>
        <v/>
      </c>
      <c r="AL212" t="str">
        <f ca="1">IF(AND($B$294=1,LEN($AL$236) * LEN($AL$255)&gt;0),$AL$236+$AL$255,HLOOKUP(INDIRECT(ADDRESS(2,COLUMN())),OFFSET($AT$2,0,0,ROW()-1,40),ROW()-1,FALSE))</f>
        <v/>
      </c>
      <c r="AM212" t="str">
        <f ca="1">IF(AND($B$294=1,LEN($AM$236) * LEN($AM$255)&gt;0),$AM$236+$AM$255,HLOOKUP(INDIRECT(ADDRESS(2,COLUMN())),OFFSET($AT$2,0,0,ROW()-1,40),ROW()-1,FALSE))</f>
        <v/>
      </c>
      <c r="AN212" t="str">
        <f ca="1">IF(AND($B$294=1,LEN($AN$236) * LEN($AN$255)&gt;0),$AN$236+$AN$255,HLOOKUP(INDIRECT(ADDRESS(2,COLUMN())),OFFSET($AT$2,0,0,ROW()-1,40),ROW()-1,FALSE))</f>
        <v/>
      </c>
      <c r="AO212" t="str">
        <f ca="1">IF(AND($B$294=1,LEN($AO$236) * LEN($AO$255)&gt;0),$AO$236+$AO$255,HLOOKUP(INDIRECT(ADDRESS(2,COLUMN())),OFFSET($AT$2,0,0,ROW()-1,40),ROW()-1,FALSE))</f>
        <v/>
      </c>
      <c r="AP212" t="str">
        <f ca="1">IF(AND($B$294=1,LEN($AP$236) * LEN($AP$255)&gt;0),$AP$236+$AP$255,HLOOKUP(INDIRECT(ADDRESS(2,COLUMN())),OFFSET($AT$2,0,0,ROW()-1,40),ROW()-1,FALSE))</f>
        <v/>
      </c>
      <c r="AQ212" t="str">
        <f ca="1">IF(AND($B$294=1,LEN($AQ$236) * LEN($AQ$255)&gt;0),$AQ$236+$AQ$255,HLOOKUP(INDIRECT(ADDRESS(2,COLUMN())),OFFSET($AT$2,0,0,ROW()-1,40),ROW()-1,FALSE))</f>
        <v/>
      </c>
      <c r="AR212" t="str">
        <f ca="1">IF(AND($B$294=1,LEN($AR$236) * LEN($AR$255)&gt;0),$AR$236+$AR$255,HLOOKUP(INDIRECT(ADDRESS(2,COLUMN())),OFFSET($AT$2,0,0,ROW()-1,40),ROW()-1,FALSE))</f>
        <v/>
      </c>
      <c r="AS212" t="str">
        <f ca="1">IF(AND($B$294=1,LEN($AS$236) * LEN($AS$255)&gt;0),$AS$236+$AS$255,HLOOKUP(INDIRECT(ADDRESS(2,COLUMN())),OFFSET($AT$2,0,0,ROW()-1,40),ROW()-1,FALSE))</f>
        <v/>
      </c>
      <c r="AT212" t="str">
        <f>""</f>
        <v/>
      </c>
      <c r="AU212" t="str">
        <f>""</f>
        <v/>
      </c>
      <c r="AV212" t="str">
        <f>""</f>
        <v/>
      </c>
      <c r="AW212" t="str">
        <f>""</f>
        <v/>
      </c>
      <c r="AX212" t="str">
        <f>""</f>
        <v/>
      </c>
      <c r="AY212" t="str">
        <f>""</f>
        <v/>
      </c>
      <c r="AZ212" t="str">
        <f>""</f>
        <v/>
      </c>
      <c r="BA212" t="str">
        <f>""</f>
        <v/>
      </c>
      <c r="BB212" t="str">
        <f>""</f>
        <v/>
      </c>
      <c r="BC212" t="str">
        <f>""</f>
        <v/>
      </c>
      <c r="BD212" t="str">
        <f>""</f>
        <v/>
      </c>
      <c r="BE212" t="str">
        <f>""</f>
        <v/>
      </c>
      <c r="BF212" t="str">
        <f>""</f>
        <v/>
      </c>
      <c r="BG212" t="str">
        <f>""</f>
        <v/>
      </c>
      <c r="BH212" t="str">
        <f>""</f>
        <v/>
      </c>
      <c r="BI212" t="str">
        <f>""</f>
        <v/>
      </c>
      <c r="BJ212" t="str">
        <f>""</f>
        <v/>
      </c>
      <c r="BK212" t="str">
        <f>""</f>
        <v/>
      </c>
      <c r="BL212" t="str">
        <f>""</f>
        <v/>
      </c>
      <c r="BM212" t="str">
        <f>""</f>
        <v/>
      </c>
      <c r="BN212" t="str">
        <f>""</f>
        <v/>
      </c>
      <c r="BO212" t="str">
        <f>""</f>
        <v/>
      </c>
      <c r="BP212" t="str">
        <f>""</f>
        <v/>
      </c>
      <c r="BQ212" t="str">
        <f>""</f>
        <v/>
      </c>
      <c r="BR212" t="str">
        <f>""</f>
        <v/>
      </c>
      <c r="BS212" t="str">
        <f>""</f>
        <v/>
      </c>
      <c r="BT212" t="str">
        <f>""</f>
        <v/>
      </c>
      <c r="BU212" t="str">
        <f>""</f>
        <v/>
      </c>
      <c r="BV212" t="str">
        <f>""</f>
        <v/>
      </c>
      <c r="BW212" t="str">
        <f>""</f>
        <v/>
      </c>
      <c r="BX212" t="str">
        <f>""</f>
        <v/>
      </c>
      <c r="BY212" t="str">
        <f>""</f>
        <v/>
      </c>
      <c r="BZ212" t="str">
        <f>""</f>
        <v/>
      </c>
      <c r="CA212" t="str">
        <f>""</f>
        <v/>
      </c>
      <c r="CB212" t="str">
        <f>""</f>
        <v/>
      </c>
      <c r="CC212" t="str">
        <f>""</f>
        <v/>
      </c>
      <c r="CD212" t="str">
        <f>""</f>
        <v/>
      </c>
      <c r="CE212" t="str">
        <f>""</f>
        <v/>
      </c>
      <c r="CF212" t="str">
        <f>""</f>
        <v/>
      </c>
      <c r="CG212" t="str">
        <f>""</f>
        <v/>
      </c>
    </row>
    <row r="213" spans="1:85" x14ac:dyDescent="0.25">
      <c r="A213" t="str">
        <f>"    Daimler - Sterling"</f>
        <v xml:space="preserve">    Daimler - Sterling</v>
      </c>
      <c r="B213" t="str">
        <f>""</f>
        <v/>
      </c>
      <c r="E213" t="str">
        <f t="shared" si="16"/>
        <v>Expression</v>
      </c>
      <c r="F213" t="str">
        <f ca="1">IF(AND($B$294=1,LEN($F$238) * LEN($F$256) * LEN($F$267)&gt;0),$F$238+$F$256+$F$267,HLOOKUP(INDIRECT(ADDRESS(2,COLUMN())),OFFSET($AT$2,0,0,ROW()-1,40),ROW()-1,FALSE))</f>
        <v/>
      </c>
      <c r="G213" t="str">
        <f ca="1">IF(AND($B$294=1,LEN($G$238) * LEN($G$256) * LEN($G$267)&gt;0),$G$238+$G$256+$G$267,HLOOKUP(INDIRECT(ADDRESS(2,COLUMN())),OFFSET($AT$2,0,0,ROW()-1,40),ROW()-1,FALSE))</f>
        <v/>
      </c>
      <c r="H213" t="str">
        <f ca="1">IF(AND($B$294=1,LEN($H$238) * LEN($H$256) * LEN($H$267)&gt;0),$H$238+$H$256+$H$267,HLOOKUP(INDIRECT(ADDRESS(2,COLUMN())),OFFSET($AT$2,0,0,ROW()-1,40),ROW()-1,FALSE))</f>
        <v/>
      </c>
      <c r="I213" t="str">
        <f ca="1">IF(AND($B$294=1,LEN($I$238) * LEN($I$256) * LEN($I$267)&gt;0),$I$238+$I$256+$I$267,HLOOKUP(INDIRECT(ADDRESS(2,COLUMN())),OFFSET($AT$2,0,0,ROW()-1,40),ROW()-1,FALSE))</f>
        <v/>
      </c>
      <c r="J213" t="str">
        <f ca="1">IF(AND($B$294=1,LEN($J$238) * LEN($J$256) * LEN($J$267)&gt;0),$J$238+$J$256+$J$267,HLOOKUP(INDIRECT(ADDRESS(2,COLUMN())),OFFSET($AT$2,0,0,ROW()-1,40),ROW()-1,FALSE))</f>
        <v/>
      </c>
      <c r="K213" t="str">
        <f ca="1">IF(AND($B$294=1,LEN($K$238) * LEN($K$256) * LEN($K$267)&gt;0),$K$238+$K$256+$K$267,HLOOKUP(INDIRECT(ADDRESS(2,COLUMN())),OFFSET($AT$2,0,0,ROW()-1,40),ROW()-1,FALSE))</f>
        <v/>
      </c>
      <c r="L213" t="str">
        <f ca="1">IF(AND($B$294=1,LEN($L$238) * LEN($L$256) * LEN($L$267)&gt;0),$L$238+$L$256+$L$267,HLOOKUP(INDIRECT(ADDRESS(2,COLUMN())),OFFSET($AT$2,0,0,ROW()-1,40),ROW()-1,FALSE))</f>
        <v/>
      </c>
      <c r="M213" t="str">
        <f ca="1">IF(AND($B$294=1,LEN($M$238) * LEN($M$256) * LEN($M$267)&gt;0),$M$238+$M$256+$M$267,HLOOKUP(INDIRECT(ADDRESS(2,COLUMN())),OFFSET($AT$2,0,0,ROW()-1,40),ROW()-1,FALSE))</f>
        <v/>
      </c>
      <c r="N213" t="str">
        <f ca="1">IF(AND($B$294=1,LEN($N$238) * LEN($N$256) * LEN($N$267)&gt;0),$N$238+$N$256+$N$267,HLOOKUP(INDIRECT(ADDRESS(2,COLUMN())),OFFSET($AT$2,0,0,ROW()-1,40),ROW()-1,FALSE))</f>
        <v/>
      </c>
      <c r="O213" t="str">
        <f ca="1">IF(AND($B$294=1,LEN($O$238) * LEN($O$256) * LEN($O$267)&gt;0),$O$238+$O$256+$O$267,HLOOKUP(INDIRECT(ADDRESS(2,COLUMN())),OFFSET($AT$2,0,0,ROW()-1,40),ROW()-1,FALSE))</f>
        <v/>
      </c>
      <c r="P213" t="str">
        <f ca="1">IF(AND($B$294=1,LEN($P$238) * LEN($P$256) * LEN($P$267)&gt;0),$P$238+$P$256+$P$267,HLOOKUP(INDIRECT(ADDRESS(2,COLUMN())),OFFSET($AT$2,0,0,ROW()-1,40),ROW()-1,FALSE))</f>
        <v/>
      </c>
      <c r="Q213" t="str">
        <f ca="1">IF(AND($B$294=1,LEN($Q$238) * LEN($Q$256) * LEN($Q$267)&gt;0),$Q$238+$Q$256+$Q$267,HLOOKUP(INDIRECT(ADDRESS(2,COLUMN())),OFFSET($AT$2,0,0,ROW()-1,40),ROW()-1,FALSE))</f>
        <v/>
      </c>
      <c r="R213" t="str">
        <f ca="1">IF(AND($B$294=1,LEN($R$238) * LEN($R$256) * LEN($R$267)&gt;0),$R$238+$R$256+$R$267,HLOOKUP(INDIRECT(ADDRESS(2,COLUMN())),OFFSET($AT$2,0,0,ROW()-1,40),ROW()-1,FALSE))</f>
        <v/>
      </c>
      <c r="S213" t="str">
        <f ca="1">IF(AND($B$294=1,LEN($S$238) * LEN($S$256) * LEN($S$267)&gt;0),$S$238+$S$256+$S$267,HLOOKUP(INDIRECT(ADDRESS(2,COLUMN())),OFFSET($AT$2,0,0,ROW()-1,40),ROW()-1,FALSE))</f>
        <v/>
      </c>
      <c r="T213" t="str">
        <f ca="1">IF(AND($B$294=1,LEN($T$238) * LEN($T$256) * LEN($T$267)&gt;0),$T$238+$T$256+$T$267,HLOOKUP(INDIRECT(ADDRESS(2,COLUMN())),OFFSET($AT$2,0,0,ROW()-1,40),ROW()-1,FALSE))</f>
        <v/>
      </c>
      <c r="U213" t="str">
        <f ca="1">IF(AND($B$294=1,LEN($U$238) * LEN($U$256) * LEN($U$267)&gt;0),$U$238+$U$256+$U$267,HLOOKUP(INDIRECT(ADDRESS(2,COLUMN())),OFFSET($AT$2,0,0,ROW()-1,40),ROW()-1,FALSE))</f>
        <v/>
      </c>
      <c r="V213" t="str">
        <f ca="1">IF(AND($B$294=1,LEN($V$238) * LEN($V$256) * LEN($V$267)&gt;0),$V$238+$V$256+$V$267,HLOOKUP(INDIRECT(ADDRESS(2,COLUMN())),OFFSET($AT$2,0,0,ROW()-1,40),ROW()-1,FALSE))</f>
        <v/>
      </c>
      <c r="W213" t="str">
        <f ca="1">IF(AND($B$294=1,LEN($W$238) * LEN($W$256) * LEN($W$267)&gt;0),$W$238+$W$256+$W$267,HLOOKUP(INDIRECT(ADDRESS(2,COLUMN())),OFFSET($AT$2,0,0,ROW()-1,40),ROW()-1,FALSE))</f>
        <v/>
      </c>
      <c r="X213" t="str">
        <f ca="1">IF(AND($B$294=1,LEN($X$238) * LEN($X$256) * LEN($X$267)&gt;0),$X$238+$X$256+$X$267,HLOOKUP(INDIRECT(ADDRESS(2,COLUMN())),OFFSET($AT$2,0,0,ROW()-1,40),ROW()-1,FALSE))</f>
        <v/>
      </c>
      <c r="Y213" t="str">
        <f ca="1">IF(AND($B$294=1,LEN($Y$238) * LEN($Y$256) * LEN($Y$267)&gt;0),$Y$238+$Y$256+$Y$267,HLOOKUP(INDIRECT(ADDRESS(2,COLUMN())),OFFSET($AT$2,0,0,ROW()-1,40),ROW()-1,FALSE))</f>
        <v/>
      </c>
      <c r="Z213" t="str">
        <f ca="1">IF(AND($B$294=1,LEN($Z$238) * LEN($Z$256) * LEN($Z$267)&gt;0),$Z$238+$Z$256+$Z$267,HLOOKUP(INDIRECT(ADDRESS(2,COLUMN())),OFFSET($AT$2,0,0,ROW()-1,40),ROW()-1,FALSE))</f>
        <v/>
      </c>
      <c r="AA213" t="str">
        <f ca="1">IF(AND($B$294=1,LEN($AA$238) * LEN($AA$256) * LEN($AA$267)&gt;0),$AA$238+$AA$256+$AA$267,HLOOKUP(INDIRECT(ADDRESS(2,COLUMN())),OFFSET($AT$2,0,0,ROW()-1,40),ROW()-1,FALSE))</f>
        <v/>
      </c>
      <c r="AB213" t="str">
        <f ca="1">IF(AND($B$294=1,LEN($AB$238) * LEN($AB$256) * LEN($AB$267)&gt;0),$AB$238+$AB$256+$AB$267,HLOOKUP(INDIRECT(ADDRESS(2,COLUMN())),OFFSET($AT$2,0,0,ROW()-1,40),ROW()-1,FALSE))</f>
        <v/>
      </c>
      <c r="AC213" t="str">
        <f ca="1">IF(AND($B$294=1,LEN($AC$238) * LEN($AC$256) * LEN($AC$267)&gt;0),$AC$238+$AC$256+$AC$267,HLOOKUP(INDIRECT(ADDRESS(2,COLUMN())),OFFSET($AT$2,0,0,ROW()-1,40),ROW()-1,FALSE))</f>
        <v/>
      </c>
      <c r="AD213" t="str">
        <f ca="1">IF(AND($B$294=1,LEN($AD$238) * LEN($AD$256) * LEN($AD$267)&gt;0),$AD$238+$AD$256+$AD$267,HLOOKUP(INDIRECT(ADDRESS(2,COLUMN())),OFFSET($AT$2,0,0,ROW()-1,40),ROW()-1,FALSE))</f>
        <v/>
      </c>
      <c r="AE213" t="str">
        <f ca="1">IF(AND($B$294=1,LEN($AE$238) * LEN($AE$256) * LEN($AE$267)&gt;0),$AE$238+$AE$256+$AE$267,HLOOKUP(INDIRECT(ADDRESS(2,COLUMN())),OFFSET($AT$2,0,0,ROW()-1,40),ROW()-1,FALSE))</f>
        <v/>
      </c>
      <c r="AF213" t="str">
        <f ca="1">IF(AND($B$294=1,LEN($AF$238) * LEN($AF$256) * LEN($AF$267)&gt;0),$AF$238+$AF$256+$AF$267,HLOOKUP(INDIRECT(ADDRESS(2,COLUMN())),OFFSET($AT$2,0,0,ROW()-1,40),ROW()-1,FALSE))</f>
        <v/>
      </c>
      <c r="AG213" t="str">
        <f ca="1">IF(AND($B$294=1,LEN($AG$238) * LEN($AG$256) * LEN($AG$267)&gt;0),$AG$238+$AG$256+$AG$267,HLOOKUP(INDIRECT(ADDRESS(2,COLUMN())),OFFSET($AT$2,0,0,ROW()-1,40),ROW()-1,FALSE))</f>
        <v/>
      </c>
      <c r="AH213" t="str">
        <f ca="1">IF(AND($B$294=1,LEN($AH$238) * LEN($AH$256) * LEN($AH$267)&gt;0),$AH$238+$AH$256+$AH$267,HLOOKUP(INDIRECT(ADDRESS(2,COLUMN())),OFFSET($AT$2,0,0,ROW()-1,40),ROW()-1,FALSE))</f>
        <v/>
      </c>
      <c r="AI213" t="str">
        <f ca="1">IF(AND($B$294=1,LEN($AI$238) * LEN($AI$256) * LEN($AI$267)&gt;0),$AI$238+$AI$256+$AI$267,HLOOKUP(INDIRECT(ADDRESS(2,COLUMN())),OFFSET($AT$2,0,0,ROW()-1,40),ROW()-1,FALSE))</f>
        <v/>
      </c>
      <c r="AJ213" t="str">
        <f ca="1">IF(AND($B$294=1,LEN($AJ$238) * LEN($AJ$256) * LEN($AJ$267)&gt;0),$AJ$238+$AJ$256+$AJ$267,HLOOKUP(INDIRECT(ADDRESS(2,COLUMN())),OFFSET($AT$2,0,0,ROW()-1,40),ROW()-1,FALSE))</f>
        <v/>
      </c>
      <c r="AK213" t="str">
        <f ca="1">IF(AND($B$294=1,LEN($AK$238) * LEN($AK$256) * LEN($AK$267)&gt;0),$AK$238+$AK$256+$AK$267,HLOOKUP(INDIRECT(ADDRESS(2,COLUMN())),OFFSET($AT$2,0,0,ROW()-1,40),ROW()-1,FALSE))</f>
        <v/>
      </c>
      <c r="AL213" t="str">
        <f ca="1">IF(AND($B$294=1,LEN($AL$238) * LEN($AL$256) * LEN($AL$267)&gt;0),$AL$238+$AL$256+$AL$267,HLOOKUP(INDIRECT(ADDRESS(2,COLUMN())),OFFSET($AT$2,0,0,ROW()-1,40),ROW()-1,FALSE))</f>
        <v/>
      </c>
      <c r="AM213" t="str">
        <f ca="1">IF(AND($B$294=1,LEN($AM$238) * LEN($AM$256) * LEN($AM$267)&gt;0),$AM$238+$AM$256+$AM$267,HLOOKUP(INDIRECT(ADDRESS(2,COLUMN())),OFFSET($AT$2,0,0,ROW()-1,40),ROW()-1,FALSE))</f>
        <v/>
      </c>
      <c r="AN213" t="str">
        <f ca="1">IF(AND($B$294=1,LEN($AN$238) * LEN($AN$256) * LEN($AN$267)&gt;0),$AN$238+$AN$256+$AN$267,HLOOKUP(INDIRECT(ADDRESS(2,COLUMN())),OFFSET($AT$2,0,0,ROW()-1,40),ROW()-1,FALSE))</f>
        <v/>
      </c>
      <c r="AO213" t="str">
        <f ca="1">IF(AND($B$294=1,LEN($AO$238) * LEN($AO$256) * LEN($AO$267)&gt;0),$AO$238+$AO$256+$AO$267,HLOOKUP(INDIRECT(ADDRESS(2,COLUMN())),OFFSET($AT$2,0,0,ROW()-1,40),ROW()-1,FALSE))</f>
        <v/>
      </c>
      <c r="AP213" t="str">
        <f ca="1">IF(AND($B$294=1,LEN($AP$238) * LEN($AP$256) * LEN($AP$267)&gt;0),$AP$238+$AP$256+$AP$267,HLOOKUP(INDIRECT(ADDRESS(2,COLUMN())),OFFSET($AT$2,0,0,ROW()-1,40),ROW()-1,FALSE))</f>
        <v/>
      </c>
      <c r="AQ213" t="str">
        <f ca="1">IF(AND($B$294=1,LEN($AQ$238) * LEN($AQ$256) * LEN($AQ$267)&gt;0),$AQ$238+$AQ$256+$AQ$267,HLOOKUP(INDIRECT(ADDRESS(2,COLUMN())),OFFSET($AT$2,0,0,ROW()-1,40),ROW()-1,FALSE))</f>
        <v/>
      </c>
      <c r="AR213" t="str">
        <f ca="1">IF(AND($B$294=1,LEN($AR$238) * LEN($AR$256) * LEN($AR$267)&gt;0),$AR$238+$AR$256+$AR$267,HLOOKUP(INDIRECT(ADDRESS(2,COLUMN())),OFFSET($AT$2,0,0,ROW()-1,40),ROW()-1,FALSE))</f>
        <v/>
      </c>
      <c r="AS213" t="str">
        <f ca="1">IF(AND($B$294=1,LEN($AS$238) * LEN($AS$256) * LEN($AS$267)&gt;0),$AS$238+$AS$256+$AS$267,HLOOKUP(INDIRECT(ADDRESS(2,COLUMN())),OFFSET($AT$2,0,0,ROW()-1,40),ROW()-1,FALSE))</f>
        <v/>
      </c>
      <c r="AT213" t="str">
        <f>""</f>
        <v/>
      </c>
      <c r="AU213" t="str">
        <f>""</f>
        <v/>
      </c>
      <c r="AV213" t="str">
        <f>""</f>
        <v/>
      </c>
      <c r="AW213" t="str">
        <f>""</f>
        <v/>
      </c>
      <c r="AX213" t="str">
        <f>""</f>
        <v/>
      </c>
      <c r="AY213" t="str">
        <f>""</f>
        <v/>
      </c>
      <c r="AZ213" t="str">
        <f>""</f>
        <v/>
      </c>
      <c r="BA213" t="str">
        <f>""</f>
        <v/>
      </c>
      <c r="BB213" t="str">
        <f>""</f>
        <v/>
      </c>
      <c r="BC213" t="str">
        <f>""</f>
        <v/>
      </c>
      <c r="BD213" t="str">
        <f>""</f>
        <v/>
      </c>
      <c r="BE213" t="str">
        <f>""</f>
        <v/>
      </c>
      <c r="BF213" t="str">
        <f>""</f>
        <v/>
      </c>
      <c r="BG213" t="str">
        <f>""</f>
        <v/>
      </c>
      <c r="BH213" t="str">
        <f>""</f>
        <v/>
      </c>
      <c r="BI213" t="str">
        <f>""</f>
        <v/>
      </c>
      <c r="BJ213" t="str">
        <f>""</f>
        <v/>
      </c>
      <c r="BK213" t="str">
        <f>""</f>
        <v/>
      </c>
      <c r="BL213" t="str">
        <f>""</f>
        <v/>
      </c>
      <c r="BM213" t="str">
        <f>""</f>
        <v/>
      </c>
      <c r="BN213" t="str">
        <f>""</f>
        <v/>
      </c>
      <c r="BO213" t="str">
        <f>""</f>
        <v/>
      </c>
      <c r="BP213" t="str">
        <f>""</f>
        <v/>
      </c>
      <c r="BQ213" t="str">
        <f>""</f>
        <v/>
      </c>
      <c r="BR213" t="str">
        <f>""</f>
        <v/>
      </c>
      <c r="BS213" t="str">
        <f>""</f>
        <v/>
      </c>
      <c r="BT213" t="str">
        <f>""</f>
        <v/>
      </c>
      <c r="BU213" t="str">
        <f>""</f>
        <v/>
      </c>
      <c r="BV213" t="str">
        <f>""</f>
        <v/>
      </c>
      <c r="BW213" t="str">
        <f>""</f>
        <v/>
      </c>
      <c r="BX213" t="str">
        <f>""</f>
        <v/>
      </c>
      <c r="BY213" t="str">
        <f>""</f>
        <v/>
      </c>
      <c r="BZ213" t="str">
        <f>""</f>
        <v/>
      </c>
      <c r="CA213" t="str">
        <f>""</f>
        <v/>
      </c>
      <c r="CB213" t="str">
        <f>""</f>
        <v/>
      </c>
      <c r="CC213" t="str">
        <f>""</f>
        <v/>
      </c>
      <c r="CD213" t="str">
        <f>""</f>
        <v/>
      </c>
      <c r="CE213" t="str">
        <f>""</f>
        <v/>
      </c>
      <c r="CF213" t="str">
        <f>""</f>
        <v/>
      </c>
      <c r="CG213" t="str">
        <f>""</f>
        <v/>
      </c>
    </row>
    <row r="214" spans="1:85" x14ac:dyDescent="0.25">
      <c r="A214" t="str">
        <f>"    Daimler - Western Star"</f>
        <v xml:space="preserve">    Daimler - Western Star</v>
      </c>
      <c r="B214" t="str">
        <f>""</f>
        <v/>
      </c>
      <c r="E214" t="str">
        <f t="shared" si="16"/>
        <v>Expression</v>
      </c>
      <c r="F214" t="str">
        <f ca="1">IF(AND($B$294=1,LEN($F$237) * LEN($F$257)&gt;0),$F$237+$F$257,HLOOKUP(INDIRECT(ADDRESS(2,COLUMN())),OFFSET($AT$2,0,0,ROW()-1,40),ROW()-1,FALSE))</f>
        <v/>
      </c>
      <c r="G214" t="str">
        <f ca="1">IF(AND($B$294=1,LEN($G$237) * LEN($G$257)&gt;0),$G$237+$G$257,HLOOKUP(INDIRECT(ADDRESS(2,COLUMN())),OFFSET($AT$2,0,0,ROW()-1,40),ROW()-1,FALSE))</f>
        <v/>
      </c>
      <c r="H214" t="str">
        <f ca="1">IF(AND($B$294=1,LEN($H$237) * LEN($H$257)&gt;0),$H$237+$H$257,HLOOKUP(INDIRECT(ADDRESS(2,COLUMN())),OFFSET($AT$2,0,0,ROW()-1,40),ROW()-1,FALSE))</f>
        <v/>
      </c>
      <c r="I214" t="str">
        <f ca="1">IF(AND($B$294=1,LEN($I$237) * LEN($I$257)&gt;0),$I$237+$I$257,HLOOKUP(INDIRECT(ADDRESS(2,COLUMN())),OFFSET($AT$2,0,0,ROW()-1,40),ROW()-1,FALSE))</f>
        <v/>
      </c>
      <c r="J214" t="str">
        <f ca="1">IF(AND($B$294=1,LEN($J$237) * LEN($J$257)&gt;0),$J$237+$J$257,HLOOKUP(INDIRECT(ADDRESS(2,COLUMN())),OFFSET($AT$2,0,0,ROW()-1,40),ROW()-1,FALSE))</f>
        <v/>
      </c>
      <c r="K214" t="str">
        <f ca="1">IF(AND($B$294=1,LEN($K$237) * LEN($K$257)&gt;0),$K$237+$K$257,HLOOKUP(INDIRECT(ADDRESS(2,COLUMN())),OFFSET($AT$2,0,0,ROW()-1,40),ROW()-1,FALSE))</f>
        <v/>
      </c>
      <c r="L214" t="str">
        <f ca="1">IF(AND($B$294=1,LEN($L$237) * LEN($L$257)&gt;0),$L$237+$L$257,HLOOKUP(INDIRECT(ADDRESS(2,COLUMN())),OFFSET($AT$2,0,0,ROW()-1,40),ROW()-1,FALSE))</f>
        <v/>
      </c>
      <c r="M214" t="str">
        <f ca="1">IF(AND($B$294=1,LEN($M$237) * LEN($M$257)&gt;0),$M$237+$M$257,HLOOKUP(INDIRECT(ADDRESS(2,COLUMN())),OFFSET($AT$2,0,0,ROW()-1,40),ROW()-1,FALSE))</f>
        <v/>
      </c>
      <c r="N214" t="str">
        <f ca="1">IF(AND($B$294=1,LEN($N$237) * LEN($N$257)&gt;0),$N$237+$N$257,HLOOKUP(INDIRECT(ADDRESS(2,COLUMN())),OFFSET($AT$2,0,0,ROW()-1,40),ROW()-1,FALSE))</f>
        <v/>
      </c>
      <c r="O214" t="str">
        <f ca="1">IF(AND($B$294=1,LEN($O$237) * LEN($O$257)&gt;0),$O$237+$O$257,HLOOKUP(INDIRECT(ADDRESS(2,COLUMN())),OFFSET($AT$2,0,0,ROW()-1,40),ROW()-1,FALSE))</f>
        <v/>
      </c>
      <c r="P214" t="str">
        <f ca="1">IF(AND($B$294=1,LEN($P$237) * LEN($P$257)&gt;0),$P$237+$P$257,HLOOKUP(INDIRECT(ADDRESS(2,COLUMN())),OFFSET($AT$2,0,0,ROW()-1,40),ROW()-1,FALSE))</f>
        <v/>
      </c>
      <c r="Q214" t="str">
        <f ca="1">IF(AND($B$294=1,LEN($Q$237) * LEN($Q$257)&gt;0),$Q$237+$Q$257,HLOOKUP(INDIRECT(ADDRESS(2,COLUMN())),OFFSET($AT$2,0,0,ROW()-1,40),ROW()-1,FALSE))</f>
        <v/>
      </c>
      <c r="R214" t="str">
        <f ca="1">IF(AND($B$294=1,LEN($R$237) * LEN($R$257)&gt;0),$R$237+$R$257,HLOOKUP(INDIRECT(ADDRESS(2,COLUMN())),OFFSET($AT$2,0,0,ROW()-1,40),ROW()-1,FALSE))</f>
        <v/>
      </c>
      <c r="S214" t="str">
        <f ca="1">IF(AND($B$294=1,LEN($S$237) * LEN($S$257)&gt;0),$S$237+$S$257,HLOOKUP(INDIRECT(ADDRESS(2,COLUMN())),OFFSET($AT$2,0,0,ROW()-1,40),ROW()-1,FALSE))</f>
        <v/>
      </c>
      <c r="T214" t="str">
        <f ca="1">IF(AND($B$294=1,LEN($T$237) * LEN($T$257)&gt;0),$T$237+$T$257,HLOOKUP(INDIRECT(ADDRESS(2,COLUMN())),OFFSET($AT$2,0,0,ROW()-1,40),ROW()-1,FALSE))</f>
        <v/>
      </c>
      <c r="U214" t="str">
        <f ca="1">IF(AND($B$294=1,LEN($U$237) * LEN($U$257)&gt;0),$U$237+$U$257,HLOOKUP(INDIRECT(ADDRESS(2,COLUMN())),OFFSET($AT$2,0,0,ROW()-1,40),ROW()-1,FALSE))</f>
        <v/>
      </c>
      <c r="V214" t="str">
        <f ca="1">IF(AND($B$294=1,LEN($V$237) * LEN($V$257)&gt;0),$V$237+$V$257,HLOOKUP(INDIRECT(ADDRESS(2,COLUMN())),OFFSET($AT$2,0,0,ROW()-1,40),ROW()-1,FALSE))</f>
        <v/>
      </c>
      <c r="W214" t="str">
        <f ca="1">IF(AND($B$294=1,LEN($W$237) * LEN($W$257)&gt;0),$W$237+$W$257,HLOOKUP(INDIRECT(ADDRESS(2,COLUMN())),OFFSET($AT$2,0,0,ROW()-1,40),ROW()-1,FALSE))</f>
        <v/>
      </c>
      <c r="X214" t="str">
        <f ca="1">IF(AND($B$294=1,LEN($X$237) * LEN($X$257)&gt;0),$X$237+$X$257,HLOOKUP(INDIRECT(ADDRESS(2,COLUMN())),OFFSET($AT$2,0,0,ROW()-1,40),ROW()-1,FALSE))</f>
        <v/>
      </c>
      <c r="Y214" t="str">
        <f ca="1">IF(AND($B$294=1,LEN($Y$237) * LEN($Y$257)&gt;0),$Y$237+$Y$257,HLOOKUP(INDIRECT(ADDRESS(2,COLUMN())),OFFSET($AT$2,0,0,ROW()-1,40),ROW()-1,FALSE))</f>
        <v/>
      </c>
      <c r="Z214" t="str">
        <f ca="1">IF(AND($B$294=1,LEN($Z$237) * LEN($Z$257)&gt;0),$Z$237+$Z$257,HLOOKUP(INDIRECT(ADDRESS(2,COLUMN())),OFFSET($AT$2,0,0,ROW()-1,40),ROW()-1,FALSE))</f>
        <v/>
      </c>
      <c r="AA214" t="str">
        <f ca="1">IF(AND($B$294=1,LEN($AA$237) * LEN($AA$257)&gt;0),$AA$237+$AA$257,HLOOKUP(INDIRECT(ADDRESS(2,COLUMN())),OFFSET($AT$2,0,0,ROW()-1,40),ROW()-1,FALSE))</f>
        <v/>
      </c>
      <c r="AB214" t="str">
        <f ca="1">IF(AND($B$294=1,LEN($AB$237) * LEN($AB$257)&gt;0),$AB$237+$AB$257,HLOOKUP(INDIRECT(ADDRESS(2,COLUMN())),OFFSET($AT$2,0,0,ROW()-1,40),ROW()-1,FALSE))</f>
        <v/>
      </c>
      <c r="AC214" t="str">
        <f ca="1">IF(AND($B$294=1,LEN($AC$237) * LEN($AC$257)&gt;0),$AC$237+$AC$257,HLOOKUP(INDIRECT(ADDRESS(2,COLUMN())),OFFSET($AT$2,0,0,ROW()-1,40),ROW()-1,FALSE))</f>
        <v/>
      </c>
      <c r="AD214" t="str">
        <f ca="1">IF(AND($B$294=1,LEN($AD$237) * LEN($AD$257)&gt;0),$AD$237+$AD$257,HLOOKUP(INDIRECT(ADDRESS(2,COLUMN())),OFFSET($AT$2,0,0,ROW()-1,40),ROW()-1,FALSE))</f>
        <v/>
      </c>
      <c r="AE214" t="str">
        <f ca="1">IF(AND($B$294=1,LEN($AE$237) * LEN($AE$257)&gt;0),$AE$237+$AE$257,HLOOKUP(INDIRECT(ADDRESS(2,COLUMN())),OFFSET($AT$2,0,0,ROW()-1,40),ROW()-1,FALSE))</f>
        <v/>
      </c>
      <c r="AF214" t="str">
        <f ca="1">IF(AND($B$294=1,LEN($AF$237) * LEN($AF$257)&gt;0),$AF$237+$AF$257,HLOOKUP(INDIRECT(ADDRESS(2,COLUMN())),OFFSET($AT$2,0,0,ROW()-1,40),ROW()-1,FALSE))</f>
        <v/>
      </c>
      <c r="AG214" t="str">
        <f ca="1">IF(AND($B$294=1,LEN($AG$237) * LEN($AG$257)&gt;0),$AG$237+$AG$257,HLOOKUP(INDIRECT(ADDRESS(2,COLUMN())),OFFSET($AT$2,0,0,ROW()-1,40),ROW()-1,FALSE))</f>
        <v/>
      </c>
      <c r="AH214" t="str">
        <f ca="1">IF(AND($B$294=1,LEN($AH$237) * LEN($AH$257)&gt;0),$AH$237+$AH$257,HLOOKUP(INDIRECT(ADDRESS(2,COLUMN())),OFFSET($AT$2,0,0,ROW()-1,40),ROW()-1,FALSE))</f>
        <v/>
      </c>
      <c r="AI214" t="str">
        <f ca="1">IF(AND($B$294=1,LEN($AI$237) * LEN($AI$257)&gt;0),$AI$237+$AI$257,HLOOKUP(INDIRECT(ADDRESS(2,COLUMN())),OFFSET($AT$2,0,0,ROW()-1,40),ROW()-1,FALSE))</f>
        <v/>
      </c>
      <c r="AJ214" t="str">
        <f ca="1">IF(AND($B$294=1,LEN($AJ$237) * LEN($AJ$257)&gt;0),$AJ$237+$AJ$257,HLOOKUP(INDIRECT(ADDRESS(2,COLUMN())),OFFSET($AT$2,0,0,ROW()-1,40),ROW()-1,FALSE))</f>
        <v/>
      </c>
      <c r="AK214" t="str">
        <f ca="1">IF(AND($B$294=1,LEN($AK$237) * LEN($AK$257)&gt;0),$AK$237+$AK$257,HLOOKUP(INDIRECT(ADDRESS(2,COLUMN())),OFFSET($AT$2,0,0,ROW()-1,40),ROW()-1,FALSE))</f>
        <v/>
      </c>
      <c r="AL214" t="str">
        <f ca="1">IF(AND($B$294=1,LEN($AL$237) * LEN($AL$257)&gt;0),$AL$237+$AL$257,HLOOKUP(INDIRECT(ADDRESS(2,COLUMN())),OFFSET($AT$2,0,0,ROW()-1,40),ROW()-1,FALSE))</f>
        <v/>
      </c>
      <c r="AM214" t="str">
        <f ca="1">IF(AND($B$294=1,LEN($AM$237) * LEN($AM$257)&gt;0),$AM$237+$AM$257,HLOOKUP(INDIRECT(ADDRESS(2,COLUMN())),OFFSET($AT$2,0,0,ROW()-1,40),ROW()-1,FALSE))</f>
        <v/>
      </c>
      <c r="AN214" t="str">
        <f ca="1">IF(AND($B$294=1,LEN($AN$237) * LEN($AN$257)&gt;0),$AN$237+$AN$257,HLOOKUP(INDIRECT(ADDRESS(2,COLUMN())),OFFSET($AT$2,0,0,ROW()-1,40),ROW()-1,FALSE))</f>
        <v/>
      </c>
      <c r="AO214" t="str">
        <f ca="1">IF(AND($B$294=1,LEN($AO$237) * LEN($AO$257)&gt;0),$AO$237+$AO$257,HLOOKUP(INDIRECT(ADDRESS(2,COLUMN())),OFFSET($AT$2,0,0,ROW()-1,40),ROW()-1,FALSE))</f>
        <v/>
      </c>
      <c r="AP214" t="str">
        <f ca="1">IF(AND($B$294=1,LEN($AP$237) * LEN($AP$257)&gt;0),$AP$237+$AP$257,HLOOKUP(INDIRECT(ADDRESS(2,COLUMN())),OFFSET($AT$2,0,0,ROW()-1,40),ROW()-1,FALSE))</f>
        <v/>
      </c>
      <c r="AQ214" t="str">
        <f ca="1">IF(AND($B$294=1,LEN($AQ$237) * LEN($AQ$257)&gt;0),$AQ$237+$AQ$257,HLOOKUP(INDIRECT(ADDRESS(2,COLUMN())),OFFSET($AT$2,0,0,ROW()-1,40),ROW()-1,FALSE))</f>
        <v/>
      </c>
      <c r="AR214" t="str">
        <f ca="1">IF(AND($B$294=1,LEN($AR$237) * LEN($AR$257)&gt;0),$AR$237+$AR$257,HLOOKUP(INDIRECT(ADDRESS(2,COLUMN())),OFFSET($AT$2,0,0,ROW()-1,40),ROW()-1,FALSE))</f>
        <v/>
      </c>
      <c r="AS214" t="str">
        <f ca="1">IF(AND($B$294=1,LEN($AS$237) * LEN($AS$257)&gt;0),$AS$237+$AS$257,HLOOKUP(INDIRECT(ADDRESS(2,COLUMN())),OFFSET($AT$2,0,0,ROW()-1,40),ROW()-1,FALSE))</f>
        <v/>
      </c>
      <c r="AT214" t="str">
        <f>""</f>
        <v/>
      </c>
      <c r="AU214" t="str">
        <f>""</f>
        <v/>
      </c>
      <c r="AV214" t="str">
        <f>""</f>
        <v/>
      </c>
      <c r="AW214" t="str">
        <f>""</f>
        <v/>
      </c>
      <c r="AX214" t="str">
        <f>""</f>
        <v/>
      </c>
      <c r="AY214" t="str">
        <f>""</f>
        <v/>
      </c>
      <c r="AZ214" t="str">
        <f>""</f>
        <v/>
      </c>
      <c r="BA214" t="str">
        <f>""</f>
        <v/>
      </c>
      <c r="BB214" t="str">
        <f>""</f>
        <v/>
      </c>
      <c r="BC214" t="str">
        <f>""</f>
        <v/>
      </c>
      <c r="BD214" t="str">
        <f>""</f>
        <v/>
      </c>
      <c r="BE214" t="str">
        <f>""</f>
        <v/>
      </c>
      <c r="BF214" t="str">
        <f>""</f>
        <v/>
      </c>
      <c r="BG214" t="str">
        <f>""</f>
        <v/>
      </c>
      <c r="BH214" t="str">
        <f>""</f>
        <v/>
      </c>
      <c r="BI214" t="str">
        <f>""</f>
        <v/>
      </c>
      <c r="BJ214" t="str">
        <f>""</f>
        <v/>
      </c>
      <c r="BK214" t="str">
        <f>""</f>
        <v/>
      </c>
      <c r="BL214" t="str">
        <f>""</f>
        <v/>
      </c>
      <c r="BM214" t="str">
        <f>""</f>
        <v/>
      </c>
      <c r="BN214" t="str">
        <f>""</f>
        <v/>
      </c>
      <c r="BO214" t="str">
        <f>""</f>
        <v/>
      </c>
      <c r="BP214" t="str">
        <f>""</f>
        <v/>
      </c>
      <c r="BQ214" t="str">
        <f>""</f>
        <v/>
      </c>
      <c r="BR214" t="str">
        <f>""</f>
        <v/>
      </c>
      <c r="BS214" t="str">
        <f>""</f>
        <v/>
      </c>
      <c r="BT214" t="str">
        <f>""</f>
        <v/>
      </c>
      <c r="BU214" t="str">
        <f>""</f>
        <v/>
      </c>
      <c r="BV214" t="str">
        <f>""</f>
        <v/>
      </c>
      <c r="BW214" t="str">
        <f>""</f>
        <v/>
      </c>
      <c r="BX214" t="str">
        <f>""</f>
        <v/>
      </c>
      <c r="BY214" t="str">
        <f>""</f>
        <v/>
      </c>
      <c r="BZ214" t="str">
        <f>""</f>
        <v/>
      </c>
      <c r="CA214" t="str">
        <f>""</f>
        <v/>
      </c>
      <c r="CB214" t="str">
        <f>""</f>
        <v/>
      </c>
      <c r="CC214" t="str">
        <f>""</f>
        <v/>
      </c>
      <c r="CD214" t="str">
        <f>""</f>
        <v/>
      </c>
      <c r="CE214" t="str">
        <f>""</f>
        <v/>
      </c>
      <c r="CF214" t="str">
        <f>""</f>
        <v/>
      </c>
      <c r="CG214" t="str">
        <f>""</f>
        <v/>
      </c>
    </row>
    <row r="215" spans="1:85" x14ac:dyDescent="0.25">
      <c r="A215" t="str">
        <f>"    Navistar"</f>
        <v xml:space="preserve">    Navistar</v>
      </c>
      <c r="B215" t="str">
        <f>""</f>
        <v/>
      </c>
      <c r="E215" t="str">
        <f t="shared" si="16"/>
        <v>Expression</v>
      </c>
      <c r="F215">
        <f ca="1">IF(AND($B$294=1,LEN($F$239) * LEN($F$251) * LEN($F$268)&gt;0),$F$239+$F$251+$F$268,HLOOKUP(INDIRECT(ADDRESS(2,COLUMN())),OFFSET($AT$2,0,0,ROW()-1,40),ROW()-1,FALSE))</f>
        <v>3319</v>
      </c>
      <c r="G215">
        <f ca="1">IF(AND($B$294=1,LEN($G$239) * LEN($G$251) * LEN($G$268)&gt;0),$G$239+$G$251+$G$268,HLOOKUP(INDIRECT(ADDRESS(2,COLUMN())),OFFSET($AT$2,0,0,ROW()-1,40),ROW()-1,FALSE))</f>
        <v>3071</v>
      </c>
      <c r="H215">
        <f ca="1">IF(AND($B$294=1,LEN($H$239) * LEN($H$251) * LEN($H$268)&gt;0),$H$239+$H$251+$H$268,HLOOKUP(INDIRECT(ADDRESS(2,COLUMN())),OFFSET($AT$2,0,0,ROW()-1,40),ROW()-1,FALSE))</f>
        <v>4386</v>
      </c>
      <c r="I215">
        <f ca="1">IF(AND($B$294=1,LEN($I$239) * LEN($I$251) * LEN($I$268)&gt;0),$I$239+$I$251+$I$268,HLOOKUP(INDIRECT(ADDRESS(2,COLUMN())),OFFSET($AT$2,0,0,ROW()-1,40),ROW()-1,FALSE))</f>
        <v>3332</v>
      </c>
      <c r="J215">
        <f ca="1">IF(AND($B$294=1,LEN($J$239) * LEN($J$251) * LEN($J$268)&gt;0),$J$239+$J$251+$J$268,HLOOKUP(INDIRECT(ADDRESS(2,COLUMN())),OFFSET($AT$2,0,0,ROW()-1,40),ROW()-1,FALSE))</f>
        <v>2945</v>
      </c>
      <c r="K215">
        <f ca="1">IF(AND($B$294=1,LEN($K$239) * LEN($K$251) * LEN($K$268)&gt;0),$K$239+$K$251+$K$268,HLOOKUP(INDIRECT(ADDRESS(2,COLUMN())),OFFSET($AT$2,0,0,ROW()-1,40),ROW()-1,FALSE))</f>
        <v>2633</v>
      </c>
      <c r="L215">
        <f ca="1">IF(AND($B$294=1,LEN($L$239) * LEN($L$251) * LEN($L$268)&gt;0),$L$239+$L$251+$L$268,HLOOKUP(INDIRECT(ADDRESS(2,COLUMN())),OFFSET($AT$2,0,0,ROW()-1,40),ROW()-1,FALSE))</f>
        <v>2568</v>
      </c>
      <c r="M215">
        <f ca="1">IF(AND($B$294=1,LEN($M$239) * LEN($M$251) * LEN($M$268)&gt;0),$M$239+$M$251+$M$268,HLOOKUP(INDIRECT(ADDRESS(2,COLUMN())),OFFSET($AT$2,0,0,ROW()-1,40),ROW()-1,FALSE))</f>
        <v>3626</v>
      </c>
      <c r="N215">
        <f ca="1">IF(AND($B$294=1,LEN($N$239) * LEN($N$251) * LEN($N$268)&gt;0),$N$239+$N$251+$N$268,HLOOKUP(INDIRECT(ADDRESS(2,COLUMN())),OFFSET($AT$2,0,0,ROW()-1,40),ROW()-1,FALSE))</f>
        <v>2725</v>
      </c>
      <c r="O215">
        <f ca="1">IF(AND($B$294=1,LEN($O$239) * LEN($O$251) * LEN($O$268)&gt;0),$O$239+$O$251+$O$268,HLOOKUP(INDIRECT(ADDRESS(2,COLUMN())),OFFSET($AT$2,0,0,ROW()-1,40),ROW()-1,FALSE))</f>
        <v>2063</v>
      </c>
      <c r="P215">
        <f ca="1">IF(AND($B$294=1,LEN($P$239) * LEN($P$251) * LEN($P$268)&gt;0),$P$239+$P$251+$P$268,HLOOKUP(INDIRECT(ADDRESS(2,COLUMN())),OFFSET($AT$2,0,0,ROW()-1,40),ROW()-1,FALSE))</f>
        <v>2123</v>
      </c>
      <c r="Q215">
        <f ca="1">IF(AND($B$294=1,LEN($Q$239) * LEN($Q$251) * LEN($Q$268)&gt;0),$Q$239+$Q$251+$Q$268,HLOOKUP(INDIRECT(ADDRESS(2,COLUMN())),OFFSET($AT$2,0,0,ROW()-1,40),ROW()-1,FALSE))</f>
        <v>1577</v>
      </c>
      <c r="R215">
        <f ca="1">IF(AND($B$294=1,LEN($R$239) * LEN($R$251) * LEN($R$268)&gt;0),$R$239+$R$251+$R$268,HLOOKUP(INDIRECT(ADDRESS(2,COLUMN())),OFFSET($AT$2,0,0,ROW()-1,40),ROW()-1,FALSE))</f>
        <v>2357</v>
      </c>
      <c r="S215">
        <f ca="1">IF(AND($B$294=1,LEN($S$239) * LEN($S$251) * LEN($S$268)&gt;0),$S$239+$S$251+$S$268,HLOOKUP(INDIRECT(ADDRESS(2,COLUMN())),OFFSET($AT$2,0,0,ROW()-1,40),ROW()-1,FALSE))</f>
        <v>3789</v>
      </c>
      <c r="T215">
        <f ca="1">IF(AND($B$294=1,LEN($T$239) * LEN($T$251) * LEN($T$268)&gt;0),$T$239+$T$251+$T$268,HLOOKUP(INDIRECT(ADDRESS(2,COLUMN())),OFFSET($AT$2,0,0,ROW()-1,40),ROW()-1,FALSE))</f>
        <v>3589</v>
      </c>
      <c r="U215">
        <f ca="1">IF(AND($B$294=1,LEN($U$239) * LEN($U$251) * LEN($U$268)&gt;0),$U$239+$U$251+$U$268,HLOOKUP(INDIRECT(ADDRESS(2,COLUMN())),OFFSET($AT$2,0,0,ROW()-1,40),ROW()-1,FALSE))</f>
        <v>2895</v>
      </c>
      <c r="V215">
        <f ca="1">IF(AND($B$294=1,LEN($V$239) * LEN($V$251) * LEN($V$268)&gt;0),$V$239+$V$251+$V$268,HLOOKUP(INDIRECT(ADDRESS(2,COLUMN())),OFFSET($AT$2,0,0,ROW()-1,40),ROW()-1,FALSE))</f>
        <v>2774</v>
      </c>
      <c r="W215">
        <f ca="1">IF(AND($B$294=1,LEN($W$239) * LEN($W$251) * LEN($W$268)&gt;0),$W$239+$W$251+$W$268,HLOOKUP(INDIRECT(ADDRESS(2,COLUMN())),OFFSET($AT$2,0,0,ROW()-1,40),ROW()-1,FALSE))</f>
        <v>2518</v>
      </c>
      <c r="X215">
        <f ca="1">IF(AND($B$294=1,LEN($X$239) * LEN($X$251) * LEN($X$268)&gt;0),$X$239+$X$251+$X$268,HLOOKUP(INDIRECT(ADDRESS(2,COLUMN())),OFFSET($AT$2,0,0,ROW()-1,40),ROW()-1,FALSE))</f>
        <v>2616</v>
      </c>
      <c r="Y215">
        <f ca="1">IF(AND($B$294=1,LEN($Y$239) * LEN($Y$251) * LEN($Y$268)&gt;0),$Y$239+$Y$251+$Y$268,HLOOKUP(INDIRECT(ADDRESS(2,COLUMN())),OFFSET($AT$2,0,0,ROW()-1,40),ROW()-1,FALSE))</f>
        <v>2731</v>
      </c>
      <c r="Z215">
        <f ca="1">IF(AND($B$294=1,LEN($Z$239) * LEN($Z$251) * LEN($Z$268)&gt;0),$Z$239+$Z$251+$Z$268,HLOOKUP(INDIRECT(ADDRESS(2,COLUMN())),OFFSET($AT$2,0,0,ROW()-1,40),ROW()-1,FALSE))</f>
        <v>2763</v>
      </c>
      <c r="AA215">
        <f ca="1">IF(AND($B$294=1,LEN($AA$239) * LEN($AA$251) * LEN($AA$268)&gt;0),$AA$239+$AA$251+$AA$268,HLOOKUP(INDIRECT(ADDRESS(2,COLUMN())),OFFSET($AT$2,0,0,ROW()-1,40),ROW()-1,FALSE))</f>
        <v>2112</v>
      </c>
      <c r="AB215">
        <f ca="1">IF(AND($B$294=1,LEN($AB$239) * LEN($AB$251) * LEN($AB$268)&gt;0),$AB$239+$AB$251+$AB$268,HLOOKUP(INDIRECT(ADDRESS(2,COLUMN())),OFFSET($AT$2,0,0,ROW()-1,40),ROW()-1,FALSE))</f>
        <v>2153</v>
      </c>
      <c r="AC215">
        <f ca="1">IF(AND($B$294=1,LEN($AC$239) * LEN($AC$251) * LEN($AC$268)&gt;0),$AC$239+$AC$251+$AC$268,HLOOKUP(INDIRECT(ADDRESS(2,COLUMN())),OFFSET($AT$2,0,0,ROW()-1,40),ROW()-1,FALSE))</f>
        <v>1775</v>
      </c>
      <c r="AD215">
        <f ca="1">IF(AND($B$294=1,LEN($AD$239) * LEN($AD$251) * LEN($AD$268)&gt;0),$AD$239+$AD$251+$AD$268,HLOOKUP(INDIRECT(ADDRESS(2,COLUMN())),OFFSET($AT$2,0,0,ROW()-1,40),ROW()-1,FALSE))</f>
        <v>2741</v>
      </c>
      <c r="AE215">
        <f ca="1">IF(AND($B$294=1,LEN($AE$239) * LEN($AE$251) * LEN($AE$268)&gt;0),$AE$239+$AE$251+$AE$268,HLOOKUP(INDIRECT(ADDRESS(2,COLUMN())),OFFSET($AT$2,0,0,ROW()-1,40),ROW()-1,FALSE))</f>
        <v>2987</v>
      </c>
      <c r="AF215">
        <f ca="1">IF(AND($B$294=1,LEN($AF$239) * LEN($AF$251) * LEN($AF$268)&gt;0),$AF$239+$AF$251+$AF$268,HLOOKUP(INDIRECT(ADDRESS(2,COLUMN())),OFFSET($AT$2,0,0,ROW()-1,40),ROW()-1,FALSE))</f>
        <v>3300</v>
      </c>
      <c r="AG215">
        <f ca="1">IF(AND($B$294=1,LEN($AG$239) * LEN($AG$251) * LEN($AG$268)&gt;0),$AG$239+$AG$251+$AG$268,HLOOKUP(INDIRECT(ADDRESS(2,COLUMN())),OFFSET($AT$2,0,0,ROW()-1,40),ROW()-1,FALSE))</f>
        <v>3499</v>
      </c>
      <c r="AH215">
        <f ca="1">IF(AND($B$294=1,LEN($AH$239) * LEN($AH$251) * LEN($AH$268)&gt;0),$AH$239+$AH$251+$AH$268,HLOOKUP(INDIRECT(ADDRESS(2,COLUMN())),OFFSET($AT$2,0,0,ROW()-1,40),ROW()-1,FALSE))</f>
        <v>3272</v>
      </c>
      <c r="AI215">
        <f ca="1">IF(AND($B$294=1,LEN($AI$239) * LEN($AI$251) * LEN($AI$268)&gt;0),$AI$239+$AI$251+$AI$268,HLOOKUP(INDIRECT(ADDRESS(2,COLUMN())),OFFSET($AT$2,0,0,ROW()-1,40),ROW()-1,FALSE))</f>
        <v>1978</v>
      </c>
      <c r="AJ215">
        <f ca="1">IF(AND($B$294=1,LEN($AJ$239) * LEN($AJ$251) * LEN($AJ$268)&gt;0),$AJ$239+$AJ$251+$AJ$268,HLOOKUP(INDIRECT(ADDRESS(2,COLUMN())),OFFSET($AT$2,0,0,ROW()-1,40),ROW()-1,FALSE))</f>
        <v>2350</v>
      </c>
      <c r="AK215">
        <f ca="1">IF(AND($B$294=1,LEN($AK$239) * LEN($AK$251) * LEN($AK$268)&gt;0),$AK$239+$AK$251+$AK$268,HLOOKUP(INDIRECT(ADDRESS(2,COLUMN())),OFFSET($AT$2,0,0,ROW()-1,40),ROW()-1,FALSE))</f>
        <v>2857</v>
      </c>
      <c r="AL215">
        <f ca="1">IF(AND($B$294=1,LEN($AL$239) * LEN($AL$251) * LEN($AL$268)&gt;0),$AL$239+$AL$251+$AL$268,HLOOKUP(INDIRECT(ADDRESS(2,COLUMN())),OFFSET($AT$2,0,0,ROW()-1,40),ROW()-1,FALSE))</f>
        <v>2259</v>
      </c>
      <c r="AM215">
        <f ca="1">IF(AND($B$294=1,LEN($AM$239) * LEN($AM$251) * LEN($AM$268)&gt;0),$AM$239+$AM$251+$AM$268,HLOOKUP(INDIRECT(ADDRESS(2,COLUMN())),OFFSET($AT$2,0,0,ROW()-1,40),ROW()-1,FALSE))</f>
        <v>2251</v>
      </c>
      <c r="AN215">
        <f ca="1">IF(AND($B$294=1,LEN($AN$239) * LEN($AN$251) * LEN($AN$268)&gt;0),$AN$239+$AN$251+$AN$268,HLOOKUP(INDIRECT(ADDRESS(2,COLUMN())),OFFSET($AT$2,0,0,ROW()-1,40),ROW()-1,FALSE))</f>
        <v>2231</v>
      </c>
      <c r="AO215">
        <f ca="1">IF(AND($B$294=1,LEN($AO$239) * LEN($AO$251) * LEN($AO$268)&gt;0),$AO$239+$AO$251+$AO$268,HLOOKUP(INDIRECT(ADDRESS(2,COLUMN())),OFFSET($AT$2,0,0,ROW()-1,40),ROW()-1,FALSE))</f>
        <v>1412</v>
      </c>
      <c r="AP215">
        <f ca="1">IF(AND($B$294=1,LEN($AP$239) * LEN($AP$251) * LEN($AP$268)&gt;0),$AP$239+$AP$251+$AP$268,HLOOKUP(INDIRECT(ADDRESS(2,COLUMN())),OFFSET($AT$2,0,0,ROW()-1,40),ROW()-1,FALSE))</f>
        <v>2575</v>
      </c>
      <c r="AQ215">
        <f ca="1">IF(AND($B$294=1,LEN($AQ$239) * LEN($AQ$251) * LEN($AQ$268)&gt;0),$AQ$239+$AQ$251+$AQ$268,HLOOKUP(INDIRECT(ADDRESS(2,COLUMN())),OFFSET($AT$2,0,0,ROW()-1,40),ROW()-1,FALSE))</f>
        <v>3117</v>
      </c>
      <c r="AR215">
        <f ca="1">IF(AND($B$294=1,LEN($AR$239) * LEN($AR$251) * LEN($AR$268)&gt;0),$AR$239+$AR$251+$AR$268,HLOOKUP(INDIRECT(ADDRESS(2,COLUMN())),OFFSET($AT$2,0,0,ROW()-1,40),ROW()-1,FALSE))</f>
        <v>2654</v>
      </c>
      <c r="AS215">
        <f ca="1">IF(AND($B$294=1,LEN($AS$239) * LEN($AS$251) * LEN($AS$268)&gt;0),$AS$239+$AS$251+$AS$268,HLOOKUP(INDIRECT(ADDRESS(2,COLUMN())),OFFSET($AT$2,0,0,ROW()-1,40),ROW()-1,FALSE))</f>
        <v>3459</v>
      </c>
      <c r="AT215">
        <f>3319</f>
        <v>3319</v>
      </c>
      <c r="AU215">
        <f>3071</f>
        <v>3071</v>
      </c>
      <c r="AV215">
        <f>4386</f>
        <v>4386</v>
      </c>
      <c r="AW215">
        <f>3332</f>
        <v>3332</v>
      </c>
      <c r="AX215">
        <f>2945</f>
        <v>2945</v>
      </c>
      <c r="AY215">
        <f>2633</f>
        <v>2633</v>
      </c>
      <c r="AZ215">
        <f>2568</f>
        <v>2568</v>
      </c>
      <c r="BA215">
        <f>3626</f>
        <v>3626</v>
      </c>
      <c r="BB215">
        <f>2725</f>
        <v>2725</v>
      </c>
      <c r="BC215">
        <f>2063</f>
        <v>2063</v>
      </c>
      <c r="BD215">
        <f>2123</f>
        <v>2123</v>
      </c>
      <c r="BE215">
        <f>1577</f>
        <v>1577</v>
      </c>
      <c r="BF215">
        <f>2357</f>
        <v>2357</v>
      </c>
      <c r="BG215">
        <f>3789</f>
        <v>3789</v>
      </c>
      <c r="BH215">
        <f>3589</f>
        <v>3589</v>
      </c>
      <c r="BI215">
        <f>2895</f>
        <v>2895</v>
      </c>
      <c r="BJ215">
        <f>2774</f>
        <v>2774</v>
      </c>
      <c r="BK215">
        <f>2518</f>
        <v>2518</v>
      </c>
      <c r="BL215">
        <f>2616</f>
        <v>2616</v>
      </c>
      <c r="BM215">
        <f>2731</f>
        <v>2731</v>
      </c>
      <c r="BN215">
        <f>2763</f>
        <v>2763</v>
      </c>
      <c r="BO215">
        <f>2112</f>
        <v>2112</v>
      </c>
      <c r="BP215">
        <f>2153</f>
        <v>2153</v>
      </c>
      <c r="BQ215">
        <f>1775</f>
        <v>1775</v>
      </c>
      <c r="BR215">
        <f>2741</f>
        <v>2741</v>
      </c>
      <c r="BS215">
        <f>2987</f>
        <v>2987</v>
      </c>
      <c r="BT215">
        <f>3300</f>
        <v>3300</v>
      </c>
      <c r="BU215">
        <f>3499</f>
        <v>3499</v>
      </c>
      <c r="BV215">
        <f>3272</f>
        <v>3272</v>
      </c>
      <c r="BW215">
        <f>1978</f>
        <v>1978</v>
      </c>
      <c r="BX215">
        <f>2350</f>
        <v>2350</v>
      </c>
      <c r="BY215">
        <f>2857</f>
        <v>2857</v>
      </c>
      <c r="BZ215">
        <f>2259</f>
        <v>2259</v>
      </c>
      <c r="CA215">
        <f>2251</f>
        <v>2251</v>
      </c>
      <c r="CB215">
        <f>2231</f>
        <v>2231</v>
      </c>
      <c r="CC215">
        <f>1412</f>
        <v>1412</v>
      </c>
      <c r="CD215">
        <f>2575</f>
        <v>2575</v>
      </c>
      <c r="CE215">
        <f>3117</f>
        <v>3117</v>
      </c>
      <c r="CF215">
        <f>2654</f>
        <v>2654</v>
      </c>
      <c r="CG215">
        <f>3459</f>
        <v>3459</v>
      </c>
    </row>
    <row r="216" spans="1:85" x14ac:dyDescent="0.25">
      <c r="A216" t="str">
        <f>"    PACCAR - Kenworth"</f>
        <v xml:space="preserve">    PACCAR - Kenworth</v>
      </c>
      <c r="B216" t="str">
        <f>""</f>
        <v/>
      </c>
      <c r="E216" t="str">
        <f t="shared" si="16"/>
        <v>Expression</v>
      </c>
      <c r="F216">
        <f ca="1">IF(AND($B$294=1,LEN($F$240) * LEN($F$252) * LEN($F$272)&gt;0),$F$240+$F$252+$F$272,HLOOKUP(INDIRECT(ADDRESS(2,COLUMN())),OFFSET($AT$2,0,0,ROW()-1,40),ROW()-1,FALSE))</f>
        <v>664</v>
      </c>
      <c r="G216">
        <f ca="1">IF(AND($B$294=1,LEN($G$240) * LEN($G$252) * LEN($G$272)&gt;0),$G$240+$G$252+$G$272,HLOOKUP(INDIRECT(ADDRESS(2,COLUMN())),OFFSET($AT$2,0,0,ROW()-1,40),ROW()-1,FALSE))</f>
        <v>674</v>
      </c>
      <c r="H216">
        <f ca="1">IF(AND($B$294=1,LEN($H$240) * LEN($H$252) * LEN($H$272)&gt;0),$H$240+$H$252+$H$272,HLOOKUP(INDIRECT(ADDRESS(2,COLUMN())),OFFSET($AT$2,0,0,ROW()-1,40),ROW()-1,FALSE))</f>
        <v>669</v>
      </c>
      <c r="I216">
        <f ca="1">IF(AND($B$294=1,LEN($I$240) * LEN($I$252) * LEN($I$272)&gt;0),$I$240+$I$252+$I$272,HLOOKUP(INDIRECT(ADDRESS(2,COLUMN())),OFFSET($AT$2,0,0,ROW()-1,40),ROW()-1,FALSE))</f>
        <v>709</v>
      </c>
      <c r="J216">
        <f ca="1">IF(AND($B$294=1,LEN($J$240) * LEN($J$252) * LEN($J$272)&gt;0),$J$240+$J$252+$J$272,HLOOKUP(INDIRECT(ADDRESS(2,COLUMN())),OFFSET($AT$2,0,0,ROW()-1,40),ROW()-1,FALSE))</f>
        <v>685</v>
      </c>
      <c r="K216">
        <f ca="1">IF(AND($B$294=1,LEN($K$240) * LEN($K$252) * LEN($K$272)&gt;0),$K$240+$K$252+$K$272,HLOOKUP(INDIRECT(ADDRESS(2,COLUMN())),OFFSET($AT$2,0,0,ROW()-1,40),ROW()-1,FALSE))</f>
        <v>678</v>
      </c>
      <c r="L216">
        <f ca="1">IF(AND($B$294=1,LEN($L$240) * LEN($L$252) * LEN($L$272)&gt;0),$L$240+$L$252+$L$272,HLOOKUP(INDIRECT(ADDRESS(2,COLUMN())),OFFSET($AT$2,0,0,ROW()-1,40),ROW()-1,FALSE))</f>
        <v>647</v>
      </c>
      <c r="M216">
        <f ca="1">IF(AND($B$294=1,LEN($M$240) * LEN($M$252) * LEN($M$272)&gt;0),$M$240+$M$252+$M$272,HLOOKUP(INDIRECT(ADDRESS(2,COLUMN())),OFFSET($AT$2,0,0,ROW()-1,40),ROW()-1,FALSE))</f>
        <v>617</v>
      </c>
      <c r="N216">
        <f ca="1">IF(AND($B$294=1,LEN($N$240) * LEN($N$252) * LEN($N$272)&gt;0),$N$240+$N$252+$N$272,HLOOKUP(INDIRECT(ADDRESS(2,COLUMN())),OFFSET($AT$2,0,0,ROW()-1,40),ROW()-1,FALSE))</f>
        <v>391</v>
      </c>
      <c r="O216">
        <f ca="1">IF(AND($B$294=1,LEN($O$240) * LEN($O$252) * LEN($O$272)&gt;0),$O$240+$O$252+$O$272,HLOOKUP(INDIRECT(ADDRESS(2,COLUMN())),OFFSET($AT$2,0,0,ROW()-1,40),ROW()-1,FALSE))</f>
        <v>448</v>
      </c>
      <c r="P216">
        <f ca="1">IF(AND($B$294=1,LEN($P$240) * LEN($P$252) * LEN($P$272)&gt;0),$P$240+$P$252+$P$272,HLOOKUP(INDIRECT(ADDRESS(2,COLUMN())),OFFSET($AT$2,0,0,ROW()-1,40),ROW()-1,FALSE))</f>
        <v>852</v>
      </c>
      <c r="Q216">
        <f ca="1">IF(AND($B$294=1,LEN($Q$240) * LEN($Q$252) * LEN($Q$272)&gt;0),$Q$240+$Q$252+$Q$272,HLOOKUP(INDIRECT(ADDRESS(2,COLUMN())),OFFSET($AT$2,0,0,ROW()-1,40),ROW()-1,FALSE))</f>
        <v>609</v>
      </c>
      <c r="R216">
        <f ca="1">IF(AND($B$294=1,LEN($R$240) * LEN($R$252) * LEN($R$272)&gt;0),$R$240+$R$252+$R$272,HLOOKUP(INDIRECT(ADDRESS(2,COLUMN())),OFFSET($AT$2,0,0,ROW()-1,40),ROW()-1,FALSE))</f>
        <v>719</v>
      </c>
      <c r="S216">
        <f ca="1">IF(AND($B$294=1,LEN($S$240) * LEN($S$252) * LEN($S$272)&gt;0),$S$240+$S$252+$S$272,HLOOKUP(INDIRECT(ADDRESS(2,COLUMN())),OFFSET($AT$2,0,0,ROW()-1,40),ROW()-1,FALSE))</f>
        <v>606</v>
      </c>
      <c r="T216">
        <f ca="1">IF(AND($B$294=1,LEN($T$240) * LEN($T$252) * LEN($T$272)&gt;0),$T$240+$T$252+$T$272,HLOOKUP(INDIRECT(ADDRESS(2,COLUMN())),OFFSET($AT$2,0,0,ROW()-1,40),ROW()-1,FALSE))</f>
        <v>684</v>
      </c>
      <c r="U216">
        <f ca="1">IF(AND($B$294=1,LEN($U$240) * LEN($U$252) * LEN($U$272)&gt;0),$U$240+$U$252+$U$272,HLOOKUP(INDIRECT(ADDRESS(2,COLUMN())),OFFSET($AT$2,0,0,ROW()-1,40),ROW()-1,FALSE))</f>
        <v>546</v>
      </c>
      <c r="V216">
        <f ca="1">IF(AND($B$294=1,LEN($V$240) * LEN($V$252) * LEN($V$272)&gt;0),$V$240+$V$252+$V$272,HLOOKUP(INDIRECT(ADDRESS(2,COLUMN())),OFFSET($AT$2,0,0,ROW()-1,40),ROW()-1,FALSE))</f>
        <v>699</v>
      </c>
      <c r="W216">
        <f ca="1">IF(AND($B$294=1,LEN($W$240) * LEN($W$252) * LEN($W$272)&gt;0),$W$240+$W$252+$W$272,HLOOKUP(INDIRECT(ADDRESS(2,COLUMN())),OFFSET($AT$2,0,0,ROW()-1,40),ROW()-1,FALSE))</f>
        <v>658</v>
      </c>
      <c r="X216">
        <f ca="1">IF(AND($B$294=1,LEN($X$240) * LEN($X$252) * LEN($X$272)&gt;0),$X$240+$X$252+$X$272,HLOOKUP(INDIRECT(ADDRESS(2,COLUMN())),OFFSET($AT$2,0,0,ROW()-1,40),ROW()-1,FALSE))</f>
        <v>630</v>
      </c>
      <c r="Y216">
        <f ca="1">IF(AND($B$294=1,LEN($Y$240) * LEN($Y$252) * LEN($Y$272)&gt;0),$Y$240+$Y$252+$Y$272,HLOOKUP(INDIRECT(ADDRESS(2,COLUMN())),OFFSET($AT$2,0,0,ROW()-1,40),ROW()-1,FALSE))</f>
        <v>648</v>
      </c>
      <c r="Z216">
        <f ca="1">IF(AND($B$294=1,LEN($Z$240) * LEN($Z$252) * LEN($Z$272)&gt;0),$Z$240+$Z$252+$Z$272,HLOOKUP(INDIRECT(ADDRESS(2,COLUMN())),OFFSET($AT$2,0,0,ROW()-1,40),ROW()-1,FALSE))</f>
        <v>457</v>
      </c>
      <c r="AA216">
        <f ca="1">IF(AND($B$294=1,LEN($AA$240) * LEN($AA$252) * LEN($AA$272)&gt;0),$AA$240+$AA$252+$AA$272,HLOOKUP(INDIRECT(ADDRESS(2,COLUMN())),OFFSET($AT$2,0,0,ROW()-1,40),ROW()-1,FALSE))</f>
        <v>425</v>
      </c>
      <c r="AB216">
        <f ca="1">IF(AND($B$294=1,LEN($AB$240) * LEN($AB$252) * LEN($AB$272)&gt;0),$AB$240+$AB$252+$AB$272,HLOOKUP(INDIRECT(ADDRESS(2,COLUMN())),OFFSET($AT$2,0,0,ROW()-1,40),ROW()-1,FALSE))</f>
        <v>854</v>
      </c>
      <c r="AC216">
        <f ca="1">IF(AND($B$294=1,LEN($AC$240) * LEN($AC$252) * LEN($AC$272)&gt;0),$AC$240+$AC$252+$AC$272,HLOOKUP(INDIRECT(ADDRESS(2,COLUMN())),OFFSET($AT$2,0,0,ROW()-1,40),ROW()-1,FALSE))</f>
        <v>692</v>
      </c>
      <c r="AD216">
        <f ca="1">IF(AND($B$294=1,LEN($AD$240) * LEN($AD$252) * LEN($AD$272)&gt;0),$AD$240+$AD$252+$AD$272,HLOOKUP(INDIRECT(ADDRESS(2,COLUMN())),OFFSET($AT$2,0,0,ROW()-1,40),ROW()-1,FALSE))</f>
        <v>682</v>
      </c>
      <c r="AE216">
        <f ca="1">IF(AND($B$294=1,LEN($AE$240) * LEN($AE$252) * LEN($AE$272)&gt;0),$AE$240+$AE$252+$AE$272,HLOOKUP(INDIRECT(ADDRESS(2,COLUMN())),OFFSET($AT$2,0,0,ROW()-1,40),ROW()-1,FALSE))</f>
        <v>734</v>
      </c>
      <c r="AF216">
        <f ca="1">IF(AND($B$294=1,LEN($AF$240) * LEN($AF$252) * LEN($AF$272)&gt;0),$AF$240+$AF$252+$AF$272,HLOOKUP(INDIRECT(ADDRESS(2,COLUMN())),OFFSET($AT$2,0,0,ROW()-1,40),ROW()-1,FALSE))</f>
        <v>880</v>
      </c>
      <c r="AG216">
        <f ca="1">IF(AND($B$294=1,LEN($AG$240) * LEN($AG$252) * LEN($AG$272)&gt;0),$AG$240+$AG$252+$AG$272,HLOOKUP(INDIRECT(ADDRESS(2,COLUMN())),OFFSET($AT$2,0,0,ROW()-1,40),ROW()-1,FALSE))</f>
        <v>825</v>
      </c>
      <c r="AH216">
        <f ca="1">IF(AND($B$294=1,LEN($AH$240) * LEN($AH$252) * LEN($AH$272)&gt;0),$AH$240+$AH$252+$AH$272,HLOOKUP(INDIRECT(ADDRESS(2,COLUMN())),OFFSET($AT$2,0,0,ROW()-1,40),ROW()-1,FALSE))</f>
        <v>527</v>
      </c>
      <c r="AI216">
        <f ca="1">IF(AND($B$294=1,LEN($AI$240) * LEN($AI$252) * LEN($AI$272)&gt;0),$AI$240+$AI$252+$AI$272,HLOOKUP(INDIRECT(ADDRESS(2,COLUMN())),OFFSET($AT$2,0,0,ROW()-1,40),ROW()-1,FALSE))</f>
        <v>624</v>
      </c>
      <c r="AJ216">
        <f ca="1">IF(AND($B$294=1,LEN($AJ$240) * LEN($AJ$252) * LEN($AJ$272)&gt;0),$AJ$240+$AJ$252+$AJ$272,HLOOKUP(INDIRECT(ADDRESS(2,COLUMN())),OFFSET($AT$2,0,0,ROW()-1,40),ROW()-1,FALSE))</f>
        <v>516</v>
      </c>
      <c r="AK216">
        <f ca="1">IF(AND($B$294=1,LEN($AK$240) * LEN($AK$252) * LEN($AK$272)&gt;0),$AK$240+$AK$252+$AK$272,HLOOKUP(INDIRECT(ADDRESS(2,COLUMN())),OFFSET($AT$2,0,0,ROW()-1,40),ROW()-1,FALSE))</f>
        <v>479</v>
      </c>
      <c r="AL216">
        <f ca="1">IF(AND($B$294=1,LEN($AL$240) * LEN($AL$252) * LEN($AL$272)&gt;0),$AL$240+$AL$252+$AL$272,HLOOKUP(INDIRECT(ADDRESS(2,COLUMN())),OFFSET($AT$2,0,0,ROW()-1,40),ROW()-1,FALSE))</f>
        <v>394</v>
      </c>
      <c r="AM216">
        <f ca="1">IF(AND($B$294=1,LEN($AM$240) * LEN($AM$252) * LEN($AM$272)&gt;0),$AM$240+$AM$252+$AM$272,HLOOKUP(INDIRECT(ADDRESS(2,COLUMN())),OFFSET($AT$2,0,0,ROW()-1,40),ROW()-1,FALSE))</f>
        <v>504</v>
      </c>
      <c r="AN216">
        <f ca="1">IF(AND($B$294=1,LEN($AN$240) * LEN($AN$252) * LEN($AN$272)&gt;0),$AN$240+$AN$252+$AN$272,HLOOKUP(INDIRECT(ADDRESS(2,COLUMN())),OFFSET($AT$2,0,0,ROW()-1,40),ROW()-1,FALSE))</f>
        <v>812</v>
      </c>
      <c r="AO216">
        <f ca="1">IF(AND($B$294=1,LEN($AO$240) * LEN($AO$252) * LEN($AO$272)&gt;0),$AO$240+$AO$252+$AO$272,HLOOKUP(INDIRECT(ADDRESS(2,COLUMN())),OFFSET($AT$2,0,0,ROW()-1,40),ROW()-1,FALSE))</f>
        <v>560</v>
      </c>
      <c r="AP216">
        <f ca="1">IF(AND($B$294=1,LEN($AP$240) * LEN($AP$252) * LEN($AP$272)&gt;0),$AP$240+$AP$252+$AP$272,HLOOKUP(INDIRECT(ADDRESS(2,COLUMN())),OFFSET($AT$2,0,0,ROW()-1,40),ROW()-1,FALSE))</f>
        <v>564</v>
      </c>
      <c r="AQ216">
        <f ca="1">IF(AND($B$294=1,LEN($AQ$240) * LEN($AQ$252) * LEN($AQ$272)&gt;0),$AQ$240+$AQ$252+$AQ$272,HLOOKUP(INDIRECT(ADDRESS(2,COLUMN())),OFFSET($AT$2,0,0,ROW()-1,40),ROW()-1,FALSE))</f>
        <v>579</v>
      </c>
      <c r="AR216">
        <f ca="1">IF(AND($B$294=1,LEN($AR$240) * LEN($AR$252) * LEN($AR$272)&gt;0),$AR$240+$AR$252+$AR$272,HLOOKUP(INDIRECT(ADDRESS(2,COLUMN())),OFFSET($AT$2,0,0,ROW()-1,40),ROW()-1,FALSE))</f>
        <v>514</v>
      </c>
      <c r="AS216">
        <f ca="1">IF(AND($B$294=1,LEN($AS$240) * LEN($AS$252) * LEN($AS$272)&gt;0),$AS$240+$AS$252+$AS$272,HLOOKUP(INDIRECT(ADDRESS(2,COLUMN())),OFFSET($AT$2,0,0,ROW()-1,40),ROW()-1,FALSE))</f>
        <v>723</v>
      </c>
      <c r="AT216">
        <f>664</f>
        <v>664</v>
      </c>
      <c r="AU216">
        <f>674</f>
        <v>674</v>
      </c>
      <c r="AV216">
        <f>669</f>
        <v>669</v>
      </c>
      <c r="AW216">
        <f>709</f>
        <v>709</v>
      </c>
      <c r="AX216">
        <f>685</f>
        <v>685</v>
      </c>
      <c r="AY216">
        <f>678</f>
        <v>678</v>
      </c>
      <c r="AZ216">
        <f>647</f>
        <v>647</v>
      </c>
      <c r="BA216">
        <f>617</f>
        <v>617</v>
      </c>
      <c r="BB216">
        <f>391</f>
        <v>391</v>
      </c>
      <c r="BC216">
        <f>448</f>
        <v>448</v>
      </c>
      <c r="BD216">
        <f>852</f>
        <v>852</v>
      </c>
      <c r="BE216">
        <f>609</f>
        <v>609</v>
      </c>
      <c r="BF216">
        <f>719</f>
        <v>719</v>
      </c>
      <c r="BG216">
        <f>606</f>
        <v>606</v>
      </c>
      <c r="BH216">
        <f>684</f>
        <v>684</v>
      </c>
      <c r="BI216">
        <f>546</f>
        <v>546</v>
      </c>
      <c r="BJ216">
        <f>699</f>
        <v>699</v>
      </c>
      <c r="BK216">
        <f>658</f>
        <v>658</v>
      </c>
      <c r="BL216">
        <f>630</f>
        <v>630</v>
      </c>
      <c r="BM216">
        <f>648</f>
        <v>648</v>
      </c>
      <c r="BN216">
        <f>457</f>
        <v>457</v>
      </c>
      <c r="BO216">
        <f>425</f>
        <v>425</v>
      </c>
      <c r="BP216">
        <f>854</f>
        <v>854</v>
      </c>
      <c r="BQ216">
        <f>692</f>
        <v>692</v>
      </c>
      <c r="BR216">
        <f>682</f>
        <v>682</v>
      </c>
      <c r="BS216">
        <f>734</f>
        <v>734</v>
      </c>
      <c r="BT216">
        <f>880</f>
        <v>880</v>
      </c>
      <c r="BU216">
        <f>825</f>
        <v>825</v>
      </c>
      <c r="BV216">
        <f>527</f>
        <v>527</v>
      </c>
      <c r="BW216">
        <f>624</f>
        <v>624</v>
      </c>
      <c r="BX216">
        <f>516</f>
        <v>516</v>
      </c>
      <c r="BY216">
        <f>479</f>
        <v>479</v>
      </c>
      <c r="BZ216">
        <f>394</f>
        <v>394</v>
      </c>
      <c r="CA216">
        <f>504</f>
        <v>504</v>
      </c>
      <c r="CB216">
        <f>812</f>
        <v>812</v>
      </c>
      <c r="CC216">
        <f>560</f>
        <v>560</v>
      </c>
      <c r="CD216">
        <f>564</f>
        <v>564</v>
      </c>
      <c r="CE216">
        <f>579</f>
        <v>579</v>
      </c>
      <c r="CF216">
        <f>514</f>
        <v>514</v>
      </c>
      <c r="CG216">
        <f>723</f>
        <v>723</v>
      </c>
    </row>
    <row r="217" spans="1:85" x14ac:dyDescent="0.25">
      <c r="A217" t="str">
        <f>"    PACCAR - Peterbilt"</f>
        <v xml:space="preserve">    PACCAR - Peterbilt</v>
      </c>
      <c r="B217" t="str">
        <f>""</f>
        <v/>
      </c>
      <c r="E217" t="str">
        <f t="shared" si="16"/>
        <v>Expression</v>
      </c>
      <c r="F217">
        <f ca="1">IF(AND($B$294=1,LEN($F$241) * LEN($F$253)&gt;0),$F$241+$F$253,HLOOKUP(INDIRECT(ADDRESS(2,COLUMN())),OFFSET($AT$2,0,0,ROW()-1,40),ROW()-1,FALSE))</f>
        <v>705</v>
      </c>
      <c r="G217">
        <f ca="1">IF(AND($B$294=1,LEN($G$241) * LEN($G$253)&gt;0),$G$241+$G$253,HLOOKUP(INDIRECT(ADDRESS(2,COLUMN())),OFFSET($AT$2,0,0,ROW()-1,40),ROW()-1,FALSE))</f>
        <v>560</v>
      </c>
      <c r="H217">
        <f ca="1">IF(AND($B$294=1,LEN($H$241) * LEN($H$253)&gt;0),$H$241+$H$253,HLOOKUP(INDIRECT(ADDRESS(2,COLUMN())),OFFSET($AT$2,0,0,ROW()-1,40),ROW()-1,FALSE))</f>
        <v>553</v>
      </c>
      <c r="I217">
        <f ca="1">IF(AND($B$294=1,LEN($I$241) * LEN($I$253)&gt;0),$I$241+$I$253,HLOOKUP(INDIRECT(ADDRESS(2,COLUMN())),OFFSET($AT$2,0,0,ROW()-1,40),ROW()-1,FALSE))</f>
        <v>553</v>
      </c>
      <c r="J217">
        <f ca="1">IF(AND($B$294=1,LEN($J$241) * LEN($J$253)&gt;0),$J$241+$J$253,HLOOKUP(INDIRECT(ADDRESS(2,COLUMN())),OFFSET($AT$2,0,0,ROW()-1,40),ROW()-1,FALSE))</f>
        <v>515</v>
      </c>
      <c r="K217">
        <f ca="1">IF(AND($B$294=1,LEN($K$241) * LEN($K$253)&gt;0),$K$241+$K$253,HLOOKUP(INDIRECT(ADDRESS(2,COLUMN())),OFFSET($AT$2,0,0,ROW()-1,40),ROW()-1,FALSE))</f>
        <v>601</v>
      </c>
      <c r="L217">
        <f ca="1">IF(AND($B$294=1,LEN($L$241) * LEN($L$253)&gt;0),$L$241+$L$253,HLOOKUP(INDIRECT(ADDRESS(2,COLUMN())),OFFSET($AT$2,0,0,ROW()-1,40),ROW()-1,FALSE))</f>
        <v>467</v>
      </c>
      <c r="M217">
        <f ca="1">IF(AND($B$294=1,LEN($M$241) * LEN($M$253)&gt;0),$M$241+$M$253,HLOOKUP(INDIRECT(ADDRESS(2,COLUMN())),OFFSET($AT$2,0,0,ROW()-1,40),ROW()-1,FALSE))</f>
        <v>606</v>
      </c>
      <c r="N217">
        <f ca="1">IF(AND($B$294=1,LEN($N$241) * LEN($N$253)&gt;0),$N$241+$N$253,HLOOKUP(INDIRECT(ADDRESS(2,COLUMN())),OFFSET($AT$2,0,0,ROW()-1,40),ROW()-1,FALSE))</f>
        <v>449</v>
      </c>
      <c r="O217">
        <f ca="1">IF(AND($B$294=1,LEN($O$241) * LEN($O$253)&gt;0),$O$241+$O$253,HLOOKUP(INDIRECT(ADDRESS(2,COLUMN())),OFFSET($AT$2,0,0,ROW()-1,40),ROW()-1,FALSE))</f>
        <v>380</v>
      </c>
      <c r="P217">
        <f ca="1">IF(AND($B$294=1,LEN($P$241) * LEN($P$253)&gt;0),$P$241+$P$253,HLOOKUP(INDIRECT(ADDRESS(2,COLUMN())),OFFSET($AT$2,0,0,ROW()-1,40),ROW()-1,FALSE))</f>
        <v>756</v>
      </c>
      <c r="Q217">
        <f ca="1">IF(AND($B$294=1,LEN($Q$241) * LEN($Q$253)&gt;0),$Q$241+$Q$253,HLOOKUP(INDIRECT(ADDRESS(2,COLUMN())),OFFSET($AT$2,0,0,ROW()-1,40),ROW()-1,FALSE))</f>
        <v>484</v>
      </c>
      <c r="R217">
        <f ca="1">IF(AND($B$294=1,LEN($R$241) * LEN($R$253)&gt;0),$R$241+$R$253,HLOOKUP(INDIRECT(ADDRESS(2,COLUMN())),OFFSET($AT$2,0,0,ROW()-1,40),ROW()-1,FALSE))</f>
        <v>566</v>
      </c>
      <c r="S217">
        <f ca="1">IF(AND($B$294=1,LEN($S$241) * LEN($S$253)&gt;0),$S$241+$S$253,HLOOKUP(INDIRECT(ADDRESS(2,COLUMN())),OFFSET($AT$2,0,0,ROW()-1,40),ROW()-1,FALSE))</f>
        <v>558</v>
      </c>
      <c r="T217">
        <f ca="1">IF(AND($B$294=1,LEN($T$241) * LEN($T$253)&gt;0),$T$241+$T$253,HLOOKUP(INDIRECT(ADDRESS(2,COLUMN())),OFFSET($AT$2,0,0,ROW()-1,40),ROW()-1,FALSE))</f>
        <v>514</v>
      </c>
      <c r="U217">
        <f ca="1">IF(AND($B$294=1,LEN($U$241) * LEN($U$253)&gt;0),$U$241+$U$253,HLOOKUP(INDIRECT(ADDRESS(2,COLUMN())),OFFSET($AT$2,0,0,ROW()-1,40),ROW()-1,FALSE))</f>
        <v>526</v>
      </c>
      <c r="V217">
        <f ca="1">IF(AND($B$294=1,LEN($V$241) * LEN($V$253)&gt;0),$V$241+$V$253,HLOOKUP(INDIRECT(ADDRESS(2,COLUMN())),OFFSET($AT$2,0,0,ROW()-1,40),ROW()-1,FALSE))</f>
        <v>593</v>
      </c>
      <c r="W217">
        <f ca="1">IF(AND($B$294=1,LEN($W$241) * LEN($W$253)&gt;0),$W$241+$W$253,HLOOKUP(INDIRECT(ADDRESS(2,COLUMN())),OFFSET($AT$2,0,0,ROW()-1,40),ROW()-1,FALSE))</f>
        <v>485</v>
      </c>
      <c r="X217">
        <f ca="1">IF(AND($B$294=1,LEN($X$241) * LEN($X$253)&gt;0),$X$241+$X$253,HLOOKUP(INDIRECT(ADDRESS(2,COLUMN())),OFFSET($AT$2,0,0,ROW()-1,40),ROW()-1,FALSE))</f>
        <v>545</v>
      </c>
      <c r="Y217">
        <f ca="1">IF(AND($B$294=1,LEN($Y$241) * LEN($Y$253)&gt;0),$Y$241+$Y$253,HLOOKUP(INDIRECT(ADDRESS(2,COLUMN())),OFFSET($AT$2,0,0,ROW()-1,40),ROW()-1,FALSE))</f>
        <v>576</v>
      </c>
      <c r="Z217">
        <f ca="1">IF(AND($B$294=1,LEN($Z$241) * LEN($Z$253)&gt;0),$Z$241+$Z$253,HLOOKUP(INDIRECT(ADDRESS(2,COLUMN())),OFFSET($AT$2,0,0,ROW()-1,40),ROW()-1,FALSE))</f>
        <v>511</v>
      </c>
      <c r="AA217">
        <f ca="1">IF(AND($B$294=1,LEN($AA$241) * LEN($AA$253)&gt;0),$AA$241+$AA$253,HLOOKUP(INDIRECT(ADDRESS(2,COLUMN())),OFFSET($AT$2,0,0,ROW()-1,40),ROW()-1,FALSE))</f>
        <v>478</v>
      </c>
      <c r="AB217">
        <f ca="1">IF(AND($B$294=1,LEN($AB$241) * LEN($AB$253)&gt;0),$AB$241+$AB$253,HLOOKUP(INDIRECT(ADDRESS(2,COLUMN())),OFFSET($AT$2,0,0,ROW()-1,40),ROW()-1,FALSE))</f>
        <v>714</v>
      </c>
      <c r="AC217">
        <f ca="1">IF(AND($B$294=1,LEN($AC$241) * LEN($AC$253)&gt;0),$AC$241+$AC$253,HLOOKUP(INDIRECT(ADDRESS(2,COLUMN())),OFFSET($AT$2,0,0,ROW()-1,40),ROW()-1,FALSE))</f>
        <v>517</v>
      </c>
      <c r="AD217">
        <f ca="1">IF(AND($B$294=1,LEN($AD$241) * LEN($AD$253)&gt;0),$AD$241+$AD$253,HLOOKUP(INDIRECT(ADDRESS(2,COLUMN())),OFFSET($AT$2,0,0,ROW()-1,40),ROW()-1,FALSE))</f>
        <v>542</v>
      </c>
      <c r="AE217">
        <f ca="1">IF(AND($B$294=1,LEN($AE$241) * LEN($AE$253)&gt;0),$AE$241+$AE$253,HLOOKUP(INDIRECT(ADDRESS(2,COLUMN())),OFFSET($AT$2,0,0,ROW()-1,40),ROW()-1,FALSE))</f>
        <v>716</v>
      </c>
      <c r="AF217">
        <f ca="1">IF(AND($B$294=1,LEN($AF$241) * LEN($AF$253)&gt;0),$AF$241+$AF$253,HLOOKUP(INDIRECT(ADDRESS(2,COLUMN())),OFFSET($AT$2,0,0,ROW()-1,40),ROW()-1,FALSE))</f>
        <v>600</v>
      </c>
      <c r="AG217">
        <f ca="1">IF(AND($B$294=1,LEN($AG$241) * LEN($AG$253)&gt;0),$AG$241+$AG$253,HLOOKUP(INDIRECT(ADDRESS(2,COLUMN())),OFFSET($AT$2,0,0,ROW()-1,40),ROW()-1,FALSE))</f>
        <v>624</v>
      </c>
      <c r="AH217">
        <f ca="1">IF(AND($B$294=1,LEN($AH$241) * LEN($AH$253)&gt;0),$AH$241+$AH$253,HLOOKUP(INDIRECT(ADDRESS(2,COLUMN())),OFFSET($AT$2,0,0,ROW()-1,40),ROW()-1,FALSE))</f>
        <v>608</v>
      </c>
      <c r="AI217">
        <f ca="1">IF(AND($B$294=1,LEN($AI$241) * LEN($AI$253)&gt;0),$AI$241+$AI$253,HLOOKUP(INDIRECT(ADDRESS(2,COLUMN())),OFFSET($AT$2,0,0,ROW()-1,40),ROW()-1,FALSE))</f>
        <v>524</v>
      </c>
      <c r="AJ217">
        <f ca="1">IF(AND($B$294=1,LEN($AJ$241) * LEN($AJ$253)&gt;0),$AJ$241+$AJ$253,HLOOKUP(INDIRECT(ADDRESS(2,COLUMN())),OFFSET($AT$2,0,0,ROW()-1,40),ROW()-1,FALSE))</f>
        <v>590</v>
      </c>
      <c r="AK217">
        <f ca="1">IF(AND($B$294=1,LEN($AK$241) * LEN($AK$253)&gt;0),$AK$241+$AK$253,HLOOKUP(INDIRECT(ADDRESS(2,COLUMN())),OFFSET($AT$2,0,0,ROW()-1,40),ROW()-1,FALSE))</f>
        <v>528</v>
      </c>
      <c r="AL217">
        <f ca="1">IF(AND($B$294=1,LEN($AL$241) * LEN($AL$253)&gt;0),$AL$241+$AL$253,HLOOKUP(INDIRECT(ADDRESS(2,COLUMN())),OFFSET($AT$2,0,0,ROW()-1,40),ROW()-1,FALSE))</f>
        <v>374</v>
      </c>
      <c r="AM217">
        <f ca="1">IF(AND($B$294=1,LEN($AM$241) * LEN($AM$253)&gt;0),$AM$241+$AM$253,HLOOKUP(INDIRECT(ADDRESS(2,COLUMN())),OFFSET($AT$2,0,0,ROW()-1,40),ROW()-1,FALSE))</f>
        <v>415</v>
      </c>
      <c r="AN217">
        <f ca="1">IF(AND($B$294=1,LEN($AN$241) * LEN($AN$253)&gt;0),$AN$241+$AN$253,HLOOKUP(INDIRECT(ADDRESS(2,COLUMN())),OFFSET($AT$2,0,0,ROW()-1,40),ROW()-1,FALSE))</f>
        <v>601</v>
      </c>
      <c r="AO217">
        <f ca="1">IF(AND($B$294=1,LEN($AO$241) * LEN($AO$253)&gt;0),$AO$241+$AO$253,HLOOKUP(INDIRECT(ADDRESS(2,COLUMN())),OFFSET($AT$2,0,0,ROW()-1,40),ROW()-1,FALSE))</f>
        <v>531</v>
      </c>
      <c r="AP217">
        <f ca="1">IF(AND($B$294=1,LEN($AP$241) * LEN($AP$253)&gt;0),$AP$241+$AP$253,HLOOKUP(INDIRECT(ADDRESS(2,COLUMN())),OFFSET($AT$2,0,0,ROW()-1,40),ROW()-1,FALSE))</f>
        <v>503</v>
      </c>
      <c r="AQ217">
        <f ca="1">IF(AND($B$294=1,LEN($AQ$241) * LEN($AQ$253)&gt;0),$AQ$241+$AQ$253,HLOOKUP(INDIRECT(ADDRESS(2,COLUMN())),OFFSET($AT$2,0,0,ROW()-1,40),ROW()-1,FALSE))</f>
        <v>462</v>
      </c>
      <c r="AR217">
        <f ca="1">IF(AND($B$294=1,LEN($AR$241) * LEN($AR$253)&gt;0),$AR$241+$AR$253,HLOOKUP(INDIRECT(ADDRESS(2,COLUMN())),OFFSET($AT$2,0,0,ROW()-1,40),ROW()-1,FALSE))</f>
        <v>448</v>
      </c>
      <c r="AS217">
        <f ca="1">IF(AND($B$294=1,LEN($AS$241) * LEN($AS$253)&gt;0),$AS$241+$AS$253,HLOOKUP(INDIRECT(ADDRESS(2,COLUMN())),OFFSET($AT$2,0,0,ROW()-1,40),ROW()-1,FALSE))</f>
        <v>487</v>
      </c>
      <c r="AT217">
        <f>705</f>
        <v>705</v>
      </c>
      <c r="AU217">
        <f>560</f>
        <v>560</v>
      </c>
      <c r="AV217">
        <f>553</f>
        <v>553</v>
      </c>
      <c r="AW217">
        <f>553</f>
        <v>553</v>
      </c>
      <c r="AX217">
        <f>515</f>
        <v>515</v>
      </c>
      <c r="AY217">
        <f>601</f>
        <v>601</v>
      </c>
      <c r="AZ217">
        <f>467</f>
        <v>467</v>
      </c>
      <c r="BA217">
        <f>606</f>
        <v>606</v>
      </c>
      <c r="BB217">
        <f>449</f>
        <v>449</v>
      </c>
      <c r="BC217">
        <f>380</f>
        <v>380</v>
      </c>
      <c r="BD217">
        <f>756</f>
        <v>756</v>
      </c>
      <c r="BE217">
        <f>484</f>
        <v>484</v>
      </c>
      <c r="BF217">
        <f>566</f>
        <v>566</v>
      </c>
      <c r="BG217">
        <f>558</f>
        <v>558</v>
      </c>
      <c r="BH217">
        <f>514</f>
        <v>514</v>
      </c>
      <c r="BI217">
        <f>526</f>
        <v>526</v>
      </c>
      <c r="BJ217">
        <f>593</f>
        <v>593</v>
      </c>
      <c r="BK217">
        <f>485</f>
        <v>485</v>
      </c>
      <c r="BL217">
        <f>545</f>
        <v>545</v>
      </c>
      <c r="BM217">
        <f>576</f>
        <v>576</v>
      </c>
      <c r="BN217">
        <f>511</f>
        <v>511</v>
      </c>
      <c r="BO217">
        <f>478</f>
        <v>478</v>
      </c>
      <c r="BP217">
        <f>714</f>
        <v>714</v>
      </c>
      <c r="BQ217">
        <f>517</f>
        <v>517</v>
      </c>
      <c r="BR217">
        <f>542</f>
        <v>542</v>
      </c>
      <c r="BS217">
        <f>716</f>
        <v>716</v>
      </c>
      <c r="BT217">
        <f>600</f>
        <v>600</v>
      </c>
      <c r="BU217">
        <f>624</f>
        <v>624</v>
      </c>
      <c r="BV217">
        <f>608</f>
        <v>608</v>
      </c>
      <c r="BW217">
        <f>524</f>
        <v>524</v>
      </c>
      <c r="BX217">
        <f>590</f>
        <v>590</v>
      </c>
      <c r="BY217">
        <f>528</f>
        <v>528</v>
      </c>
      <c r="BZ217">
        <f>374</f>
        <v>374</v>
      </c>
      <c r="CA217">
        <f>415</f>
        <v>415</v>
      </c>
      <c r="CB217">
        <f>601</f>
        <v>601</v>
      </c>
      <c r="CC217">
        <f>531</f>
        <v>531</v>
      </c>
      <c r="CD217">
        <f>503</f>
        <v>503</v>
      </c>
      <c r="CE217">
        <f>462</f>
        <v>462</v>
      </c>
      <c r="CF217">
        <f>448</f>
        <v>448</v>
      </c>
      <c r="CG217">
        <f>487</f>
        <v>487</v>
      </c>
    </row>
    <row r="218" spans="1:85" x14ac:dyDescent="0.25">
      <c r="A218" t="str">
        <f>"    Ford"</f>
        <v xml:space="preserve">    Ford</v>
      </c>
      <c r="B218" t="str">
        <f>""</f>
        <v/>
      </c>
      <c r="E218" t="str">
        <f t="shared" si="16"/>
        <v>Expression</v>
      </c>
      <c r="F218">
        <f ca="1">IF(AND($B$294=1,LEN($F$259) * LEN($F$242)&gt;0),$F$259+$F$242,HLOOKUP(INDIRECT(ADDRESS(2,COLUMN())),OFFSET($AT$2,0,0,ROW()-1,40),ROW()-1,FALSE))</f>
        <v>1585</v>
      </c>
      <c r="G218">
        <f ca="1">IF(AND($B$294=1,LEN($G$259) * LEN($G$242)&gt;0),$G$259+$G$242,HLOOKUP(INDIRECT(ADDRESS(2,COLUMN())),OFFSET($AT$2,0,0,ROW()-1,40),ROW()-1,FALSE))</f>
        <v>1402</v>
      </c>
      <c r="H218">
        <f ca="1">IF(AND($B$294=1,LEN($H$259) * LEN($H$242)&gt;0),$H$259+$H$242,HLOOKUP(INDIRECT(ADDRESS(2,COLUMN())),OFFSET($AT$2,0,0,ROW()-1,40),ROW()-1,FALSE))</f>
        <v>1821</v>
      </c>
      <c r="I218">
        <f ca="1">IF(AND($B$294=1,LEN($I$259) * LEN($I$242)&gt;0),$I$259+$I$242,HLOOKUP(INDIRECT(ADDRESS(2,COLUMN())),OFFSET($AT$2,0,0,ROW()-1,40),ROW()-1,FALSE))</f>
        <v>1489</v>
      </c>
      <c r="J218">
        <f ca="1">IF(AND($B$294=1,LEN($J$259) * LEN($J$242)&gt;0),$J$259+$J$242,HLOOKUP(INDIRECT(ADDRESS(2,COLUMN())),OFFSET($AT$2,0,0,ROW()-1,40),ROW()-1,FALSE))</f>
        <v>1907</v>
      </c>
      <c r="K218">
        <f ca="1">IF(AND($B$294=1,LEN($K$259) * LEN($K$242)&gt;0),$K$259+$K$242,HLOOKUP(INDIRECT(ADDRESS(2,COLUMN())),OFFSET($AT$2,0,0,ROW()-1,40),ROW()-1,FALSE))</f>
        <v>1279</v>
      </c>
      <c r="L218">
        <f ca="1">IF(AND($B$294=1,LEN($L$259) * LEN($L$242)&gt;0),$L$259+$L$242,HLOOKUP(INDIRECT(ADDRESS(2,COLUMN())),OFFSET($AT$2,0,0,ROW()-1,40),ROW()-1,FALSE))</f>
        <v>2091</v>
      </c>
      <c r="M218">
        <f ca="1">IF(AND($B$294=1,LEN($M$259) * LEN($M$242)&gt;0),$M$259+$M$242,HLOOKUP(INDIRECT(ADDRESS(2,COLUMN())),OFFSET($AT$2,0,0,ROW()-1,40),ROW()-1,FALSE))</f>
        <v>2403</v>
      </c>
      <c r="N218">
        <f ca="1">IF(AND($B$294=1,LEN($N$259) * LEN($N$242)&gt;0),$N$259+$N$242,HLOOKUP(INDIRECT(ADDRESS(2,COLUMN())),OFFSET($AT$2,0,0,ROW()-1,40),ROW()-1,FALSE))</f>
        <v>1830</v>
      </c>
      <c r="O218">
        <f ca="1">IF(AND($B$294=1,LEN($O$259) * LEN($O$242)&gt;0),$O$259+$O$242,HLOOKUP(INDIRECT(ADDRESS(2,COLUMN())),OFFSET($AT$2,0,0,ROW()-1,40),ROW()-1,FALSE))</f>
        <v>2222</v>
      </c>
      <c r="P218">
        <f ca="1">IF(AND($B$294=1,LEN($P$259) * LEN($P$242)&gt;0),$P$259+$P$242,HLOOKUP(INDIRECT(ADDRESS(2,COLUMN())),OFFSET($AT$2,0,0,ROW()-1,40),ROW()-1,FALSE))</f>
        <v>3059</v>
      </c>
      <c r="Q218">
        <f ca="1">IF(AND($B$294=1,LEN($Q$259) * LEN($Q$242)&gt;0),$Q$259+$Q$242,HLOOKUP(INDIRECT(ADDRESS(2,COLUMN())),OFFSET($AT$2,0,0,ROW()-1,40),ROW()-1,FALSE))</f>
        <v>2196</v>
      </c>
      <c r="R218">
        <f ca="1">IF(AND($B$294=1,LEN($R$259) * LEN($R$242)&gt;0),$R$259+$R$242,HLOOKUP(INDIRECT(ADDRESS(2,COLUMN())),OFFSET($AT$2,0,0,ROW()-1,40),ROW()-1,FALSE))</f>
        <v>1841</v>
      </c>
      <c r="S218">
        <f ca="1">IF(AND($B$294=1,LEN($S$259) * LEN($S$242)&gt;0),$S$259+$S$242,HLOOKUP(INDIRECT(ADDRESS(2,COLUMN())),OFFSET($AT$2,0,0,ROW()-1,40),ROW()-1,FALSE))</f>
        <v>1700</v>
      </c>
      <c r="T218">
        <f ca="1">IF(AND($B$294=1,LEN($T$259) * LEN($T$242)&gt;0),$T$259+$T$242,HLOOKUP(INDIRECT(ADDRESS(2,COLUMN())),OFFSET($AT$2,0,0,ROW()-1,40),ROW()-1,FALSE))</f>
        <v>1654</v>
      </c>
      <c r="U218">
        <f ca="1">IF(AND($B$294=1,LEN($U$259) * LEN($U$242)&gt;0),$U$259+$U$242,HLOOKUP(INDIRECT(ADDRESS(2,COLUMN())),OFFSET($AT$2,0,0,ROW()-1,40),ROW()-1,FALSE))</f>
        <v>1763</v>
      </c>
      <c r="V218">
        <f ca="1">IF(AND($B$294=1,LEN($V$259) * LEN($V$242)&gt;0),$V$259+$V$242,HLOOKUP(INDIRECT(ADDRESS(2,COLUMN())),OFFSET($AT$2,0,0,ROW()-1,40),ROW()-1,FALSE))</f>
        <v>1800</v>
      </c>
      <c r="W218">
        <f ca="1">IF(AND($B$294=1,LEN($W$259) * LEN($W$242)&gt;0),$W$259+$W$242,HLOOKUP(INDIRECT(ADDRESS(2,COLUMN())),OFFSET($AT$2,0,0,ROW()-1,40),ROW()-1,FALSE))</f>
        <v>1941</v>
      </c>
      <c r="X218">
        <f ca="1">IF(AND($B$294=1,LEN($X$259) * LEN($X$242)&gt;0),$X$259+$X$242,HLOOKUP(INDIRECT(ADDRESS(2,COLUMN())),OFFSET($AT$2,0,0,ROW()-1,40),ROW()-1,FALSE))</f>
        <v>2598</v>
      </c>
      <c r="Y218">
        <f ca="1">IF(AND($B$294=1,LEN($Y$259) * LEN($Y$242)&gt;0),$Y$259+$Y$242,HLOOKUP(INDIRECT(ADDRESS(2,COLUMN())),OFFSET($AT$2,0,0,ROW()-1,40),ROW()-1,FALSE))</f>
        <v>2806</v>
      </c>
      <c r="Z218">
        <f ca="1">IF(AND($B$294=1,LEN($Z$259) * LEN($Z$242)&gt;0),$Z$259+$Z$242,HLOOKUP(INDIRECT(ADDRESS(2,COLUMN())),OFFSET($AT$2,0,0,ROW()-1,40),ROW()-1,FALSE))</f>
        <v>1795</v>
      </c>
      <c r="AA218">
        <f ca="1">IF(AND($B$294=1,LEN($AA$259) * LEN($AA$242)&gt;0),$AA$259+$AA$242,HLOOKUP(INDIRECT(ADDRESS(2,COLUMN())),OFFSET($AT$2,0,0,ROW()-1,40),ROW()-1,FALSE))</f>
        <v>1811</v>
      </c>
      <c r="AB218">
        <f ca="1">IF(AND($B$294=1,LEN($AB$259) * LEN($AB$242)&gt;0),$AB$259+$AB$242,HLOOKUP(INDIRECT(ADDRESS(2,COLUMN())),OFFSET($AT$2,0,0,ROW()-1,40),ROW()-1,FALSE))</f>
        <v>2498</v>
      </c>
      <c r="AC218">
        <f ca="1">IF(AND($B$294=1,LEN($AC$259) * LEN($AC$242)&gt;0),$AC$259+$AC$242,HLOOKUP(INDIRECT(ADDRESS(2,COLUMN())),OFFSET($AT$2,0,0,ROW()-1,40),ROW()-1,FALSE))</f>
        <v>1648</v>
      </c>
      <c r="AD218">
        <f ca="1">IF(AND($B$294=1,LEN($AD$259) * LEN($AD$242)&gt;0),$AD$259+$AD$242,HLOOKUP(INDIRECT(ADDRESS(2,COLUMN())),OFFSET($AT$2,0,0,ROW()-1,40),ROW()-1,FALSE))</f>
        <v>1757</v>
      </c>
      <c r="AE218">
        <f ca="1">IF(AND($B$294=1,LEN($AE$259) * LEN($AE$242)&gt;0),$AE$259+$AE$242,HLOOKUP(INDIRECT(ADDRESS(2,COLUMN())),OFFSET($AT$2,0,0,ROW()-1,40),ROW()-1,FALSE))</f>
        <v>959</v>
      </c>
      <c r="AF218">
        <f ca="1">IF(AND($B$294=1,LEN($AF$259) * LEN($AF$242)&gt;0),$AF$259+$AF$242,HLOOKUP(INDIRECT(ADDRESS(2,COLUMN())),OFFSET($AT$2,0,0,ROW()-1,40),ROW()-1,FALSE))</f>
        <v>973</v>
      </c>
      <c r="AG218">
        <f ca="1">IF(AND($B$294=1,LEN($AG$259) * LEN($AG$242)&gt;0),$AG$259+$AG$242,HLOOKUP(INDIRECT(ADDRESS(2,COLUMN())),OFFSET($AT$2,0,0,ROW()-1,40),ROW()-1,FALSE))</f>
        <v>1305</v>
      </c>
      <c r="AH218">
        <f ca="1">IF(AND($B$294=1,LEN($AH$259) * LEN($AH$242)&gt;0),$AH$259+$AH$242,HLOOKUP(INDIRECT(ADDRESS(2,COLUMN())),OFFSET($AT$2,0,0,ROW()-1,40),ROW()-1,FALSE))</f>
        <v>1471</v>
      </c>
      <c r="AI218">
        <f ca="1">IF(AND($B$294=1,LEN($AI$259) * LEN($AI$242)&gt;0),$AI$259+$AI$242,HLOOKUP(INDIRECT(ADDRESS(2,COLUMN())),OFFSET($AT$2,0,0,ROW()-1,40),ROW()-1,FALSE))</f>
        <v>1262</v>
      </c>
      <c r="AJ218">
        <f ca="1">IF(AND($B$294=1,LEN($AJ$259) * LEN($AJ$242)&gt;0),$AJ$259+$AJ$242,HLOOKUP(INDIRECT(ADDRESS(2,COLUMN())),OFFSET($AT$2,0,0,ROW()-1,40),ROW()-1,FALSE))</f>
        <v>1392</v>
      </c>
      <c r="AK218">
        <f ca="1">IF(AND($B$294=1,LEN($AK$259) * LEN($AK$242)&gt;0),$AK$259+$AK$242,HLOOKUP(INDIRECT(ADDRESS(2,COLUMN())),OFFSET($AT$2,0,0,ROW()-1,40),ROW()-1,FALSE))</f>
        <v>1656</v>
      </c>
      <c r="AL218">
        <f ca="1">IF(AND($B$294=1,LEN($AL$259) * LEN($AL$242)&gt;0),$AL$259+$AL$242,HLOOKUP(INDIRECT(ADDRESS(2,COLUMN())),OFFSET($AT$2,0,0,ROW()-1,40),ROW()-1,FALSE))</f>
        <v>1357</v>
      </c>
      <c r="AM218">
        <f ca="1">IF(AND($B$294=1,LEN($AM$259) * LEN($AM$242)&gt;0),$AM$259+$AM$242,HLOOKUP(INDIRECT(ADDRESS(2,COLUMN())),OFFSET($AT$2,0,0,ROW()-1,40),ROW()-1,FALSE))</f>
        <v>1477</v>
      </c>
      <c r="AN218">
        <f ca="1">IF(AND($B$294=1,LEN($AN$259) * LEN($AN$242)&gt;0),$AN$259+$AN$242,HLOOKUP(INDIRECT(ADDRESS(2,COLUMN())),OFFSET($AT$2,0,0,ROW()-1,40),ROW()-1,FALSE))</f>
        <v>2119</v>
      </c>
      <c r="AO218">
        <f ca="1">IF(AND($B$294=1,LEN($AO$259) * LEN($AO$242)&gt;0),$AO$259+$AO$242,HLOOKUP(INDIRECT(ADDRESS(2,COLUMN())),OFFSET($AT$2,0,0,ROW()-1,40),ROW()-1,FALSE))</f>
        <v>1317</v>
      </c>
      <c r="AP218">
        <f ca="1">IF(AND($B$294=1,LEN($AP$259) * LEN($AP$242)&gt;0),$AP$259+$AP$242,HLOOKUP(INDIRECT(ADDRESS(2,COLUMN())),OFFSET($AT$2,0,0,ROW()-1,40),ROW()-1,FALSE))</f>
        <v>1636</v>
      </c>
      <c r="AQ218">
        <f ca="1">IF(AND($B$294=1,LEN($AQ$259) * LEN($AQ$242)&gt;0),$AQ$259+$AQ$242,HLOOKUP(INDIRECT(ADDRESS(2,COLUMN())),OFFSET($AT$2,0,0,ROW()-1,40),ROW()-1,FALSE))</f>
        <v>1467</v>
      </c>
      <c r="AR218">
        <f ca="1">IF(AND($B$294=1,LEN($AR$259) * LEN($AR$242)&gt;0),$AR$259+$AR$242,HLOOKUP(INDIRECT(ADDRESS(2,COLUMN())),OFFSET($AT$2,0,0,ROW()-1,40),ROW()-1,FALSE))</f>
        <v>1312</v>
      </c>
      <c r="AS218">
        <f ca="1">IF(AND($B$294=1,LEN($AS$259) * LEN($AS$242)&gt;0),$AS$259+$AS$242,HLOOKUP(INDIRECT(ADDRESS(2,COLUMN())),OFFSET($AT$2,0,0,ROW()-1,40),ROW()-1,FALSE))</f>
        <v>1215</v>
      </c>
      <c r="AT218">
        <f>1585</f>
        <v>1585</v>
      </c>
      <c r="AU218">
        <f>1402</f>
        <v>1402</v>
      </c>
      <c r="AV218">
        <f>1821</f>
        <v>1821</v>
      </c>
      <c r="AW218">
        <f>1489</f>
        <v>1489</v>
      </c>
      <c r="AX218">
        <f>1907</f>
        <v>1907</v>
      </c>
      <c r="AY218">
        <f>1279</f>
        <v>1279</v>
      </c>
      <c r="AZ218">
        <f>2091</f>
        <v>2091</v>
      </c>
      <c r="BA218">
        <f>2403</f>
        <v>2403</v>
      </c>
      <c r="BB218">
        <f>1830</f>
        <v>1830</v>
      </c>
      <c r="BC218">
        <f>2222</f>
        <v>2222</v>
      </c>
      <c r="BD218">
        <f>3059</f>
        <v>3059</v>
      </c>
      <c r="BE218">
        <f>2196</f>
        <v>2196</v>
      </c>
      <c r="BF218">
        <f>1841</f>
        <v>1841</v>
      </c>
      <c r="BG218">
        <f>1700</f>
        <v>1700</v>
      </c>
      <c r="BH218">
        <f>1654</f>
        <v>1654</v>
      </c>
      <c r="BI218">
        <f>1763</f>
        <v>1763</v>
      </c>
      <c r="BJ218">
        <f>1800</f>
        <v>1800</v>
      </c>
      <c r="BK218">
        <f>1941</f>
        <v>1941</v>
      </c>
      <c r="BL218">
        <f>2598</f>
        <v>2598</v>
      </c>
      <c r="BM218">
        <f>2806</f>
        <v>2806</v>
      </c>
      <c r="BN218">
        <f>1795</f>
        <v>1795</v>
      </c>
      <c r="BO218">
        <f>1811</f>
        <v>1811</v>
      </c>
      <c r="BP218">
        <f>2498</f>
        <v>2498</v>
      </c>
      <c r="BQ218">
        <f>1648</f>
        <v>1648</v>
      </c>
      <c r="BR218">
        <f>1757</f>
        <v>1757</v>
      </c>
      <c r="BS218">
        <f>959</f>
        <v>959</v>
      </c>
      <c r="BT218">
        <f>973</f>
        <v>973</v>
      </c>
      <c r="BU218">
        <f>1305</f>
        <v>1305</v>
      </c>
      <c r="BV218">
        <f>1471</f>
        <v>1471</v>
      </c>
      <c r="BW218">
        <f>1262</f>
        <v>1262</v>
      </c>
      <c r="BX218">
        <f>1392</f>
        <v>1392</v>
      </c>
      <c r="BY218">
        <f>1656</f>
        <v>1656</v>
      </c>
      <c r="BZ218">
        <f>1357</f>
        <v>1357</v>
      </c>
      <c r="CA218">
        <f>1477</f>
        <v>1477</v>
      </c>
      <c r="CB218">
        <f>2119</f>
        <v>2119</v>
      </c>
      <c r="CC218">
        <f>1317</f>
        <v>1317</v>
      </c>
      <c r="CD218">
        <f>1636</f>
        <v>1636</v>
      </c>
      <c r="CE218">
        <f>1467</f>
        <v>1467</v>
      </c>
      <c r="CF218">
        <f>1312</f>
        <v>1312</v>
      </c>
      <c r="CG218">
        <f>1215</f>
        <v>1215</v>
      </c>
    </row>
    <row r="219" spans="1:85" x14ac:dyDescent="0.25">
      <c r="A219" t="str">
        <f>"    Hino"</f>
        <v xml:space="preserve">    Hino</v>
      </c>
      <c r="B219" t="str">
        <f>""</f>
        <v/>
      </c>
      <c r="E219" t="str">
        <f>"Sum"</f>
        <v>Sum</v>
      </c>
      <c r="F219">
        <f ca="1">IF(ISERROR(IF(SUM($F$220:$F$222) = 0, "", SUM($F$220:$F$222))), "", (IF(SUM($F$220:$F$222) = 0, "", SUM($F$220:$F$222))))</f>
        <v>833</v>
      </c>
      <c r="G219">
        <f ca="1">IF(ISERROR(IF(SUM($G$220:$G$222) = 0, "", SUM($G$220:$G$222))), "", (IF(SUM($G$220:$G$222) = 0, "", SUM($G$220:$G$222))))</f>
        <v>855</v>
      </c>
      <c r="H219">
        <f ca="1">IF(ISERROR(IF(SUM($H$220:$H$222) = 0, "", SUM($H$220:$H$222))), "", (IF(SUM($H$220:$H$222) = 0, "", SUM($H$220:$H$222))))</f>
        <v>876</v>
      </c>
      <c r="I219">
        <f ca="1">IF(ISERROR(IF(SUM($I$220:$I$222) = 0, "", SUM($I$220:$I$222))), "", (IF(SUM($I$220:$I$222) = 0, "", SUM($I$220:$I$222))))</f>
        <v>777</v>
      </c>
      <c r="J219">
        <f ca="1">IF(ISERROR(IF(SUM($J$220:$J$222) = 0, "", SUM($J$220:$J$222))), "", (IF(SUM($J$220:$J$222) = 0, "", SUM($J$220:$J$222))))</f>
        <v>980</v>
      </c>
      <c r="K219">
        <f ca="1">IF(ISERROR(IF(SUM($K$220:$K$222) = 0, "", SUM($K$220:$K$222))), "", (IF(SUM($K$220:$K$222) = 0, "", SUM($K$220:$K$222))))</f>
        <v>849</v>
      </c>
      <c r="L219">
        <f ca="1">IF(ISERROR(IF(SUM($L$220:$L$222) = 0, "", SUM($L$220:$L$222))), "", (IF(SUM($L$220:$L$222) = 0, "", SUM($L$220:$L$222))))</f>
        <v>737</v>
      </c>
      <c r="M219">
        <f ca="1">IF(ISERROR(IF(SUM($M$220:$M$222) = 0, "", SUM($M$220:$M$222))), "", (IF(SUM($M$220:$M$222) = 0, "", SUM($M$220:$M$222))))</f>
        <v>1066</v>
      </c>
      <c r="N219">
        <f ca="1">IF(ISERROR(IF(SUM($N$220:$N$222) = 0, "", SUM($N$220:$N$222))), "", (IF(SUM($N$220:$N$222) = 0, "", SUM($N$220:$N$222))))</f>
        <v>785</v>
      </c>
      <c r="O219">
        <f ca="1">IF(ISERROR(IF(SUM($O$220:$O$222) = 0, "", SUM($O$220:$O$222))), "", (IF(SUM($O$220:$O$222) = 0, "", SUM($O$220:$O$222))))</f>
        <v>703</v>
      </c>
      <c r="P219">
        <f ca="1">IF(ISERROR(IF(SUM($P$220:$P$222) = 0, "", SUM($P$220:$P$222))), "", (IF(SUM($P$220:$P$222) = 0, "", SUM($P$220:$P$222))))</f>
        <v>944</v>
      </c>
      <c r="Q219">
        <f ca="1">IF(ISERROR(IF(SUM($Q$220:$Q$222) = 0, "", SUM($Q$220:$Q$222))), "", (IF(SUM($Q$220:$Q$222) = 0, "", SUM($Q$220:$Q$222))))</f>
        <v>939</v>
      </c>
      <c r="R219">
        <f ca="1">IF(ISERROR(IF(SUM($R$220:$R$222) = 0, "", SUM($R$220:$R$222))), "", (IF(SUM($R$220:$R$222) = 0, "", SUM($R$220:$R$222))))</f>
        <v>794</v>
      </c>
      <c r="S219">
        <f ca="1">IF(ISERROR(IF(SUM($S$220:$S$222) = 0, "", SUM($S$220:$S$222))), "", (IF(SUM($S$220:$S$222) = 0, "", SUM($S$220:$S$222))))</f>
        <v>860</v>
      </c>
      <c r="T219">
        <f ca="1">IF(ISERROR(IF(SUM($T$220:$T$222) = 0, "", SUM($T$220:$T$222))), "", (IF(SUM($T$220:$T$222) = 0, "", SUM($T$220:$T$222))))</f>
        <v>795</v>
      </c>
      <c r="U219">
        <f ca="1">IF(ISERROR(IF(SUM($U$220:$U$222) = 0, "", SUM($U$220:$U$222))), "", (IF(SUM($U$220:$U$222) = 0, "", SUM($U$220:$U$222))))</f>
        <v>779</v>
      </c>
      <c r="V219">
        <f ca="1">IF(ISERROR(IF(SUM($V$220:$V$222) = 0, "", SUM($V$220:$V$222))), "", (IF(SUM($V$220:$V$222) = 0, "", SUM($V$220:$V$222))))</f>
        <v>924</v>
      </c>
      <c r="W219">
        <f ca="1">IF(ISERROR(IF(SUM($W$220:$W$222) = 0, "", SUM($W$220:$W$222))), "", (IF(SUM($W$220:$W$222) = 0, "", SUM($W$220:$W$222))))</f>
        <v>923</v>
      </c>
      <c r="X219">
        <f ca="1">IF(ISERROR(IF(SUM($X$220:$X$222) = 0, "", SUM($X$220:$X$222))), "", (IF(SUM($X$220:$X$222) = 0, "", SUM($X$220:$X$222))))</f>
        <v>701</v>
      </c>
      <c r="Y219">
        <f ca="1">IF(ISERROR(IF(SUM($Y$220:$Y$222) = 0, "", SUM($Y$220:$Y$222))), "", (IF(SUM($Y$220:$Y$222) = 0, "", SUM($Y$220:$Y$222))))</f>
        <v>1492</v>
      </c>
      <c r="Z219">
        <f ca="1">IF(ISERROR(IF(SUM($Z$220:$Z$222) = 0, "", SUM($Z$220:$Z$222))), "", (IF(SUM($Z$220:$Z$222) = 0, "", SUM($Z$220:$Z$222))))</f>
        <v>883</v>
      </c>
      <c r="AA219">
        <f ca="1">IF(ISERROR(IF(SUM($AA$220:$AA$222) = 0, "", SUM($AA$220:$AA$222))), "", (IF(SUM($AA$220:$AA$222) = 0, "", SUM($AA$220:$AA$222))))</f>
        <v>728</v>
      </c>
      <c r="AB219">
        <f ca="1">IF(ISERROR(IF(SUM($AB$220:$AB$222) = 0, "", SUM($AB$220:$AB$222))), "", (IF(SUM($AB$220:$AB$222) = 0, "", SUM($AB$220:$AB$222))))</f>
        <v>1260</v>
      </c>
      <c r="AC219">
        <f ca="1">IF(ISERROR(IF(SUM($AC$220:$AC$222) = 0, "", SUM($AC$220:$AC$222))), "", (IF(SUM($AC$220:$AC$222) = 0, "", SUM($AC$220:$AC$222))))</f>
        <v>876</v>
      </c>
      <c r="AD219">
        <f ca="1">IF(ISERROR(IF(SUM($AD$220:$AD$222) = 0, "", SUM($AD$220:$AD$222))), "", (IF(SUM($AD$220:$AD$222) = 0, "", SUM($AD$220:$AD$222))))</f>
        <v>970</v>
      </c>
      <c r="AE219">
        <f ca="1">IF(ISERROR(IF(SUM($AE$220:$AE$222) = 0, "", SUM($AE$220:$AE$222))), "", (IF(SUM($AE$220:$AE$222) = 0, "", SUM($AE$220:$AE$222))))</f>
        <v>922</v>
      </c>
      <c r="AF219">
        <f ca="1">IF(ISERROR(IF(SUM($AF$220:$AF$222) = 0, "", SUM($AF$220:$AF$222))), "", (IF(SUM($AF$220:$AF$222) = 0, "", SUM($AF$220:$AF$222))))</f>
        <v>911</v>
      </c>
      <c r="AG219">
        <f ca="1">IF(ISERROR(IF(SUM($AG$220:$AG$222) = 0, "", SUM($AG$220:$AG$222))), "", (IF(SUM($AG$220:$AG$222) = 0, "", SUM($AG$220:$AG$222))))</f>
        <v>888</v>
      </c>
      <c r="AH219">
        <f ca="1">IF(ISERROR(IF(SUM($AH$220:$AH$222) = 0, "", SUM($AH$220:$AH$222))), "", (IF(SUM($AH$220:$AH$222) = 0, "", SUM($AH$220:$AH$222))))</f>
        <v>895</v>
      </c>
      <c r="AI219">
        <f ca="1">IF(ISERROR(IF(SUM($AI$220:$AI$222) = 0, "", SUM($AI$220:$AI$222))), "", (IF(SUM($AI$220:$AI$222) = 0, "", SUM($AI$220:$AI$222))))</f>
        <v>718</v>
      </c>
      <c r="AJ219">
        <f ca="1">IF(ISERROR(IF(SUM($AJ$220:$AJ$222) = 0, "", SUM($AJ$220:$AJ$222))), "", (IF(SUM($AJ$220:$AJ$222) = 0, "", SUM($AJ$220:$AJ$222))))</f>
        <v>807</v>
      </c>
      <c r="AK219">
        <f ca="1">IF(ISERROR(IF(SUM($AK$220:$AK$222) = 0, "", SUM($AK$220:$AK$222))), "", (IF(SUM($AK$220:$AK$222) = 0, "", SUM($AK$220:$AK$222))))</f>
        <v>1400</v>
      </c>
      <c r="AL219">
        <f ca="1">IF(ISERROR(IF(SUM($AL$220:$AL$222) = 0, "", SUM($AL$220:$AL$222))), "", (IF(SUM($AL$220:$AL$222) = 0, "", SUM($AL$220:$AL$222))))</f>
        <v>780</v>
      </c>
      <c r="AM219">
        <f ca="1">IF(ISERROR(IF(SUM($AM$220:$AM$222) = 0, "", SUM($AM$220:$AM$222))), "", (IF(SUM($AM$220:$AM$222) = 0, "", SUM($AM$220:$AM$222))))</f>
        <v>590</v>
      </c>
      <c r="AN219">
        <f ca="1">IF(ISERROR(IF(SUM($AN$220:$AN$222) = 0, "", SUM($AN$220:$AN$222))), "", (IF(SUM($AN$220:$AN$222) = 0, "", SUM($AN$220:$AN$222))))</f>
        <v>1378</v>
      </c>
      <c r="AO219">
        <f ca="1">IF(ISERROR(IF(SUM($AO$220:$AO$222) = 0, "", SUM($AO$220:$AO$222))), "", (IF(SUM($AO$220:$AO$222) = 0, "", SUM($AO$220:$AO$222))))</f>
        <v>846</v>
      </c>
      <c r="AP219">
        <f ca="1">IF(ISERROR(IF(SUM($AP$220:$AP$222) = 0, "", SUM($AP$220:$AP$222))), "", (IF(SUM($AP$220:$AP$222) = 0, "", SUM($AP$220:$AP$222))))</f>
        <v>765</v>
      </c>
      <c r="AQ219">
        <f ca="1">IF(ISERROR(IF(SUM($AQ$220:$AQ$222) = 0, "", SUM($AQ$220:$AQ$222))), "", (IF(SUM($AQ$220:$AQ$222) = 0, "", SUM($AQ$220:$AQ$222))))</f>
        <v>740</v>
      </c>
      <c r="AR219">
        <f ca="1">IF(ISERROR(IF(SUM($AR$220:$AR$222) = 0, "", SUM($AR$220:$AR$222))), "", (IF(SUM($AR$220:$AR$222) = 0, "", SUM($AR$220:$AR$222))))</f>
        <v>726</v>
      </c>
      <c r="AS219">
        <f ca="1">IF(ISERROR(IF(SUM($AS$220:$AS$222) = 0, "", SUM($AS$220:$AS$222))), "", (IF(SUM($AS$220:$AS$222) = 0, "", SUM($AS$220:$AS$222))))</f>
        <v>700</v>
      </c>
      <c r="AT219">
        <f>833</f>
        <v>833</v>
      </c>
      <c r="AU219">
        <f>855</f>
        <v>855</v>
      </c>
      <c r="AV219">
        <f>876</f>
        <v>876</v>
      </c>
      <c r="AW219">
        <f>777</f>
        <v>777</v>
      </c>
      <c r="AX219">
        <f>980</f>
        <v>980</v>
      </c>
      <c r="AY219">
        <f>849</f>
        <v>849</v>
      </c>
      <c r="AZ219">
        <f>737</f>
        <v>737</v>
      </c>
      <c r="BA219">
        <f>1066</f>
        <v>1066</v>
      </c>
      <c r="BB219">
        <f>785</f>
        <v>785</v>
      </c>
      <c r="BC219">
        <f>703</f>
        <v>703</v>
      </c>
      <c r="BD219">
        <f>944</f>
        <v>944</v>
      </c>
      <c r="BE219">
        <f>939</f>
        <v>939</v>
      </c>
      <c r="BF219">
        <f>794</f>
        <v>794</v>
      </c>
      <c r="BG219">
        <f>860</f>
        <v>860</v>
      </c>
      <c r="BH219">
        <f>795</f>
        <v>795</v>
      </c>
      <c r="BI219">
        <f>779</f>
        <v>779</v>
      </c>
      <c r="BJ219">
        <f>924</f>
        <v>924</v>
      </c>
      <c r="BK219">
        <f>923</f>
        <v>923</v>
      </c>
      <c r="BL219">
        <f>701</f>
        <v>701</v>
      </c>
      <c r="BM219">
        <f>1492</f>
        <v>1492</v>
      </c>
      <c r="BN219">
        <f>883</f>
        <v>883</v>
      </c>
      <c r="BO219">
        <f>728</f>
        <v>728</v>
      </c>
      <c r="BP219">
        <f>1260</f>
        <v>1260</v>
      </c>
      <c r="BQ219">
        <f>876</f>
        <v>876</v>
      </c>
      <c r="BR219">
        <f>970</f>
        <v>970</v>
      </c>
      <c r="BS219">
        <f>922</f>
        <v>922</v>
      </c>
      <c r="BT219">
        <f>911</f>
        <v>911</v>
      </c>
      <c r="BU219">
        <f>888</f>
        <v>888</v>
      </c>
      <c r="BV219">
        <f>895</f>
        <v>895</v>
      </c>
      <c r="BW219">
        <f>718</f>
        <v>718</v>
      </c>
      <c r="BX219">
        <f>807</f>
        <v>807</v>
      </c>
      <c r="BY219">
        <f>1400</f>
        <v>1400</v>
      </c>
      <c r="BZ219">
        <f>780</f>
        <v>780</v>
      </c>
      <c r="CA219">
        <f>590</f>
        <v>590</v>
      </c>
      <c r="CB219">
        <f>1378</f>
        <v>1378</v>
      </c>
      <c r="CC219">
        <f>846</f>
        <v>846</v>
      </c>
      <c r="CD219">
        <f>765</f>
        <v>765</v>
      </c>
      <c r="CE219">
        <f>740</f>
        <v>740</v>
      </c>
      <c r="CF219">
        <f>726</f>
        <v>726</v>
      </c>
      <c r="CG219">
        <f>700</f>
        <v>700</v>
      </c>
    </row>
    <row r="220" spans="1:85" x14ac:dyDescent="0.25">
      <c r="A220" t="str">
        <f>"        US"</f>
        <v xml:space="preserve">        US</v>
      </c>
      <c r="B220" t="str">
        <f>""</f>
        <v/>
      </c>
      <c r="E220" t="str">
        <f t="shared" ref="E220:E233" si="17">"Expression"</f>
        <v>Expression</v>
      </c>
      <c r="F220">
        <f ca="1">IF(AND($B$294=1,LEN($F$243)&gt;0),$F$243,HLOOKUP(INDIRECT(ADDRESS(2,COLUMN())),OFFSET($AT$2,0,0,ROW()-1,40),ROW()-1,FALSE))</f>
        <v>716</v>
      </c>
      <c r="G220">
        <f ca="1">IF(AND($B$294=1,LEN($G$243)&gt;0),$G$243,HLOOKUP(INDIRECT(ADDRESS(2,COLUMN())),OFFSET($AT$2,0,0,ROW()-1,40),ROW()-1,FALSE))</f>
        <v>711</v>
      </c>
      <c r="H220">
        <f ca="1">IF(AND($B$294=1,LEN($H$243)&gt;0),$H$243,HLOOKUP(INDIRECT(ADDRESS(2,COLUMN())),OFFSET($AT$2,0,0,ROW()-1,40),ROW()-1,FALSE))</f>
        <v>756</v>
      </c>
      <c r="I220">
        <f ca="1">IF(AND($B$294=1,LEN($I$243)&gt;0),$I$243,HLOOKUP(INDIRECT(ADDRESS(2,COLUMN())),OFFSET($AT$2,0,0,ROW()-1,40),ROW()-1,FALSE))</f>
        <v>641</v>
      </c>
      <c r="J220">
        <f ca="1">IF(AND($B$294=1,LEN($J$243)&gt;0),$J$243,HLOOKUP(INDIRECT(ADDRESS(2,COLUMN())),OFFSET($AT$2,0,0,ROW()-1,40),ROW()-1,FALSE))</f>
        <v>840</v>
      </c>
      <c r="K220">
        <f ca="1">IF(AND($B$294=1,LEN($K$243)&gt;0),$K$243,HLOOKUP(INDIRECT(ADDRESS(2,COLUMN())),OFFSET($AT$2,0,0,ROW()-1,40),ROW()-1,FALSE))</f>
        <v>684</v>
      </c>
      <c r="L220">
        <f ca="1">IF(AND($B$294=1,LEN($L$243)&gt;0),$L$243,HLOOKUP(INDIRECT(ADDRESS(2,COLUMN())),OFFSET($AT$2,0,0,ROW()-1,40),ROW()-1,FALSE))</f>
        <v>582</v>
      </c>
      <c r="M220">
        <f ca="1">IF(AND($B$294=1,LEN($M$243)&gt;0),$M$243,HLOOKUP(INDIRECT(ADDRESS(2,COLUMN())),OFFSET($AT$2,0,0,ROW()-1,40),ROW()-1,FALSE))</f>
        <v>929</v>
      </c>
      <c r="N220">
        <f ca="1">IF(AND($B$294=1,LEN($N$243)&gt;0),$N$243,HLOOKUP(INDIRECT(ADDRESS(2,COLUMN())),OFFSET($AT$2,0,0,ROW()-1,40),ROW()-1,FALSE))</f>
        <v>639</v>
      </c>
      <c r="O220">
        <f ca="1">IF(AND($B$294=1,LEN($O$243)&gt;0),$O$243,HLOOKUP(INDIRECT(ADDRESS(2,COLUMN())),OFFSET($AT$2,0,0,ROW()-1,40),ROW()-1,FALSE))</f>
        <v>586</v>
      </c>
      <c r="P220">
        <f ca="1">IF(AND($B$294=1,LEN($P$243)&gt;0),$P$243,HLOOKUP(INDIRECT(ADDRESS(2,COLUMN())),OFFSET($AT$2,0,0,ROW()-1,40),ROW()-1,FALSE))</f>
        <v>738</v>
      </c>
      <c r="Q220">
        <f ca="1">IF(AND($B$294=1,LEN($Q$243)&gt;0),$Q$243,HLOOKUP(INDIRECT(ADDRESS(2,COLUMN())),OFFSET($AT$2,0,0,ROW()-1,40),ROW()-1,FALSE))</f>
        <v>738</v>
      </c>
      <c r="R220">
        <f ca="1">IF(AND($B$294=1,LEN($R$243)&gt;0),$R$243,HLOOKUP(INDIRECT(ADDRESS(2,COLUMN())),OFFSET($AT$2,0,0,ROW()-1,40),ROW()-1,FALSE))</f>
        <v>621</v>
      </c>
      <c r="S220">
        <f ca="1">IF(AND($B$294=1,LEN($S$243)&gt;0),$S$243,HLOOKUP(INDIRECT(ADDRESS(2,COLUMN())),OFFSET($AT$2,0,0,ROW()-1,40),ROW()-1,FALSE))</f>
        <v>651</v>
      </c>
      <c r="T220">
        <f ca="1">IF(AND($B$294=1,LEN($T$243)&gt;0),$T$243,HLOOKUP(INDIRECT(ADDRESS(2,COLUMN())),OFFSET($AT$2,0,0,ROW()-1,40),ROW()-1,FALSE))</f>
        <v>630</v>
      </c>
      <c r="U220">
        <f ca="1">IF(AND($B$294=1,LEN($U$243)&gt;0),$U$243,HLOOKUP(INDIRECT(ADDRESS(2,COLUMN())),OFFSET($AT$2,0,0,ROW()-1,40),ROW()-1,FALSE))</f>
        <v>577</v>
      </c>
      <c r="V220">
        <f ca="1">IF(AND($B$294=1,LEN($V$243)&gt;0),$V$243,HLOOKUP(INDIRECT(ADDRESS(2,COLUMN())),OFFSET($AT$2,0,0,ROW()-1,40),ROW()-1,FALSE))</f>
        <v>758</v>
      </c>
      <c r="W220">
        <f ca="1">IF(AND($B$294=1,LEN($W$243)&gt;0),$W$243,HLOOKUP(INDIRECT(ADDRESS(2,COLUMN())),OFFSET($AT$2,0,0,ROW()-1,40),ROW()-1,FALSE))</f>
        <v>699</v>
      </c>
      <c r="X220">
        <f ca="1">IF(AND($B$294=1,LEN($X$243)&gt;0),$X$243,HLOOKUP(INDIRECT(ADDRESS(2,COLUMN())),OFFSET($AT$2,0,0,ROW()-1,40),ROW()-1,FALSE))</f>
        <v>506</v>
      </c>
      <c r="Y220">
        <f ca="1">IF(AND($B$294=1,LEN($Y$243)&gt;0),$Y$243,HLOOKUP(INDIRECT(ADDRESS(2,COLUMN())),OFFSET($AT$2,0,0,ROW()-1,40),ROW()-1,FALSE))</f>
        <v>1330</v>
      </c>
      <c r="Z220">
        <f ca="1">IF(AND($B$294=1,LEN($Z$243)&gt;0),$Z$243,HLOOKUP(INDIRECT(ADDRESS(2,COLUMN())),OFFSET($AT$2,0,0,ROW()-1,40),ROW()-1,FALSE))</f>
        <v>709</v>
      </c>
      <c r="AA220">
        <f ca="1">IF(AND($B$294=1,LEN($AA$243)&gt;0),$AA$243,HLOOKUP(INDIRECT(ADDRESS(2,COLUMN())),OFFSET($AT$2,0,0,ROW()-1,40),ROW()-1,FALSE))</f>
        <v>552</v>
      </c>
      <c r="AB220">
        <f ca="1">IF(AND($B$294=1,LEN($AB$243)&gt;0),$AB$243,HLOOKUP(INDIRECT(ADDRESS(2,COLUMN())),OFFSET($AT$2,0,0,ROW()-1,40),ROW()-1,FALSE))</f>
        <v>1075</v>
      </c>
      <c r="AC220">
        <f ca="1">IF(AND($B$294=1,LEN($AC$243)&gt;0),$AC$243,HLOOKUP(INDIRECT(ADDRESS(2,COLUMN())),OFFSET($AT$2,0,0,ROW()-1,40),ROW()-1,FALSE))</f>
        <v>736</v>
      </c>
      <c r="AD220">
        <f ca="1">IF(AND($B$294=1,LEN($AD$243)&gt;0),$AD$243,HLOOKUP(INDIRECT(ADDRESS(2,COLUMN())),OFFSET($AT$2,0,0,ROW()-1,40),ROW()-1,FALSE))</f>
        <v>833</v>
      </c>
      <c r="AE220">
        <f ca="1">IF(AND($B$294=1,LEN($AE$243)&gt;0),$AE$243,HLOOKUP(INDIRECT(ADDRESS(2,COLUMN())),OFFSET($AT$2,0,0,ROW()-1,40),ROW()-1,FALSE))</f>
        <v>795</v>
      </c>
      <c r="AF220">
        <f ca="1">IF(AND($B$294=1,LEN($AF$243)&gt;0),$AF$243,HLOOKUP(INDIRECT(ADDRESS(2,COLUMN())),OFFSET($AT$2,0,0,ROW()-1,40),ROW()-1,FALSE))</f>
        <v>779</v>
      </c>
      <c r="AG220">
        <f ca="1">IF(AND($B$294=1,LEN($AG$243)&gt;0),$AG$243,HLOOKUP(INDIRECT(ADDRESS(2,COLUMN())),OFFSET($AT$2,0,0,ROW()-1,40),ROW()-1,FALSE))</f>
        <v>746</v>
      </c>
      <c r="AH220">
        <f ca="1">IF(AND($B$294=1,LEN($AH$243)&gt;0),$AH$243,HLOOKUP(INDIRECT(ADDRESS(2,COLUMN())),OFFSET($AT$2,0,0,ROW()-1,40),ROW()-1,FALSE))</f>
        <v>747</v>
      </c>
      <c r="AI220">
        <f ca="1">IF(AND($B$294=1,LEN($AI$243)&gt;0),$AI$243,HLOOKUP(INDIRECT(ADDRESS(2,COLUMN())),OFFSET($AT$2,0,0,ROW()-1,40),ROW()-1,FALSE))</f>
        <v>579</v>
      </c>
      <c r="AJ220">
        <f ca="1">IF(AND($B$294=1,LEN($AJ$243)&gt;0),$AJ$243,HLOOKUP(INDIRECT(ADDRESS(2,COLUMN())),OFFSET($AT$2,0,0,ROW()-1,40),ROW()-1,FALSE))</f>
        <v>665</v>
      </c>
      <c r="AK220">
        <f ca="1">IF(AND($B$294=1,LEN($AK$243)&gt;0),$AK$243,HLOOKUP(INDIRECT(ADDRESS(2,COLUMN())),OFFSET($AT$2,0,0,ROW()-1,40),ROW()-1,FALSE))</f>
        <v>1258</v>
      </c>
      <c r="AL220">
        <f ca="1">IF(AND($B$294=1,LEN($AL$243)&gt;0),$AL$243,HLOOKUP(INDIRECT(ADDRESS(2,COLUMN())),OFFSET($AT$2,0,0,ROW()-1,40),ROW()-1,FALSE))</f>
        <v>664</v>
      </c>
      <c r="AM220">
        <f ca="1">IF(AND($B$294=1,LEN($AM$243)&gt;0),$AM$243,HLOOKUP(INDIRECT(ADDRESS(2,COLUMN())),OFFSET($AT$2,0,0,ROW()-1,40),ROW()-1,FALSE))</f>
        <v>494</v>
      </c>
      <c r="AN220">
        <f ca="1">IF(AND($B$294=1,LEN($AN$243)&gt;0),$AN$243,HLOOKUP(INDIRECT(ADDRESS(2,COLUMN())),OFFSET($AT$2,0,0,ROW()-1,40),ROW()-1,FALSE))</f>
        <v>1208</v>
      </c>
      <c r="AO220">
        <f ca="1">IF(AND($B$294=1,LEN($AO$243)&gt;0),$AO$243,HLOOKUP(INDIRECT(ADDRESS(2,COLUMN())),OFFSET($AT$2,0,0,ROW()-1,40),ROW()-1,FALSE))</f>
        <v>701</v>
      </c>
      <c r="AP220">
        <f ca="1">IF(AND($B$294=1,LEN($AP$243)&gt;0),$AP$243,HLOOKUP(INDIRECT(ADDRESS(2,COLUMN())),OFFSET($AT$2,0,0,ROW()-1,40),ROW()-1,FALSE))</f>
        <v>618</v>
      </c>
      <c r="AQ220">
        <f ca="1">IF(AND($B$294=1,LEN($AQ$243)&gt;0),$AQ$243,HLOOKUP(INDIRECT(ADDRESS(2,COLUMN())),OFFSET($AT$2,0,0,ROW()-1,40),ROW()-1,FALSE))</f>
        <v>637</v>
      </c>
      <c r="AR220">
        <f ca="1">IF(AND($B$294=1,LEN($AR$243)&gt;0),$AR$243,HLOOKUP(INDIRECT(ADDRESS(2,COLUMN())),OFFSET($AT$2,0,0,ROW()-1,40),ROW()-1,FALSE))</f>
        <v>645</v>
      </c>
      <c r="AS220">
        <f ca="1">IF(AND($B$294=1,LEN($AS$243)&gt;0),$AS$243,HLOOKUP(INDIRECT(ADDRESS(2,COLUMN())),OFFSET($AT$2,0,0,ROW()-1,40),ROW()-1,FALSE))</f>
        <v>598</v>
      </c>
      <c r="AT220">
        <f>716</f>
        <v>716</v>
      </c>
      <c r="AU220">
        <f>711</f>
        <v>711</v>
      </c>
      <c r="AV220">
        <f>756</f>
        <v>756</v>
      </c>
      <c r="AW220">
        <f>641</f>
        <v>641</v>
      </c>
      <c r="AX220">
        <f>840</f>
        <v>840</v>
      </c>
      <c r="AY220">
        <f>684</f>
        <v>684</v>
      </c>
      <c r="AZ220">
        <f>582</f>
        <v>582</v>
      </c>
      <c r="BA220">
        <f>929</f>
        <v>929</v>
      </c>
      <c r="BB220">
        <f>639</f>
        <v>639</v>
      </c>
      <c r="BC220">
        <f>586</f>
        <v>586</v>
      </c>
      <c r="BD220">
        <f>738</f>
        <v>738</v>
      </c>
      <c r="BE220">
        <f>738</f>
        <v>738</v>
      </c>
      <c r="BF220">
        <f>621</f>
        <v>621</v>
      </c>
      <c r="BG220">
        <f>651</f>
        <v>651</v>
      </c>
      <c r="BH220">
        <f>630</f>
        <v>630</v>
      </c>
      <c r="BI220">
        <f>577</f>
        <v>577</v>
      </c>
      <c r="BJ220">
        <f>758</f>
        <v>758</v>
      </c>
      <c r="BK220">
        <f>699</f>
        <v>699</v>
      </c>
      <c r="BL220">
        <f>506</f>
        <v>506</v>
      </c>
      <c r="BM220">
        <f>1330</f>
        <v>1330</v>
      </c>
      <c r="BN220">
        <f>709</f>
        <v>709</v>
      </c>
      <c r="BO220">
        <f>552</f>
        <v>552</v>
      </c>
      <c r="BP220">
        <f>1075</f>
        <v>1075</v>
      </c>
      <c r="BQ220">
        <f>736</f>
        <v>736</v>
      </c>
      <c r="BR220">
        <f>833</f>
        <v>833</v>
      </c>
      <c r="BS220">
        <f>795</f>
        <v>795</v>
      </c>
      <c r="BT220">
        <f>779</f>
        <v>779</v>
      </c>
      <c r="BU220">
        <f>746</f>
        <v>746</v>
      </c>
      <c r="BV220">
        <f>747</f>
        <v>747</v>
      </c>
      <c r="BW220">
        <f>579</f>
        <v>579</v>
      </c>
      <c r="BX220">
        <f>665</f>
        <v>665</v>
      </c>
      <c r="BY220">
        <f>1258</f>
        <v>1258</v>
      </c>
      <c r="BZ220">
        <f>664</f>
        <v>664</v>
      </c>
      <c r="CA220">
        <f>494</f>
        <v>494</v>
      </c>
      <c r="CB220">
        <f>1208</f>
        <v>1208</v>
      </c>
      <c r="CC220">
        <f>701</f>
        <v>701</v>
      </c>
      <c r="CD220">
        <f>618</f>
        <v>618</v>
      </c>
      <c r="CE220">
        <f>637</f>
        <v>637</v>
      </c>
      <c r="CF220">
        <f>645</f>
        <v>645</v>
      </c>
      <c r="CG220">
        <f>598</f>
        <v>598</v>
      </c>
    </row>
    <row r="221" spans="1:85" x14ac:dyDescent="0.25">
      <c r="A221" t="str">
        <f>"        Canada"</f>
        <v xml:space="preserve">        Canada</v>
      </c>
      <c r="B221" t="str">
        <f>""</f>
        <v/>
      </c>
      <c r="E221" t="str">
        <f t="shared" si="17"/>
        <v>Expression</v>
      </c>
      <c r="F221">
        <f ca="1">IF(AND($B$294=1,LEN($F$258)&gt;0),$F$258,HLOOKUP(INDIRECT(ADDRESS(2,COLUMN())),OFFSET($AT$2,0,0,ROW()-1,40),ROW()-1,FALSE))</f>
        <v>117</v>
      </c>
      <c r="G221">
        <f ca="1">IF(AND($B$294=1,LEN($G$258)&gt;0),$G$258,HLOOKUP(INDIRECT(ADDRESS(2,COLUMN())),OFFSET($AT$2,0,0,ROW()-1,40),ROW()-1,FALSE))</f>
        <v>144</v>
      </c>
      <c r="H221">
        <f ca="1">IF(AND($B$294=1,LEN($H$258)&gt;0),$H$258,HLOOKUP(INDIRECT(ADDRESS(2,COLUMN())),OFFSET($AT$2,0,0,ROW()-1,40),ROW()-1,FALSE))</f>
        <v>120</v>
      </c>
      <c r="I221">
        <f ca="1">IF(AND($B$294=1,LEN($I$258)&gt;0),$I$258,HLOOKUP(INDIRECT(ADDRESS(2,COLUMN())),OFFSET($AT$2,0,0,ROW()-1,40),ROW()-1,FALSE))</f>
        <v>136</v>
      </c>
      <c r="J221">
        <f ca="1">IF(AND($B$294=1,LEN($J$258)&gt;0),$J$258,HLOOKUP(INDIRECT(ADDRESS(2,COLUMN())),OFFSET($AT$2,0,0,ROW()-1,40),ROW()-1,FALSE))</f>
        <v>140</v>
      </c>
      <c r="K221">
        <f ca="1">IF(AND($B$294=1,LEN($K$258)&gt;0),$K$258,HLOOKUP(INDIRECT(ADDRESS(2,COLUMN())),OFFSET($AT$2,0,0,ROW()-1,40),ROW()-1,FALSE))</f>
        <v>165</v>
      </c>
      <c r="L221">
        <f ca="1">IF(AND($B$294=1,LEN($L$258)&gt;0),$L$258,HLOOKUP(INDIRECT(ADDRESS(2,COLUMN())),OFFSET($AT$2,0,0,ROW()-1,40),ROW()-1,FALSE))</f>
        <v>155</v>
      </c>
      <c r="M221">
        <f ca="1">IF(AND($B$294=1,LEN($M$258)&gt;0),$M$258,HLOOKUP(INDIRECT(ADDRESS(2,COLUMN())),OFFSET($AT$2,0,0,ROW()-1,40),ROW()-1,FALSE))</f>
        <v>137</v>
      </c>
      <c r="N221">
        <f ca="1">IF(AND($B$294=1,LEN($N$258)&gt;0),$N$258,HLOOKUP(INDIRECT(ADDRESS(2,COLUMN())),OFFSET($AT$2,0,0,ROW()-1,40),ROW()-1,FALSE))</f>
        <v>146</v>
      </c>
      <c r="O221">
        <f ca="1">IF(AND($B$294=1,LEN($O$258)&gt;0),$O$258,HLOOKUP(INDIRECT(ADDRESS(2,COLUMN())),OFFSET($AT$2,0,0,ROW()-1,40),ROW()-1,FALSE))</f>
        <v>117</v>
      </c>
      <c r="P221">
        <f ca="1">IF(AND($B$294=1,LEN($P$258)&gt;0),$P$258,HLOOKUP(INDIRECT(ADDRESS(2,COLUMN())),OFFSET($AT$2,0,0,ROW()-1,40),ROW()-1,FALSE))</f>
        <v>86</v>
      </c>
      <c r="Q221">
        <f ca="1">IF(AND($B$294=1,LEN($Q$258)&gt;0),$Q$258,HLOOKUP(INDIRECT(ADDRESS(2,COLUMN())),OFFSET($AT$2,0,0,ROW()-1,40),ROW()-1,FALSE))</f>
        <v>109</v>
      </c>
      <c r="R221">
        <f ca="1">IF(AND($B$294=1,LEN($R$258)&gt;0),$R$258,HLOOKUP(INDIRECT(ADDRESS(2,COLUMN())),OFFSET($AT$2,0,0,ROW()-1,40),ROW()-1,FALSE))</f>
        <v>95</v>
      </c>
      <c r="S221">
        <f ca="1">IF(AND($B$294=1,LEN($S$258)&gt;0),$S$258,HLOOKUP(INDIRECT(ADDRESS(2,COLUMN())),OFFSET($AT$2,0,0,ROW()-1,40),ROW()-1,FALSE))</f>
        <v>127</v>
      </c>
      <c r="T221">
        <f ca="1">IF(AND($B$294=1,LEN($T$258)&gt;0),$T$258,HLOOKUP(INDIRECT(ADDRESS(2,COLUMN())),OFFSET($AT$2,0,0,ROW()-1,40),ROW()-1,FALSE))</f>
        <v>92</v>
      </c>
      <c r="U221">
        <f ca="1">IF(AND($B$294=1,LEN($U$258)&gt;0),$U$258,HLOOKUP(INDIRECT(ADDRESS(2,COLUMN())),OFFSET($AT$2,0,0,ROW()-1,40),ROW()-1,FALSE))</f>
        <v>141</v>
      </c>
      <c r="V221">
        <f ca="1">IF(AND($B$294=1,LEN($V$258)&gt;0),$V$258,HLOOKUP(INDIRECT(ADDRESS(2,COLUMN())),OFFSET($AT$2,0,0,ROW()-1,40),ROW()-1,FALSE))</f>
        <v>102</v>
      </c>
      <c r="W221">
        <f ca="1">IF(AND($B$294=1,LEN($W$258)&gt;0),$W$258,HLOOKUP(INDIRECT(ADDRESS(2,COLUMN())),OFFSET($AT$2,0,0,ROW()-1,40),ROW()-1,FALSE))</f>
        <v>148</v>
      </c>
      <c r="X221">
        <f ca="1">IF(AND($B$294=1,LEN($X$258)&gt;0),$X$258,HLOOKUP(INDIRECT(ADDRESS(2,COLUMN())),OFFSET($AT$2,0,0,ROW()-1,40),ROW()-1,FALSE))</f>
        <v>120</v>
      </c>
      <c r="Y221">
        <f ca="1">IF(AND($B$294=1,LEN($Y$258)&gt;0),$Y$258,HLOOKUP(INDIRECT(ADDRESS(2,COLUMN())),OFFSET($AT$2,0,0,ROW()-1,40),ROW()-1,FALSE))</f>
        <v>101</v>
      </c>
      <c r="Z221">
        <f ca="1">IF(AND($B$294=1,LEN($Z$258)&gt;0),$Z$258,HLOOKUP(INDIRECT(ADDRESS(2,COLUMN())),OFFSET($AT$2,0,0,ROW()-1,40),ROW()-1,FALSE))</f>
        <v>121</v>
      </c>
      <c r="AA221">
        <f ca="1">IF(AND($B$294=1,LEN($AA$258)&gt;0),$AA$258,HLOOKUP(INDIRECT(ADDRESS(2,COLUMN())),OFFSET($AT$2,0,0,ROW()-1,40),ROW()-1,FALSE))</f>
        <v>107</v>
      </c>
      <c r="AB221">
        <f ca="1">IF(AND($B$294=1,LEN($AB$258)&gt;0),$AB$258,HLOOKUP(INDIRECT(ADDRESS(2,COLUMN())),OFFSET($AT$2,0,0,ROW()-1,40),ROW()-1,FALSE))</f>
        <v>116</v>
      </c>
      <c r="AC221">
        <f ca="1">IF(AND($B$294=1,LEN($AC$258)&gt;0),$AC$258,HLOOKUP(INDIRECT(ADDRESS(2,COLUMN())),OFFSET($AT$2,0,0,ROW()-1,40),ROW()-1,FALSE))</f>
        <v>85</v>
      </c>
      <c r="AD221">
        <f ca="1">IF(AND($B$294=1,LEN($AD$258)&gt;0),$AD$258,HLOOKUP(INDIRECT(ADDRESS(2,COLUMN())),OFFSET($AT$2,0,0,ROW()-1,40),ROW()-1,FALSE))</f>
        <v>86</v>
      </c>
      <c r="AE221">
        <f ca="1">IF(AND($B$294=1,LEN($AE$258)&gt;0),$AE$258,HLOOKUP(INDIRECT(ADDRESS(2,COLUMN())),OFFSET($AT$2,0,0,ROW()-1,40),ROW()-1,FALSE))</f>
        <v>79</v>
      </c>
      <c r="AF221">
        <f ca="1">IF(AND($B$294=1,LEN($AF$258)&gt;0),$AF$258,HLOOKUP(INDIRECT(ADDRESS(2,COLUMN())),OFFSET($AT$2,0,0,ROW()-1,40),ROW()-1,FALSE))</f>
        <v>84</v>
      </c>
      <c r="AG221">
        <f ca="1">IF(AND($B$294=1,LEN($AG$258)&gt;0),$AG$258,HLOOKUP(INDIRECT(ADDRESS(2,COLUMN())),OFFSET($AT$2,0,0,ROW()-1,40),ROW()-1,FALSE))</f>
        <v>94</v>
      </c>
      <c r="AH221">
        <f ca="1">IF(AND($B$294=1,LEN($AH$258)&gt;0),$AH$258,HLOOKUP(INDIRECT(ADDRESS(2,COLUMN())),OFFSET($AT$2,0,0,ROW()-1,40),ROW()-1,FALSE))</f>
        <v>102</v>
      </c>
      <c r="AI221">
        <f ca="1">IF(AND($B$294=1,LEN($AI$258)&gt;0),$AI$258,HLOOKUP(INDIRECT(ADDRESS(2,COLUMN())),OFFSET($AT$2,0,0,ROW()-1,40),ROW()-1,FALSE))</f>
        <v>97</v>
      </c>
      <c r="AJ221">
        <f ca="1">IF(AND($B$294=1,LEN($AJ$258)&gt;0),$AJ$258,HLOOKUP(INDIRECT(ADDRESS(2,COLUMN())),OFFSET($AT$2,0,0,ROW()-1,40),ROW()-1,FALSE))</f>
        <v>102</v>
      </c>
      <c r="AK221">
        <f ca="1">IF(AND($B$294=1,LEN($AK$258)&gt;0),$AK$258,HLOOKUP(INDIRECT(ADDRESS(2,COLUMN())),OFFSET($AT$2,0,0,ROW()-1,40),ROW()-1,FALSE))</f>
        <v>89</v>
      </c>
      <c r="AL221">
        <f ca="1">IF(AND($B$294=1,LEN($AL$258)&gt;0),$AL$258,HLOOKUP(INDIRECT(ADDRESS(2,COLUMN())),OFFSET($AT$2,0,0,ROW()-1,40),ROW()-1,FALSE))</f>
        <v>67</v>
      </c>
      <c r="AM221">
        <f ca="1">IF(AND($B$294=1,LEN($AM$258)&gt;0),$AM$258,HLOOKUP(INDIRECT(ADDRESS(2,COLUMN())),OFFSET($AT$2,0,0,ROW()-1,40),ROW()-1,FALSE))</f>
        <v>43</v>
      </c>
      <c r="AN221">
        <f ca="1">IF(AND($B$294=1,LEN($AN$258)&gt;0),$AN$258,HLOOKUP(INDIRECT(ADDRESS(2,COLUMN())),OFFSET($AT$2,0,0,ROW()-1,40),ROW()-1,FALSE))</f>
        <v>83</v>
      </c>
      <c r="AO221">
        <f ca="1">IF(AND($B$294=1,LEN($AO$258)&gt;0),$AO$258,HLOOKUP(INDIRECT(ADDRESS(2,COLUMN())),OFFSET($AT$2,0,0,ROW()-1,40),ROW()-1,FALSE))</f>
        <v>64</v>
      </c>
      <c r="AP221">
        <f ca="1">IF(AND($B$294=1,LEN($AP$258)&gt;0),$AP$258,HLOOKUP(INDIRECT(ADDRESS(2,COLUMN())),OFFSET($AT$2,0,0,ROW()-1,40),ROW()-1,FALSE))</f>
        <v>68</v>
      </c>
      <c r="AQ221">
        <f ca="1">IF(AND($B$294=1,LEN($AQ$258)&gt;0),$AQ$258,HLOOKUP(INDIRECT(ADDRESS(2,COLUMN())),OFFSET($AT$2,0,0,ROW()-1,40),ROW()-1,FALSE))</f>
        <v>71</v>
      </c>
      <c r="AR221">
        <f ca="1">IF(AND($B$294=1,LEN($AR$258)&gt;0),$AR$258,HLOOKUP(INDIRECT(ADDRESS(2,COLUMN())),OFFSET($AT$2,0,0,ROW()-1,40),ROW()-1,FALSE))</f>
        <v>58</v>
      </c>
      <c r="AS221">
        <f ca="1">IF(AND($B$294=1,LEN($AS$258)&gt;0),$AS$258,HLOOKUP(INDIRECT(ADDRESS(2,COLUMN())),OFFSET($AT$2,0,0,ROW()-1,40),ROW()-1,FALSE))</f>
        <v>73</v>
      </c>
      <c r="AT221">
        <f>117</f>
        <v>117</v>
      </c>
      <c r="AU221">
        <f>144</f>
        <v>144</v>
      </c>
      <c r="AV221">
        <f>120</f>
        <v>120</v>
      </c>
      <c r="AW221">
        <f>136</f>
        <v>136</v>
      </c>
      <c r="AX221">
        <f>140</f>
        <v>140</v>
      </c>
      <c r="AY221">
        <f>165</f>
        <v>165</v>
      </c>
      <c r="AZ221">
        <f>155</f>
        <v>155</v>
      </c>
      <c r="BA221">
        <f>137</f>
        <v>137</v>
      </c>
      <c r="BB221">
        <f>146</f>
        <v>146</v>
      </c>
      <c r="BC221">
        <f>117</f>
        <v>117</v>
      </c>
      <c r="BD221">
        <f>86</f>
        <v>86</v>
      </c>
      <c r="BE221">
        <f>109</f>
        <v>109</v>
      </c>
      <c r="BF221">
        <f>95</f>
        <v>95</v>
      </c>
      <c r="BG221">
        <f>127</f>
        <v>127</v>
      </c>
      <c r="BH221">
        <f>92</f>
        <v>92</v>
      </c>
      <c r="BI221">
        <f>141</f>
        <v>141</v>
      </c>
      <c r="BJ221">
        <f>102</f>
        <v>102</v>
      </c>
      <c r="BK221">
        <f>148</f>
        <v>148</v>
      </c>
      <c r="BL221">
        <f>120</f>
        <v>120</v>
      </c>
      <c r="BM221">
        <f>101</f>
        <v>101</v>
      </c>
      <c r="BN221">
        <f>121</f>
        <v>121</v>
      </c>
      <c r="BO221">
        <f>107</f>
        <v>107</v>
      </c>
      <c r="BP221">
        <f>116</f>
        <v>116</v>
      </c>
      <c r="BQ221">
        <f>85</f>
        <v>85</v>
      </c>
      <c r="BR221">
        <f>86</f>
        <v>86</v>
      </c>
      <c r="BS221">
        <f>79</f>
        <v>79</v>
      </c>
      <c r="BT221">
        <f>84</f>
        <v>84</v>
      </c>
      <c r="BU221">
        <f>94</f>
        <v>94</v>
      </c>
      <c r="BV221">
        <f>102</f>
        <v>102</v>
      </c>
      <c r="BW221">
        <f>97</f>
        <v>97</v>
      </c>
      <c r="BX221">
        <f>102</f>
        <v>102</v>
      </c>
      <c r="BY221">
        <f>89</f>
        <v>89</v>
      </c>
      <c r="BZ221">
        <f>67</f>
        <v>67</v>
      </c>
      <c r="CA221">
        <f>43</f>
        <v>43</v>
      </c>
      <c r="CB221">
        <f>83</f>
        <v>83</v>
      </c>
      <c r="CC221">
        <f>64</f>
        <v>64</v>
      </c>
      <c r="CD221">
        <f>68</f>
        <v>68</v>
      </c>
      <c r="CE221">
        <f>71</f>
        <v>71</v>
      </c>
      <c r="CF221">
        <f>58</f>
        <v>58</v>
      </c>
      <c r="CG221">
        <f>73</f>
        <v>73</v>
      </c>
    </row>
    <row r="222" spans="1:85" x14ac:dyDescent="0.25">
      <c r="A222" t="str">
        <f>"        Mexico"</f>
        <v xml:space="preserve">        Mexico</v>
      </c>
      <c r="B222" t="str">
        <f>""</f>
        <v/>
      </c>
      <c r="E222" t="str">
        <f t="shared" si="17"/>
        <v>Expression</v>
      </c>
      <c r="F222" t="str">
        <f ca="1">IF(AND($B$294=1,LEN($F$270)&gt;0),$F$270,HLOOKUP(INDIRECT(ADDRESS(2,COLUMN())),OFFSET($AT$2,0,0,ROW()-1,40),ROW()-1,FALSE))</f>
        <v/>
      </c>
      <c r="G222" t="str">
        <f ca="1">IF(AND($B$294=1,LEN($G$270)&gt;0),$G$270,HLOOKUP(INDIRECT(ADDRESS(2,COLUMN())),OFFSET($AT$2,0,0,ROW()-1,40),ROW()-1,FALSE))</f>
        <v/>
      </c>
      <c r="H222" t="str">
        <f ca="1">IF(AND($B$294=1,LEN($H$270)&gt;0),$H$270,HLOOKUP(INDIRECT(ADDRESS(2,COLUMN())),OFFSET($AT$2,0,0,ROW()-1,40),ROW()-1,FALSE))</f>
        <v/>
      </c>
      <c r="I222" t="str">
        <f ca="1">IF(AND($B$294=1,LEN($I$270)&gt;0),$I$270,HLOOKUP(INDIRECT(ADDRESS(2,COLUMN())),OFFSET($AT$2,0,0,ROW()-1,40),ROW()-1,FALSE))</f>
        <v/>
      </c>
      <c r="J222" t="str">
        <f ca="1">IF(AND($B$294=1,LEN($J$270)&gt;0),$J$270,HLOOKUP(INDIRECT(ADDRESS(2,COLUMN())),OFFSET($AT$2,0,0,ROW()-1,40),ROW()-1,FALSE))</f>
        <v/>
      </c>
      <c r="K222" t="str">
        <f ca="1">IF(AND($B$294=1,LEN($K$270)&gt;0),$K$270,HLOOKUP(INDIRECT(ADDRESS(2,COLUMN())),OFFSET($AT$2,0,0,ROW()-1,40),ROW()-1,FALSE))</f>
        <v/>
      </c>
      <c r="L222" t="str">
        <f ca="1">IF(AND($B$294=1,LEN($L$270)&gt;0),$L$270,HLOOKUP(INDIRECT(ADDRESS(2,COLUMN())),OFFSET($AT$2,0,0,ROW()-1,40),ROW()-1,FALSE))</f>
        <v/>
      </c>
      <c r="M222" t="str">
        <f ca="1">IF(AND($B$294=1,LEN($M$270)&gt;0),$M$270,HLOOKUP(INDIRECT(ADDRESS(2,COLUMN())),OFFSET($AT$2,0,0,ROW()-1,40),ROW()-1,FALSE))</f>
        <v/>
      </c>
      <c r="N222" t="str">
        <f ca="1">IF(AND($B$294=1,LEN($N$270)&gt;0),$N$270,HLOOKUP(INDIRECT(ADDRESS(2,COLUMN())),OFFSET($AT$2,0,0,ROW()-1,40),ROW()-1,FALSE))</f>
        <v/>
      </c>
      <c r="O222" t="str">
        <f ca="1">IF(AND($B$294=1,LEN($O$270)&gt;0),$O$270,HLOOKUP(INDIRECT(ADDRESS(2,COLUMN())),OFFSET($AT$2,0,0,ROW()-1,40),ROW()-1,FALSE))</f>
        <v/>
      </c>
      <c r="P222">
        <f ca="1">IF(AND($B$294=1,LEN($P$270)&gt;0),$P$270,HLOOKUP(INDIRECT(ADDRESS(2,COLUMN())),OFFSET($AT$2,0,0,ROW()-1,40),ROW()-1,FALSE))</f>
        <v>120</v>
      </c>
      <c r="Q222">
        <f ca="1">IF(AND($B$294=1,LEN($Q$270)&gt;0),$Q$270,HLOOKUP(INDIRECT(ADDRESS(2,COLUMN())),OFFSET($AT$2,0,0,ROW()-1,40),ROW()-1,FALSE))</f>
        <v>92</v>
      </c>
      <c r="R222">
        <f ca="1">IF(AND($B$294=1,LEN($R$270)&gt;0),$R$270,HLOOKUP(INDIRECT(ADDRESS(2,COLUMN())),OFFSET($AT$2,0,0,ROW()-1,40),ROW()-1,FALSE))</f>
        <v>78</v>
      </c>
      <c r="S222">
        <f ca="1">IF(AND($B$294=1,LEN($S$270)&gt;0),$S$270,HLOOKUP(INDIRECT(ADDRESS(2,COLUMN())),OFFSET($AT$2,0,0,ROW()-1,40),ROW()-1,FALSE))</f>
        <v>82</v>
      </c>
      <c r="T222">
        <f ca="1">IF(AND($B$294=1,LEN($T$270)&gt;0),$T$270,HLOOKUP(INDIRECT(ADDRESS(2,COLUMN())),OFFSET($AT$2,0,0,ROW()-1,40),ROW()-1,FALSE))</f>
        <v>73</v>
      </c>
      <c r="U222">
        <f ca="1">IF(AND($B$294=1,LEN($U$270)&gt;0),$U$270,HLOOKUP(INDIRECT(ADDRESS(2,COLUMN())),OFFSET($AT$2,0,0,ROW()-1,40),ROW()-1,FALSE))</f>
        <v>61</v>
      </c>
      <c r="V222">
        <f ca="1">IF(AND($B$294=1,LEN($V$270)&gt;0),$V$270,HLOOKUP(INDIRECT(ADDRESS(2,COLUMN())),OFFSET($AT$2,0,0,ROW()-1,40),ROW()-1,FALSE))</f>
        <v>64</v>
      </c>
      <c r="W222">
        <f ca="1">IF(AND($B$294=1,LEN($W$270)&gt;0),$W$270,HLOOKUP(INDIRECT(ADDRESS(2,COLUMN())),OFFSET($AT$2,0,0,ROW()-1,40),ROW()-1,FALSE))</f>
        <v>76</v>
      </c>
      <c r="X222">
        <f ca="1">IF(AND($B$294=1,LEN($X$270)&gt;0),$X$270,HLOOKUP(INDIRECT(ADDRESS(2,COLUMN())),OFFSET($AT$2,0,0,ROW()-1,40),ROW()-1,FALSE))</f>
        <v>75</v>
      </c>
      <c r="Y222">
        <f ca="1">IF(AND($B$294=1,LEN($Y$270)&gt;0),$Y$270,HLOOKUP(INDIRECT(ADDRESS(2,COLUMN())),OFFSET($AT$2,0,0,ROW()-1,40),ROW()-1,FALSE))</f>
        <v>61</v>
      </c>
      <c r="Z222">
        <f ca="1">IF(AND($B$294=1,LEN($Z$270)&gt;0),$Z$270,HLOOKUP(INDIRECT(ADDRESS(2,COLUMN())),OFFSET($AT$2,0,0,ROW()-1,40),ROW()-1,FALSE))</f>
        <v>53</v>
      </c>
      <c r="AA222">
        <f ca="1">IF(AND($B$294=1,LEN($AA$270)&gt;0),$AA$270,HLOOKUP(INDIRECT(ADDRESS(2,COLUMN())),OFFSET($AT$2,0,0,ROW()-1,40),ROW()-1,FALSE))</f>
        <v>69</v>
      </c>
      <c r="AB222">
        <f ca="1">IF(AND($B$294=1,LEN($AB$270)&gt;0),$AB$270,HLOOKUP(INDIRECT(ADDRESS(2,COLUMN())),OFFSET($AT$2,0,0,ROW()-1,40),ROW()-1,FALSE))</f>
        <v>69</v>
      </c>
      <c r="AC222">
        <f ca="1">IF(AND($B$294=1,LEN($AC$270)&gt;0),$AC$270,HLOOKUP(INDIRECT(ADDRESS(2,COLUMN())),OFFSET($AT$2,0,0,ROW()-1,40),ROW()-1,FALSE))</f>
        <v>55</v>
      </c>
      <c r="AD222">
        <f ca="1">IF(AND($B$294=1,LEN($AD$270)&gt;0),$AD$270,HLOOKUP(INDIRECT(ADDRESS(2,COLUMN())),OFFSET($AT$2,0,0,ROW()-1,40),ROW()-1,FALSE))</f>
        <v>51</v>
      </c>
      <c r="AE222">
        <f ca="1">IF(AND($B$294=1,LEN($AE$270)&gt;0),$AE$270,HLOOKUP(INDIRECT(ADDRESS(2,COLUMN())),OFFSET($AT$2,0,0,ROW()-1,40),ROW()-1,FALSE))</f>
        <v>48</v>
      </c>
      <c r="AF222">
        <f ca="1">IF(AND($B$294=1,LEN($AF$270)&gt;0),$AF$270,HLOOKUP(INDIRECT(ADDRESS(2,COLUMN())),OFFSET($AT$2,0,0,ROW()-1,40),ROW()-1,FALSE))</f>
        <v>48</v>
      </c>
      <c r="AG222">
        <f ca="1">IF(AND($B$294=1,LEN($AG$270)&gt;0),$AG$270,HLOOKUP(INDIRECT(ADDRESS(2,COLUMN())),OFFSET($AT$2,0,0,ROW()-1,40),ROW()-1,FALSE))</f>
        <v>48</v>
      </c>
      <c r="AH222">
        <f ca="1">IF(AND($B$294=1,LEN($AH$270)&gt;0),$AH$270,HLOOKUP(INDIRECT(ADDRESS(2,COLUMN())),OFFSET($AT$2,0,0,ROW()-1,40),ROW()-1,FALSE))</f>
        <v>46</v>
      </c>
      <c r="AI222">
        <f ca="1">IF(AND($B$294=1,LEN($AI$270)&gt;0),$AI$270,HLOOKUP(INDIRECT(ADDRESS(2,COLUMN())),OFFSET($AT$2,0,0,ROW()-1,40),ROW()-1,FALSE))</f>
        <v>42</v>
      </c>
      <c r="AJ222">
        <f ca="1">IF(AND($B$294=1,LEN($AJ$270)&gt;0),$AJ$270,HLOOKUP(INDIRECT(ADDRESS(2,COLUMN())),OFFSET($AT$2,0,0,ROW()-1,40),ROW()-1,FALSE))</f>
        <v>40</v>
      </c>
      <c r="AK222">
        <f ca="1">IF(AND($B$294=1,LEN($AK$270)&gt;0),$AK$270,HLOOKUP(INDIRECT(ADDRESS(2,COLUMN())),OFFSET($AT$2,0,0,ROW()-1,40),ROW()-1,FALSE))</f>
        <v>53</v>
      </c>
      <c r="AL222">
        <f ca="1">IF(AND($B$294=1,LEN($AL$270)&gt;0),$AL$270,HLOOKUP(INDIRECT(ADDRESS(2,COLUMN())),OFFSET($AT$2,0,0,ROW()-1,40),ROW()-1,FALSE))</f>
        <v>49</v>
      </c>
      <c r="AM222">
        <f ca="1">IF(AND($B$294=1,LEN($AM$270)&gt;0),$AM$270,HLOOKUP(INDIRECT(ADDRESS(2,COLUMN())),OFFSET($AT$2,0,0,ROW()-1,40),ROW()-1,FALSE))</f>
        <v>53</v>
      </c>
      <c r="AN222">
        <f ca="1">IF(AND($B$294=1,LEN($AN$270)&gt;0),$AN$270,HLOOKUP(INDIRECT(ADDRESS(2,COLUMN())),OFFSET($AT$2,0,0,ROW()-1,40),ROW()-1,FALSE))</f>
        <v>87</v>
      </c>
      <c r="AO222">
        <f ca="1">IF(AND($B$294=1,LEN($AO$270)&gt;0),$AO$270,HLOOKUP(INDIRECT(ADDRESS(2,COLUMN())),OFFSET($AT$2,0,0,ROW()-1,40),ROW()-1,FALSE))</f>
        <v>81</v>
      </c>
      <c r="AP222">
        <f ca="1">IF(AND($B$294=1,LEN($AP$270)&gt;0),$AP$270,HLOOKUP(INDIRECT(ADDRESS(2,COLUMN())),OFFSET($AT$2,0,0,ROW()-1,40),ROW()-1,FALSE))</f>
        <v>79</v>
      </c>
      <c r="AQ222">
        <f ca="1">IF(AND($B$294=1,LEN($AQ$270)&gt;0),$AQ$270,HLOOKUP(INDIRECT(ADDRESS(2,COLUMN())),OFFSET($AT$2,0,0,ROW()-1,40),ROW()-1,FALSE))</f>
        <v>32</v>
      </c>
      <c r="AR222">
        <f ca="1">IF(AND($B$294=1,LEN($AR$270)&gt;0),$AR$270,HLOOKUP(INDIRECT(ADDRESS(2,COLUMN())),OFFSET($AT$2,0,0,ROW()-1,40),ROW()-1,FALSE))</f>
        <v>23</v>
      </c>
      <c r="AS222">
        <f ca="1">IF(AND($B$294=1,LEN($AS$270)&gt;0),$AS$270,HLOOKUP(INDIRECT(ADDRESS(2,COLUMN())),OFFSET($AT$2,0,0,ROW()-1,40),ROW()-1,FALSE))</f>
        <v>29</v>
      </c>
      <c r="AT222" t="str">
        <f>""</f>
        <v/>
      </c>
      <c r="AU222" t="str">
        <f>""</f>
        <v/>
      </c>
      <c r="AV222" t="str">
        <f>""</f>
        <v/>
      </c>
      <c r="AW222" t="str">
        <f>""</f>
        <v/>
      </c>
      <c r="AX222" t="str">
        <f>""</f>
        <v/>
      </c>
      <c r="AY222" t="str">
        <f>""</f>
        <v/>
      </c>
      <c r="AZ222" t="str">
        <f>""</f>
        <v/>
      </c>
      <c r="BA222" t="str">
        <f>""</f>
        <v/>
      </c>
      <c r="BB222" t="str">
        <f>""</f>
        <v/>
      </c>
      <c r="BC222" t="str">
        <f>""</f>
        <v/>
      </c>
      <c r="BD222">
        <f>120</f>
        <v>120</v>
      </c>
      <c r="BE222">
        <f>92</f>
        <v>92</v>
      </c>
      <c r="BF222">
        <f>78</f>
        <v>78</v>
      </c>
      <c r="BG222">
        <f>82</f>
        <v>82</v>
      </c>
      <c r="BH222">
        <f>73</f>
        <v>73</v>
      </c>
      <c r="BI222">
        <f>61</f>
        <v>61</v>
      </c>
      <c r="BJ222">
        <f>64</f>
        <v>64</v>
      </c>
      <c r="BK222">
        <f>76</f>
        <v>76</v>
      </c>
      <c r="BL222">
        <f>75</f>
        <v>75</v>
      </c>
      <c r="BM222">
        <f>61</f>
        <v>61</v>
      </c>
      <c r="BN222">
        <f>53</f>
        <v>53</v>
      </c>
      <c r="BO222">
        <f>69</f>
        <v>69</v>
      </c>
      <c r="BP222">
        <f>69</f>
        <v>69</v>
      </c>
      <c r="BQ222">
        <f>55</f>
        <v>55</v>
      </c>
      <c r="BR222">
        <f>51</f>
        <v>51</v>
      </c>
      <c r="BS222">
        <f>48</f>
        <v>48</v>
      </c>
      <c r="BT222">
        <f>48</f>
        <v>48</v>
      </c>
      <c r="BU222">
        <f>48</f>
        <v>48</v>
      </c>
      <c r="BV222">
        <f>46</f>
        <v>46</v>
      </c>
      <c r="BW222">
        <f>42</f>
        <v>42</v>
      </c>
      <c r="BX222">
        <f>40</f>
        <v>40</v>
      </c>
      <c r="BY222">
        <f>53</f>
        <v>53</v>
      </c>
      <c r="BZ222">
        <f>49</f>
        <v>49</v>
      </c>
      <c r="CA222">
        <f>53</f>
        <v>53</v>
      </c>
      <c r="CB222">
        <f>87</f>
        <v>87</v>
      </c>
      <c r="CC222">
        <f>81</f>
        <v>81</v>
      </c>
      <c r="CD222">
        <f>79</f>
        <v>79</v>
      </c>
      <c r="CE222">
        <f>32</f>
        <v>32</v>
      </c>
      <c r="CF222">
        <f>23</f>
        <v>23</v>
      </c>
      <c r="CG222">
        <f>29</f>
        <v>29</v>
      </c>
    </row>
    <row r="223" spans="1:85" x14ac:dyDescent="0.25">
      <c r="A223" t="str">
        <f>"    Volvo - Mack"</f>
        <v xml:space="preserve">    Volvo - Mack</v>
      </c>
      <c r="B223" t="str">
        <f>""</f>
        <v/>
      </c>
      <c r="E223" t="str">
        <f t="shared" si="17"/>
        <v>Expression</v>
      </c>
      <c r="F223" t="str">
        <f ca="1">IF(AND($B$294=1,LEN($F$244) * LEN($F$263)&gt;0),$F$244+$F$263,HLOOKUP(INDIRECT(ADDRESS(2,COLUMN())),OFFSET($AT$2,0,0,ROW()-1,40),ROW()-1,FALSE))</f>
        <v/>
      </c>
      <c r="G223" t="str">
        <f ca="1">IF(AND($B$294=1,LEN($G$244) * LEN($G$263)&gt;0),$G$244+$G$263,HLOOKUP(INDIRECT(ADDRESS(2,COLUMN())),OFFSET($AT$2,0,0,ROW()-1,40),ROW()-1,FALSE))</f>
        <v/>
      </c>
      <c r="H223" t="str">
        <f ca="1">IF(AND($B$294=1,LEN($H$244) * LEN($H$263)&gt;0),$H$244+$H$263,HLOOKUP(INDIRECT(ADDRESS(2,COLUMN())),OFFSET($AT$2,0,0,ROW()-1,40),ROW()-1,FALSE))</f>
        <v/>
      </c>
      <c r="I223" t="str">
        <f ca="1">IF(AND($B$294=1,LEN($I$244) * LEN($I$263)&gt;0),$I$244+$I$263,HLOOKUP(INDIRECT(ADDRESS(2,COLUMN())),OFFSET($AT$2,0,0,ROW()-1,40),ROW()-1,FALSE))</f>
        <v/>
      </c>
      <c r="J223" t="str">
        <f ca="1">IF(AND($B$294=1,LEN($J$244) * LEN($J$263)&gt;0),$J$244+$J$263,HLOOKUP(INDIRECT(ADDRESS(2,COLUMN())),OFFSET($AT$2,0,0,ROW()-1,40),ROW()-1,FALSE))</f>
        <v/>
      </c>
      <c r="K223" t="str">
        <f ca="1">IF(AND($B$294=1,LEN($K$244) * LEN($K$263)&gt;0),$K$244+$K$263,HLOOKUP(INDIRECT(ADDRESS(2,COLUMN())),OFFSET($AT$2,0,0,ROW()-1,40),ROW()-1,FALSE))</f>
        <v/>
      </c>
      <c r="L223" t="str">
        <f ca="1">IF(AND($B$294=1,LEN($L$244) * LEN($L$263)&gt;0),$L$244+$L$263,HLOOKUP(INDIRECT(ADDRESS(2,COLUMN())),OFFSET($AT$2,0,0,ROW()-1,40),ROW()-1,FALSE))</f>
        <v/>
      </c>
      <c r="M223" t="str">
        <f ca="1">IF(AND($B$294=1,LEN($M$244) * LEN($M$263)&gt;0),$M$244+$M$263,HLOOKUP(INDIRECT(ADDRESS(2,COLUMN())),OFFSET($AT$2,0,0,ROW()-1,40),ROW()-1,FALSE))</f>
        <v/>
      </c>
      <c r="N223" t="str">
        <f ca="1">IF(AND($B$294=1,LEN($N$244) * LEN($N$263)&gt;0),$N$244+$N$263,HLOOKUP(INDIRECT(ADDRESS(2,COLUMN())),OFFSET($AT$2,0,0,ROW()-1,40),ROW()-1,FALSE))</f>
        <v/>
      </c>
      <c r="O223" t="str">
        <f ca="1">IF(AND($B$294=1,LEN($O$244) * LEN($O$263)&gt;0),$O$244+$O$263,HLOOKUP(INDIRECT(ADDRESS(2,COLUMN())),OFFSET($AT$2,0,0,ROW()-1,40),ROW()-1,FALSE))</f>
        <v/>
      </c>
      <c r="P223" t="str">
        <f ca="1">IF(AND($B$294=1,LEN($P$244) * LEN($P$263)&gt;0),$P$244+$P$263,HLOOKUP(INDIRECT(ADDRESS(2,COLUMN())),OFFSET($AT$2,0,0,ROW()-1,40),ROW()-1,FALSE))</f>
        <v/>
      </c>
      <c r="Q223" t="str">
        <f ca="1">IF(AND($B$294=1,LEN($Q$244) * LEN($Q$263)&gt;0),$Q$244+$Q$263,HLOOKUP(INDIRECT(ADDRESS(2,COLUMN())),OFFSET($AT$2,0,0,ROW()-1,40),ROW()-1,FALSE))</f>
        <v/>
      </c>
      <c r="R223" t="str">
        <f ca="1">IF(AND($B$294=1,LEN($R$244) * LEN($R$263)&gt;0),$R$244+$R$263,HLOOKUP(INDIRECT(ADDRESS(2,COLUMN())),OFFSET($AT$2,0,0,ROW()-1,40),ROW()-1,FALSE))</f>
        <v/>
      </c>
      <c r="S223" t="str">
        <f ca="1">IF(AND($B$294=1,LEN($S$244) * LEN($S$263)&gt;0),$S$244+$S$263,HLOOKUP(INDIRECT(ADDRESS(2,COLUMN())),OFFSET($AT$2,0,0,ROW()-1,40),ROW()-1,FALSE))</f>
        <v/>
      </c>
      <c r="T223" t="str">
        <f ca="1">IF(AND($B$294=1,LEN($T$244) * LEN($T$263)&gt;0),$T$244+$T$263,HLOOKUP(INDIRECT(ADDRESS(2,COLUMN())),OFFSET($AT$2,0,0,ROW()-1,40),ROW()-1,FALSE))</f>
        <v/>
      </c>
      <c r="U223" t="str">
        <f ca="1">IF(AND($B$294=1,LEN($U$244) * LEN($U$263)&gt;0),$U$244+$U$263,HLOOKUP(INDIRECT(ADDRESS(2,COLUMN())),OFFSET($AT$2,0,0,ROW()-1,40),ROW()-1,FALSE))</f>
        <v/>
      </c>
      <c r="V223" t="str">
        <f ca="1">IF(AND($B$294=1,LEN($V$244) * LEN($V$263)&gt;0),$V$244+$V$263,HLOOKUP(INDIRECT(ADDRESS(2,COLUMN())),OFFSET($AT$2,0,0,ROW()-1,40),ROW()-1,FALSE))</f>
        <v/>
      </c>
      <c r="W223" t="str">
        <f ca="1">IF(AND($B$294=1,LEN($W$244) * LEN($W$263)&gt;0),$W$244+$W$263,HLOOKUP(INDIRECT(ADDRESS(2,COLUMN())),OFFSET($AT$2,0,0,ROW()-1,40),ROW()-1,FALSE))</f>
        <v/>
      </c>
      <c r="X223" t="str">
        <f ca="1">IF(AND($B$294=1,LEN($X$244) * LEN($X$263)&gt;0),$X$244+$X$263,HLOOKUP(INDIRECT(ADDRESS(2,COLUMN())),OFFSET($AT$2,0,0,ROW()-1,40),ROW()-1,FALSE))</f>
        <v/>
      </c>
      <c r="Y223" t="str">
        <f ca="1">IF(AND($B$294=1,LEN($Y$244) * LEN($Y$263)&gt;0),$Y$244+$Y$263,HLOOKUP(INDIRECT(ADDRESS(2,COLUMN())),OFFSET($AT$2,0,0,ROW()-1,40),ROW()-1,FALSE))</f>
        <v/>
      </c>
      <c r="Z223" t="str">
        <f ca="1">IF(AND($B$294=1,LEN($Z$244) * LEN($Z$263)&gt;0),$Z$244+$Z$263,HLOOKUP(INDIRECT(ADDRESS(2,COLUMN())),OFFSET($AT$2,0,0,ROW()-1,40),ROW()-1,FALSE))</f>
        <v/>
      </c>
      <c r="AA223" t="str">
        <f ca="1">IF(AND($B$294=1,LEN($AA$244) * LEN($AA$263)&gt;0),$AA$244+$AA$263,HLOOKUP(INDIRECT(ADDRESS(2,COLUMN())),OFFSET($AT$2,0,0,ROW()-1,40),ROW()-1,FALSE))</f>
        <v/>
      </c>
      <c r="AB223" t="str">
        <f ca="1">IF(AND($B$294=1,LEN($AB$244) * LEN($AB$263)&gt;0),$AB$244+$AB$263,HLOOKUP(INDIRECT(ADDRESS(2,COLUMN())),OFFSET($AT$2,0,0,ROW()-1,40),ROW()-1,FALSE))</f>
        <v/>
      </c>
      <c r="AC223" t="str">
        <f ca="1">IF(AND($B$294=1,LEN($AC$244) * LEN($AC$263)&gt;0),$AC$244+$AC$263,HLOOKUP(INDIRECT(ADDRESS(2,COLUMN())),OFFSET($AT$2,0,0,ROW()-1,40),ROW()-1,FALSE))</f>
        <v/>
      </c>
      <c r="AD223" t="str">
        <f ca="1">IF(AND($B$294=1,LEN($AD$244) * LEN($AD$263)&gt;0),$AD$244+$AD$263,HLOOKUP(INDIRECT(ADDRESS(2,COLUMN())),OFFSET($AT$2,0,0,ROW()-1,40),ROW()-1,FALSE))</f>
        <v/>
      </c>
      <c r="AE223" t="str">
        <f ca="1">IF(AND($B$294=1,LEN($AE$244) * LEN($AE$263)&gt;0),$AE$244+$AE$263,HLOOKUP(INDIRECT(ADDRESS(2,COLUMN())),OFFSET($AT$2,0,0,ROW()-1,40),ROW()-1,FALSE))</f>
        <v/>
      </c>
      <c r="AF223" t="str">
        <f ca="1">IF(AND($B$294=1,LEN($AF$244) * LEN($AF$263)&gt;0),$AF$244+$AF$263,HLOOKUP(INDIRECT(ADDRESS(2,COLUMN())),OFFSET($AT$2,0,0,ROW()-1,40),ROW()-1,FALSE))</f>
        <v/>
      </c>
      <c r="AG223" t="str">
        <f ca="1">IF(AND($B$294=1,LEN($AG$244) * LEN($AG$263)&gt;0),$AG$244+$AG$263,HLOOKUP(INDIRECT(ADDRESS(2,COLUMN())),OFFSET($AT$2,0,0,ROW()-1,40),ROW()-1,FALSE))</f>
        <v/>
      </c>
      <c r="AH223" t="str">
        <f ca="1">IF(AND($B$294=1,LEN($AH$244) * LEN($AH$263)&gt;0),$AH$244+$AH$263,HLOOKUP(INDIRECT(ADDRESS(2,COLUMN())),OFFSET($AT$2,0,0,ROW()-1,40),ROW()-1,FALSE))</f>
        <v/>
      </c>
      <c r="AI223" t="str">
        <f ca="1">IF(AND($B$294=1,LEN($AI$244) * LEN($AI$263)&gt;0),$AI$244+$AI$263,HLOOKUP(INDIRECT(ADDRESS(2,COLUMN())),OFFSET($AT$2,0,0,ROW()-1,40),ROW()-1,FALSE))</f>
        <v/>
      </c>
      <c r="AJ223" t="str">
        <f ca="1">IF(AND($B$294=1,LEN($AJ$244) * LEN($AJ$263)&gt;0),$AJ$244+$AJ$263,HLOOKUP(INDIRECT(ADDRESS(2,COLUMN())),OFFSET($AT$2,0,0,ROW()-1,40),ROW()-1,FALSE))</f>
        <v/>
      </c>
      <c r="AK223" t="str">
        <f ca="1">IF(AND($B$294=1,LEN($AK$244) * LEN($AK$263)&gt;0),$AK$244+$AK$263,HLOOKUP(INDIRECT(ADDRESS(2,COLUMN())),OFFSET($AT$2,0,0,ROW()-1,40),ROW()-1,FALSE))</f>
        <v/>
      </c>
      <c r="AL223" t="str">
        <f ca="1">IF(AND($B$294=1,LEN($AL$244) * LEN($AL$263)&gt;0),$AL$244+$AL$263,HLOOKUP(INDIRECT(ADDRESS(2,COLUMN())),OFFSET($AT$2,0,0,ROW()-1,40),ROW()-1,FALSE))</f>
        <v/>
      </c>
      <c r="AM223" t="str">
        <f ca="1">IF(AND($B$294=1,LEN($AM$244) * LEN($AM$263)&gt;0),$AM$244+$AM$263,HLOOKUP(INDIRECT(ADDRESS(2,COLUMN())),OFFSET($AT$2,0,0,ROW()-1,40),ROW()-1,FALSE))</f>
        <v/>
      </c>
      <c r="AN223" t="str">
        <f ca="1">IF(AND($B$294=1,LEN($AN$244) * LEN($AN$263)&gt;0),$AN$244+$AN$263,HLOOKUP(INDIRECT(ADDRESS(2,COLUMN())),OFFSET($AT$2,0,0,ROW()-1,40),ROW()-1,FALSE))</f>
        <v/>
      </c>
      <c r="AO223" t="str">
        <f ca="1">IF(AND($B$294=1,LEN($AO$244) * LEN($AO$263)&gt;0),$AO$244+$AO$263,HLOOKUP(INDIRECT(ADDRESS(2,COLUMN())),OFFSET($AT$2,0,0,ROW()-1,40),ROW()-1,FALSE))</f>
        <v/>
      </c>
      <c r="AP223" t="str">
        <f ca="1">IF(AND($B$294=1,LEN($AP$244) * LEN($AP$263)&gt;0),$AP$244+$AP$263,HLOOKUP(INDIRECT(ADDRESS(2,COLUMN())),OFFSET($AT$2,0,0,ROW()-1,40),ROW()-1,FALSE))</f>
        <v/>
      </c>
      <c r="AQ223" t="str">
        <f ca="1">IF(AND($B$294=1,LEN($AQ$244) * LEN($AQ$263)&gt;0),$AQ$244+$AQ$263,HLOOKUP(INDIRECT(ADDRESS(2,COLUMN())),OFFSET($AT$2,0,0,ROW()-1,40),ROW()-1,FALSE))</f>
        <v/>
      </c>
      <c r="AR223" t="str">
        <f ca="1">IF(AND($B$294=1,LEN($AR$244) * LEN($AR$263)&gt;0),$AR$244+$AR$263,HLOOKUP(INDIRECT(ADDRESS(2,COLUMN())),OFFSET($AT$2,0,0,ROW()-1,40),ROW()-1,FALSE))</f>
        <v/>
      </c>
      <c r="AS223" t="str">
        <f ca="1">IF(AND($B$294=1,LEN($AS$244) * LEN($AS$263)&gt;0),$AS$244+$AS$263,HLOOKUP(INDIRECT(ADDRESS(2,COLUMN())),OFFSET($AT$2,0,0,ROW()-1,40),ROW()-1,FALSE))</f>
        <v/>
      </c>
      <c r="AT223" t="str">
        <f>""</f>
        <v/>
      </c>
      <c r="AU223" t="str">
        <f>""</f>
        <v/>
      </c>
      <c r="AV223" t="str">
        <f>""</f>
        <v/>
      </c>
      <c r="AW223" t="str">
        <f>""</f>
        <v/>
      </c>
      <c r="AX223" t="str">
        <f>""</f>
        <v/>
      </c>
      <c r="AY223" t="str">
        <f>""</f>
        <v/>
      </c>
      <c r="AZ223" t="str">
        <f>""</f>
        <v/>
      </c>
      <c r="BA223" t="str">
        <f>""</f>
        <v/>
      </c>
      <c r="BB223" t="str">
        <f>""</f>
        <v/>
      </c>
      <c r="BC223" t="str">
        <f>""</f>
        <v/>
      </c>
      <c r="BD223" t="str">
        <f>""</f>
        <v/>
      </c>
      <c r="BE223" t="str">
        <f>""</f>
        <v/>
      </c>
      <c r="BF223" t="str">
        <f>""</f>
        <v/>
      </c>
      <c r="BG223" t="str">
        <f>""</f>
        <v/>
      </c>
      <c r="BH223" t="str">
        <f>""</f>
        <v/>
      </c>
      <c r="BI223" t="str">
        <f>""</f>
        <v/>
      </c>
      <c r="BJ223" t="str">
        <f>""</f>
        <v/>
      </c>
      <c r="BK223" t="str">
        <f>""</f>
        <v/>
      </c>
      <c r="BL223" t="str">
        <f>""</f>
        <v/>
      </c>
      <c r="BM223" t="str">
        <f>""</f>
        <v/>
      </c>
      <c r="BN223" t="str">
        <f>""</f>
        <v/>
      </c>
      <c r="BO223" t="str">
        <f>""</f>
        <v/>
      </c>
      <c r="BP223" t="str">
        <f>""</f>
        <v/>
      </c>
      <c r="BQ223" t="str">
        <f>""</f>
        <v/>
      </c>
      <c r="BR223" t="str">
        <f>""</f>
        <v/>
      </c>
      <c r="BS223" t="str">
        <f>""</f>
        <v/>
      </c>
      <c r="BT223" t="str">
        <f>""</f>
        <v/>
      </c>
      <c r="BU223" t="str">
        <f>""</f>
        <v/>
      </c>
      <c r="BV223" t="str">
        <f>""</f>
        <v/>
      </c>
      <c r="BW223" t="str">
        <f>""</f>
        <v/>
      </c>
      <c r="BX223" t="str">
        <f>""</f>
        <v/>
      </c>
      <c r="BY223" t="str">
        <f>""</f>
        <v/>
      </c>
      <c r="BZ223" t="str">
        <f>""</f>
        <v/>
      </c>
      <c r="CA223" t="str">
        <f>""</f>
        <v/>
      </c>
      <c r="CB223" t="str">
        <f>""</f>
        <v/>
      </c>
      <c r="CC223" t="str">
        <f>""</f>
        <v/>
      </c>
      <c r="CD223" t="str">
        <f>""</f>
        <v/>
      </c>
      <c r="CE223" t="str">
        <f>""</f>
        <v/>
      </c>
      <c r="CF223" t="str">
        <f>""</f>
        <v/>
      </c>
      <c r="CG223" t="str">
        <f>""</f>
        <v/>
      </c>
    </row>
    <row r="224" spans="1:85" x14ac:dyDescent="0.25">
      <c r="A224" t="str">
        <f>"    Volvo - UD Truck"</f>
        <v xml:space="preserve">    Volvo - UD Truck</v>
      </c>
      <c r="B224" t="str">
        <f>""</f>
        <v/>
      </c>
      <c r="E224" t="str">
        <f t="shared" si="17"/>
        <v>Expression</v>
      </c>
      <c r="F224" t="str">
        <f ca="1">IF(AND($B$294=1,LEN($F$245)&gt;0),$F$245,HLOOKUP(INDIRECT(ADDRESS(2,COLUMN())),OFFSET($AT$2,0,0,ROW()-1,40),ROW()-1,FALSE))</f>
        <v/>
      </c>
      <c r="G224" t="str">
        <f ca="1">IF(AND($B$294=1,LEN($G$245)&gt;0),$G$245,HLOOKUP(INDIRECT(ADDRESS(2,COLUMN())),OFFSET($AT$2,0,0,ROW()-1,40),ROW()-1,FALSE))</f>
        <v/>
      </c>
      <c r="H224" t="str">
        <f ca="1">IF(AND($B$294=1,LEN($H$245)&gt;0),$H$245,HLOOKUP(INDIRECT(ADDRESS(2,COLUMN())),OFFSET($AT$2,0,0,ROW()-1,40),ROW()-1,FALSE))</f>
        <v/>
      </c>
      <c r="I224" t="str">
        <f ca="1">IF(AND($B$294=1,LEN($I$245)&gt;0),$I$245,HLOOKUP(INDIRECT(ADDRESS(2,COLUMN())),OFFSET($AT$2,0,0,ROW()-1,40),ROW()-1,FALSE))</f>
        <v/>
      </c>
      <c r="J224" t="str">
        <f ca="1">IF(AND($B$294=1,LEN($J$245)&gt;0),$J$245,HLOOKUP(INDIRECT(ADDRESS(2,COLUMN())),OFFSET($AT$2,0,0,ROW()-1,40),ROW()-1,FALSE))</f>
        <v/>
      </c>
      <c r="K224" t="str">
        <f ca="1">IF(AND($B$294=1,LEN($K$245)&gt;0),$K$245,HLOOKUP(INDIRECT(ADDRESS(2,COLUMN())),OFFSET($AT$2,0,0,ROW()-1,40),ROW()-1,FALSE))</f>
        <v/>
      </c>
      <c r="L224" t="str">
        <f ca="1">IF(AND($B$294=1,LEN($L$245)&gt;0),$L$245,HLOOKUP(INDIRECT(ADDRESS(2,COLUMN())),OFFSET($AT$2,0,0,ROW()-1,40),ROW()-1,FALSE))</f>
        <v/>
      </c>
      <c r="M224" t="str">
        <f ca="1">IF(AND($B$294=1,LEN($M$245)&gt;0),$M$245,HLOOKUP(INDIRECT(ADDRESS(2,COLUMN())),OFFSET($AT$2,0,0,ROW()-1,40),ROW()-1,FALSE))</f>
        <v/>
      </c>
      <c r="N224" t="str">
        <f ca="1">IF(AND($B$294=1,LEN($N$245)&gt;0),$N$245,HLOOKUP(INDIRECT(ADDRESS(2,COLUMN())),OFFSET($AT$2,0,0,ROW()-1,40),ROW()-1,FALSE))</f>
        <v/>
      </c>
      <c r="O224" t="str">
        <f ca="1">IF(AND($B$294=1,LEN($O$245)&gt;0),$O$245,HLOOKUP(INDIRECT(ADDRESS(2,COLUMN())),OFFSET($AT$2,0,0,ROW()-1,40),ROW()-1,FALSE))</f>
        <v/>
      </c>
      <c r="P224" t="str">
        <f ca="1">IF(AND($B$294=1,LEN($P$245)&gt;0),$P$245,HLOOKUP(INDIRECT(ADDRESS(2,COLUMN())),OFFSET($AT$2,0,0,ROW()-1,40),ROW()-1,FALSE))</f>
        <v/>
      </c>
      <c r="Q224" t="str">
        <f ca="1">IF(AND($B$294=1,LEN($Q$245)&gt;0),$Q$245,HLOOKUP(INDIRECT(ADDRESS(2,COLUMN())),OFFSET($AT$2,0,0,ROW()-1,40),ROW()-1,FALSE))</f>
        <v/>
      </c>
      <c r="R224" t="str">
        <f ca="1">IF(AND($B$294=1,LEN($R$245)&gt;0),$R$245,HLOOKUP(INDIRECT(ADDRESS(2,COLUMN())),OFFSET($AT$2,0,0,ROW()-1,40),ROW()-1,FALSE))</f>
        <v/>
      </c>
      <c r="S224" t="str">
        <f ca="1">IF(AND($B$294=1,LEN($S$245)&gt;0),$S$245,HLOOKUP(INDIRECT(ADDRESS(2,COLUMN())),OFFSET($AT$2,0,0,ROW()-1,40),ROW()-1,FALSE))</f>
        <v/>
      </c>
      <c r="T224" t="str">
        <f ca="1">IF(AND($B$294=1,LEN($T$245)&gt;0),$T$245,HLOOKUP(INDIRECT(ADDRESS(2,COLUMN())),OFFSET($AT$2,0,0,ROW()-1,40),ROW()-1,FALSE))</f>
        <v/>
      </c>
      <c r="U224" t="str">
        <f ca="1">IF(AND($B$294=1,LEN($U$245)&gt;0),$U$245,HLOOKUP(INDIRECT(ADDRESS(2,COLUMN())),OFFSET($AT$2,0,0,ROW()-1,40),ROW()-1,FALSE))</f>
        <v/>
      </c>
      <c r="V224" t="str">
        <f ca="1">IF(AND($B$294=1,LEN($V$245)&gt;0),$V$245,HLOOKUP(INDIRECT(ADDRESS(2,COLUMN())),OFFSET($AT$2,0,0,ROW()-1,40),ROW()-1,FALSE))</f>
        <v/>
      </c>
      <c r="W224" t="str">
        <f ca="1">IF(AND($B$294=1,LEN($W$245)&gt;0),$W$245,HLOOKUP(INDIRECT(ADDRESS(2,COLUMN())),OFFSET($AT$2,0,0,ROW()-1,40),ROW()-1,FALSE))</f>
        <v/>
      </c>
      <c r="X224" t="str">
        <f ca="1">IF(AND($B$294=1,LEN($X$245)&gt;0),$X$245,HLOOKUP(INDIRECT(ADDRESS(2,COLUMN())),OFFSET($AT$2,0,0,ROW()-1,40),ROW()-1,FALSE))</f>
        <v/>
      </c>
      <c r="Y224" t="str">
        <f ca="1">IF(AND($B$294=1,LEN($Y$245)&gt;0),$Y$245,HLOOKUP(INDIRECT(ADDRESS(2,COLUMN())),OFFSET($AT$2,0,0,ROW()-1,40),ROW()-1,FALSE))</f>
        <v/>
      </c>
      <c r="Z224" t="str">
        <f ca="1">IF(AND($B$294=1,LEN($Z$245)&gt;0),$Z$245,HLOOKUP(INDIRECT(ADDRESS(2,COLUMN())),OFFSET($AT$2,0,0,ROW()-1,40),ROW()-1,FALSE))</f>
        <v/>
      </c>
      <c r="AA224" t="str">
        <f ca="1">IF(AND($B$294=1,LEN($AA$245)&gt;0),$AA$245,HLOOKUP(INDIRECT(ADDRESS(2,COLUMN())),OFFSET($AT$2,0,0,ROW()-1,40),ROW()-1,FALSE))</f>
        <v/>
      </c>
      <c r="AB224" t="str">
        <f ca="1">IF(AND($B$294=1,LEN($AB$245)&gt;0),$AB$245,HLOOKUP(INDIRECT(ADDRESS(2,COLUMN())),OFFSET($AT$2,0,0,ROW()-1,40),ROW()-1,FALSE))</f>
        <v/>
      </c>
      <c r="AC224" t="str">
        <f ca="1">IF(AND($B$294=1,LEN($AC$245)&gt;0),$AC$245,HLOOKUP(INDIRECT(ADDRESS(2,COLUMN())),OFFSET($AT$2,0,0,ROW()-1,40),ROW()-1,FALSE))</f>
        <v/>
      </c>
      <c r="AD224" t="str">
        <f ca="1">IF(AND($B$294=1,LEN($AD$245)&gt;0),$AD$245,HLOOKUP(INDIRECT(ADDRESS(2,COLUMN())),OFFSET($AT$2,0,0,ROW()-1,40),ROW()-1,FALSE))</f>
        <v/>
      </c>
      <c r="AE224" t="str">
        <f ca="1">IF(AND($B$294=1,LEN($AE$245)&gt;0),$AE$245,HLOOKUP(INDIRECT(ADDRESS(2,COLUMN())),OFFSET($AT$2,0,0,ROW()-1,40),ROW()-1,FALSE))</f>
        <v/>
      </c>
      <c r="AF224" t="str">
        <f ca="1">IF(AND($B$294=1,LEN($AF$245)&gt;0),$AF$245,HLOOKUP(INDIRECT(ADDRESS(2,COLUMN())),OFFSET($AT$2,0,0,ROW()-1,40),ROW()-1,FALSE))</f>
        <v/>
      </c>
      <c r="AG224" t="str">
        <f ca="1">IF(AND($B$294=1,LEN($AG$245)&gt;0),$AG$245,HLOOKUP(INDIRECT(ADDRESS(2,COLUMN())),OFFSET($AT$2,0,0,ROW()-1,40),ROW()-1,FALSE))</f>
        <v/>
      </c>
      <c r="AH224" t="str">
        <f ca="1">IF(AND($B$294=1,LEN($AH$245)&gt;0),$AH$245,HLOOKUP(INDIRECT(ADDRESS(2,COLUMN())),OFFSET($AT$2,0,0,ROW()-1,40),ROW()-1,FALSE))</f>
        <v/>
      </c>
      <c r="AI224" t="str">
        <f ca="1">IF(AND($B$294=1,LEN($AI$245)&gt;0),$AI$245,HLOOKUP(INDIRECT(ADDRESS(2,COLUMN())),OFFSET($AT$2,0,0,ROW()-1,40),ROW()-1,FALSE))</f>
        <v/>
      </c>
      <c r="AJ224" t="str">
        <f ca="1">IF(AND($B$294=1,LEN($AJ$245)&gt;0),$AJ$245,HLOOKUP(INDIRECT(ADDRESS(2,COLUMN())),OFFSET($AT$2,0,0,ROW()-1,40),ROW()-1,FALSE))</f>
        <v/>
      </c>
      <c r="AK224" t="str">
        <f ca="1">IF(AND($B$294=1,LEN($AK$245)&gt;0),$AK$245,HLOOKUP(INDIRECT(ADDRESS(2,COLUMN())),OFFSET($AT$2,0,0,ROW()-1,40),ROW()-1,FALSE))</f>
        <v/>
      </c>
      <c r="AL224" t="str">
        <f ca="1">IF(AND($B$294=1,LEN($AL$245)&gt;0),$AL$245,HLOOKUP(INDIRECT(ADDRESS(2,COLUMN())),OFFSET($AT$2,0,0,ROW()-1,40),ROW()-1,FALSE))</f>
        <v/>
      </c>
      <c r="AM224" t="str">
        <f ca="1">IF(AND($B$294=1,LEN($AM$245)&gt;0),$AM$245,HLOOKUP(INDIRECT(ADDRESS(2,COLUMN())),OFFSET($AT$2,0,0,ROW()-1,40),ROW()-1,FALSE))</f>
        <v/>
      </c>
      <c r="AN224" t="str">
        <f ca="1">IF(AND($B$294=1,LEN($AN$245)&gt;0),$AN$245,HLOOKUP(INDIRECT(ADDRESS(2,COLUMN())),OFFSET($AT$2,0,0,ROW()-1,40),ROW()-1,FALSE))</f>
        <v/>
      </c>
      <c r="AO224" t="str">
        <f ca="1">IF(AND($B$294=1,LEN($AO$245)&gt;0),$AO$245,HLOOKUP(INDIRECT(ADDRESS(2,COLUMN())),OFFSET($AT$2,0,0,ROW()-1,40),ROW()-1,FALSE))</f>
        <v/>
      </c>
      <c r="AP224" t="str">
        <f ca="1">IF(AND($B$294=1,LEN($AP$245)&gt;0),$AP$245,HLOOKUP(INDIRECT(ADDRESS(2,COLUMN())),OFFSET($AT$2,0,0,ROW()-1,40),ROW()-1,FALSE))</f>
        <v/>
      </c>
      <c r="AQ224" t="str">
        <f ca="1">IF(AND($B$294=1,LEN($AQ$245)&gt;0),$AQ$245,HLOOKUP(INDIRECT(ADDRESS(2,COLUMN())),OFFSET($AT$2,0,0,ROW()-1,40),ROW()-1,FALSE))</f>
        <v/>
      </c>
      <c r="AR224" t="str">
        <f ca="1">IF(AND($B$294=1,LEN($AR$245)&gt;0),$AR$245,HLOOKUP(INDIRECT(ADDRESS(2,COLUMN())),OFFSET($AT$2,0,0,ROW()-1,40),ROW()-1,FALSE))</f>
        <v/>
      </c>
      <c r="AS224" t="str">
        <f ca="1">IF(AND($B$294=1,LEN($AS$245)&gt;0),$AS$245,HLOOKUP(INDIRECT(ADDRESS(2,COLUMN())),OFFSET($AT$2,0,0,ROW()-1,40),ROW()-1,FALSE))</f>
        <v/>
      </c>
      <c r="AT224" t="str">
        <f>""</f>
        <v/>
      </c>
      <c r="AU224" t="str">
        <f>""</f>
        <v/>
      </c>
      <c r="AV224" t="str">
        <f>""</f>
        <v/>
      </c>
      <c r="AW224" t="str">
        <f>""</f>
        <v/>
      </c>
      <c r="AX224" t="str">
        <f>""</f>
        <v/>
      </c>
      <c r="AY224" t="str">
        <f>""</f>
        <v/>
      </c>
      <c r="AZ224" t="str">
        <f>""</f>
        <v/>
      </c>
      <c r="BA224" t="str">
        <f>""</f>
        <v/>
      </c>
      <c r="BB224" t="str">
        <f>""</f>
        <v/>
      </c>
      <c r="BC224" t="str">
        <f>""</f>
        <v/>
      </c>
      <c r="BD224" t="str">
        <f>""</f>
        <v/>
      </c>
      <c r="BE224" t="str">
        <f>""</f>
        <v/>
      </c>
      <c r="BF224" t="str">
        <f>""</f>
        <v/>
      </c>
      <c r="BG224" t="str">
        <f>""</f>
        <v/>
      </c>
      <c r="BH224" t="str">
        <f>""</f>
        <v/>
      </c>
      <c r="BI224" t="str">
        <f>""</f>
        <v/>
      </c>
      <c r="BJ224" t="str">
        <f>""</f>
        <v/>
      </c>
      <c r="BK224" t="str">
        <f>""</f>
        <v/>
      </c>
      <c r="BL224" t="str">
        <f>""</f>
        <v/>
      </c>
      <c r="BM224" t="str">
        <f>""</f>
        <v/>
      </c>
      <c r="BN224" t="str">
        <f>""</f>
        <v/>
      </c>
      <c r="BO224" t="str">
        <f>""</f>
        <v/>
      </c>
      <c r="BP224" t="str">
        <f>""</f>
        <v/>
      </c>
      <c r="BQ224" t="str">
        <f>""</f>
        <v/>
      </c>
      <c r="BR224" t="str">
        <f>""</f>
        <v/>
      </c>
      <c r="BS224" t="str">
        <f>""</f>
        <v/>
      </c>
      <c r="BT224" t="str">
        <f>""</f>
        <v/>
      </c>
      <c r="BU224" t="str">
        <f>""</f>
        <v/>
      </c>
      <c r="BV224" t="str">
        <f>""</f>
        <v/>
      </c>
      <c r="BW224" t="str">
        <f>""</f>
        <v/>
      </c>
      <c r="BX224" t="str">
        <f>""</f>
        <v/>
      </c>
      <c r="BY224" t="str">
        <f>""</f>
        <v/>
      </c>
      <c r="BZ224" t="str">
        <f>""</f>
        <v/>
      </c>
      <c r="CA224" t="str">
        <f>""</f>
        <v/>
      </c>
      <c r="CB224" t="str">
        <f>""</f>
        <v/>
      </c>
      <c r="CC224" t="str">
        <f>""</f>
        <v/>
      </c>
      <c r="CD224" t="str">
        <f>""</f>
        <v/>
      </c>
      <c r="CE224" t="str">
        <f>""</f>
        <v/>
      </c>
      <c r="CF224" t="str">
        <f>""</f>
        <v/>
      </c>
      <c r="CG224" t="str">
        <f>""</f>
        <v/>
      </c>
    </row>
    <row r="225" spans="1:85" x14ac:dyDescent="0.25">
      <c r="A225" t="str">
        <f>"    Volvo - Volvo Truck"</f>
        <v xml:space="preserve">    Volvo - Volvo Truck</v>
      </c>
      <c r="B225" t="str">
        <f>""</f>
        <v/>
      </c>
      <c r="E225" t="str">
        <f t="shared" si="17"/>
        <v>Expression</v>
      </c>
      <c r="F225" t="str">
        <f ca="1">IF(AND($B$294=1,LEN($F$273)&gt;0),$F$273,HLOOKUP(INDIRECT(ADDRESS(2,COLUMN())),OFFSET($AT$2,0,0,ROW()-1,40),ROW()-1,FALSE))</f>
        <v/>
      </c>
      <c r="G225" t="str">
        <f ca="1">IF(AND($B$294=1,LEN($G$273)&gt;0),$G$273,HLOOKUP(INDIRECT(ADDRESS(2,COLUMN())),OFFSET($AT$2,0,0,ROW()-1,40),ROW()-1,FALSE))</f>
        <v/>
      </c>
      <c r="H225" t="str">
        <f ca="1">IF(AND($B$294=1,LEN($H$273)&gt;0),$H$273,HLOOKUP(INDIRECT(ADDRESS(2,COLUMN())),OFFSET($AT$2,0,0,ROW()-1,40),ROW()-1,FALSE))</f>
        <v/>
      </c>
      <c r="I225" t="str">
        <f ca="1">IF(AND($B$294=1,LEN($I$273)&gt;0),$I$273,HLOOKUP(INDIRECT(ADDRESS(2,COLUMN())),OFFSET($AT$2,0,0,ROW()-1,40),ROW()-1,FALSE))</f>
        <v/>
      </c>
      <c r="J225" t="str">
        <f ca="1">IF(AND($B$294=1,LEN($J$273)&gt;0),$J$273,HLOOKUP(INDIRECT(ADDRESS(2,COLUMN())),OFFSET($AT$2,0,0,ROW()-1,40),ROW()-1,FALSE))</f>
        <v/>
      </c>
      <c r="K225" t="str">
        <f ca="1">IF(AND($B$294=1,LEN($K$273)&gt;0),$K$273,HLOOKUP(INDIRECT(ADDRESS(2,COLUMN())),OFFSET($AT$2,0,0,ROW()-1,40),ROW()-1,FALSE))</f>
        <v/>
      </c>
      <c r="L225" t="str">
        <f ca="1">IF(AND($B$294=1,LEN($L$273)&gt;0),$L$273,HLOOKUP(INDIRECT(ADDRESS(2,COLUMN())),OFFSET($AT$2,0,0,ROW()-1,40),ROW()-1,FALSE))</f>
        <v/>
      </c>
      <c r="M225" t="str">
        <f ca="1">IF(AND($B$294=1,LEN($M$273)&gt;0),$M$273,HLOOKUP(INDIRECT(ADDRESS(2,COLUMN())),OFFSET($AT$2,0,0,ROW()-1,40),ROW()-1,FALSE))</f>
        <v/>
      </c>
      <c r="N225" t="str">
        <f ca="1">IF(AND($B$294=1,LEN($N$273)&gt;0),$N$273,HLOOKUP(INDIRECT(ADDRESS(2,COLUMN())),OFFSET($AT$2,0,0,ROW()-1,40),ROW()-1,FALSE))</f>
        <v/>
      </c>
      <c r="O225" t="str">
        <f ca="1">IF(AND($B$294=1,LEN($O$273)&gt;0),$O$273,HLOOKUP(INDIRECT(ADDRESS(2,COLUMN())),OFFSET($AT$2,0,0,ROW()-1,40),ROW()-1,FALSE))</f>
        <v/>
      </c>
      <c r="P225" t="str">
        <f ca="1">IF(AND($B$294=1,LEN($P$273)&gt;0),$P$273,HLOOKUP(INDIRECT(ADDRESS(2,COLUMN())),OFFSET($AT$2,0,0,ROW()-1,40),ROW()-1,FALSE))</f>
        <v/>
      </c>
      <c r="Q225" t="str">
        <f ca="1">IF(AND($B$294=1,LEN($Q$273)&gt;0),$Q$273,HLOOKUP(INDIRECT(ADDRESS(2,COLUMN())),OFFSET($AT$2,0,0,ROW()-1,40),ROW()-1,FALSE))</f>
        <v/>
      </c>
      <c r="R225" t="str">
        <f ca="1">IF(AND($B$294=1,LEN($R$273)&gt;0),$R$273,HLOOKUP(INDIRECT(ADDRESS(2,COLUMN())),OFFSET($AT$2,0,0,ROW()-1,40),ROW()-1,FALSE))</f>
        <v/>
      </c>
      <c r="S225" t="str">
        <f ca="1">IF(AND($B$294=1,LEN($S$273)&gt;0),$S$273,HLOOKUP(INDIRECT(ADDRESS(2,COLUMN())),OFFSET($AT$2,0,0,ROW()-1,40),ROW()-1,FALSE))</f>
        <v/>
      </c>
      <c r="T225" t="str">
        <f ca="1">IF(AND($B$294=1,LEN($T$273)&gt;0),$T$273,HLOOKUP(INDIRECT(ADDRESS(2,COLUMN())),OFFSET($AT$2,0,0,ROW()-1,40),ROW()-1,FALSE))</f>
        <v/>
      </c>
      <c r="U225" t="str">
        <f ca="1">IF(AND($B$294=1,LEN($U$273)&gt;0),$U$273,HLOOKUP(INDIRECT(ADDRESS(2,COLUMN())),OFFSET($AT$2,0,0,ROW()-1,40),ROW()-1,FALSE))</f>
        <v/>
      </c>
      <c r="V225" t="str">
        <f ca="1">IF(AND($B$294=1,LEN($V$273)&gt;0),$V$273,HLOOKUP(INDIRECT(ADDRESS(2,COLUMN())),OFFSET($AT$2,0,0,ROW()-1,40),ROW()-1,FALSE))</f>
        <v/>
      </c>
      <c r="W225" t="str">
        <f ca="1">IF(AND($B$294=1,LEN($W$273)&gt;0),$W$273,HLOOKUP(INDIRECT(ADDRESS(2,COLUMN())),OFFSET($AT$2,0,0,ROW()-1,40),ROW()-1,FALSE))</f>
        <v/>
      </c>
      <c r="X225" t="str">
        <f ca="1">IF(AND($B$294=1,LEN($X$273)&gt;0),$X$273,HLOOKUP(INDIRECT(ADDRESS(2,COLUMN())),OFFSET($AT$2,0,0,ROW()-1,40),ROW()-1,FALSE))</f>
        <v/>
      </c>
      <c r="Y225" t="str">
        <f ca="1">IF(AND($B$294=1,LEN($Y$273)&gt;0),$Y$273,HLOOKUP(INDIRECT(ADDRESS(2,COLUMN())),OFFSET($AT$2,0,0,ROW()-1,40),ROW()-1,FALSE))</f>
        <v/>
      </c>
      <c r="Z225" t="str">
        <f ca="1">IF(AND($B$294=1,LEN($Z$273)&gt;0),$Z$273,HLOOKUP(INDIRECT(ADDRESS(2,COLUMN())),OFFSET($AT$2,0,0,ROW()-1,40),ROW()-1,FALSE))</f>
        <v/>
      </c>
      <c r="AA225" t="str">
        <f ca="1">IF(AND($B$294=1,LEN($AA$273)&gt;0),$AA$273,HLOOKUP(INDIRECT(ADDRESS(2,COLUMN())),OFFSET($AT$2,0,0,ROW()-1,40),ROW()-1,FALSE))</f>
        <v/>
      </c>
      <c r="AB225" t="str">
        <f ca="1">IF(AND($B$294=1,LEN($AB$273)&gt;0),$AB$273,HLOOKUP(INDIRECT(ADDRESS(2,COLUMN())),OFFSET($AT$2,0,0,ROW()-1,40),ROW()-1,FALSE))</f>
        <v/>
      </c>
      <c r="AC225" t="str">
        <f ca="1">IF(AND($B$294=1,LEN($AC$273)&gt;0),$AC$273,HLOOKUP(INDIRECT(ADDRESS(2,COLUMN())),OFFSET($AT$2,0,0,ROW()-1,40),ROW()-1,FALSE))</f>
        <v/>
      </c>
      <c r="AD225" t="str">
        <f ca="1">IF(AND($B$294=1,LEN($AD$273)&gt;0),$AD$273,HLOOKUP(INDIRECT(ADDRESS(2,COLUMN())),OFFSET($AT$2,0,0,ROW()-1,40),ROW()-1,FALSE))</f>
        <v/>
      </c>
      <c r="AE225" t="str">
        <f ca="1">IF(AND($B$294=1,LEN($AE$273)&gt;0),$AE$273,HLOOKUP(INDIRECT(ADDRESS(2,COLUMN())),OFFSET($AT$2,0,0,ROW()-1,40),ROW()-1,FALSE))</f>
        <v/>
      </c>
      <c r="AF225" t="str">
        <f ca="1">IF(AND($B$294=1,LEN($AF$273)&gt;0),$AF$273,HLOOKUP(INDIRECT(ADDRESS(2,COLUMN())),OFFSET($AT$2,0,0,ROW()-1,40),ROW()-1,FALSE))</f>
        <v/>
      </c>
      <c r="AG225" t="str">
        <f ca="1">IF(AND($B$294=1,LEN($AG$273)&gt;0),$AG$273,HLOOKUP(INDIRECT(ADDRESS(2,COLUMN())),OFFSET($AT$2,0,0,ROW()-1,40),ROW()-1,FALSE))</f>
        <v/>
      </c>
      <c r="AH225" t="str">
        <f ca="1">IF(AND($B$294=1,LEN($AH$273)&gt;0),$AH$273,HLOOKUP(INDIRECT(ADDRESS(2,COLUMN())),OFFSET($AT$2,0,0,ROW()-1,40),ROW()-1,FALSE))</f>
        <v/>
      </c>
      <c r="AI225" t="str">
        <f ca="1">IF(AND($B$294=1,LEN($AI$273)&gt;0),$AI$273,HLOOKUP(INDIRECT(ADDRESS(2,COLUMN())),OFFSET($AT$2,0,0,ROW()-1,40),ROW()-1,FALSE))</f>
        <v/>
      </c>
      <c r="AJ225" t="str">
        <f ca="1">IF(AND($B$294=1,LEN($AJ$273)&gt;0),$AJ$273,HLOOKUP(INDIRECT(ADDRESS(2,COLUMN())),OFFSET($AT$2,0,0,ROW()-1,40),ROW()-1,FALSE))</f>
        <v/>
      </c>
      <c r="AK225" t="str">
        <f ca="1">IF(AND($B$294=1,LEN($AK$273)&gt;0),$AK$273,HLOOKUP(INDIRECT(ADDRESS(2,COLUMN())),OFFSET($AT$2,0,0,ROW()-1,40),ROW()-1,FALSE))</f>
        <v/>
      </c>
      <c r="AL225" t="str">
        <f ca="1">IF(AND($B$294=1,LEN($AL$273)&gt;0),$AL$273,HLOOKUP(INDIRECT(ADDRESS(2,COLUMN())),OFFSET($AT$2,0,0,ROW()-1,40),ROW()-1,FALSE))</f>
        <v/>
      </c>
      <c r="AM225" t="str">
        <f ca="1">IF(AND($B$294=1,LEN($AM$273)&gt;0),$AM$273,HLOOKUP(INDIRECT(ADDRESS(2,COLUMN())),OFFSET($AT$2,0,0,ROW()-1,40),ROW()-1,FALSE))</f>
        <v/>
      </c>
      <c r="AN225" t="str">
        <f ca="1">IF(AND($B$294=1,LEN($AN$273)&gt;0),$AN$273,HLOOKUP(INDIRECT(ADDRESS(2,COLUMN())),OFFSET($AT$2,0,0,ROW()-1,40),ROW()-1,FALSE))</f>
        <v/>
      </c>
      <c r="AO225" t="str">
        <f ca="1">IF(AND($B$294=1,LEN($AO$273)&gt;0),$AO$273,HLOOKUP(INDIRECT(ADDRESS(2,COLUMN())),OFFSET($AT$2,0,0,ROW()-1,40),ROW()-1,FALSE))</f>
        <v/>
      </c>
      <c r="AP225" t="str">
        <f ca="1">IF(AND($B$294=1,LEN($AP$273)&gt;0),$AP$273,HLOOKUP(INDIRECT(ADDRESS(2,COLUMN())),OFFSET($AT$2,0,0,ROW()-1,40),ROW()-1,FALSE))</f>
        <v/>
      </c>
      <c r="AQ225" t="str">
        <f ca="1">IF(AND($B$294=1,LEN($AQ$273)&gt;0),$AQ$273,HLOOKUP(INDIRECT(ADDRESS(2,COLUMN())),OFFSET($AT$2,0,0,ROW()-1,40),ROW()-1,FALSE))</f>
        <v/>
      </c>
      <c r="AR225" t="str">
        <f ca="1">IF(AND($B$294=1,LEN($AR$273)&gt;0),$AR$273,HLOOKUP(INDIRECT(ADDRESS(2,COLUMN())),OFFSET($AT$2,0,0,ROW()-1,40),ROW()-1,FALSE))</f>
        <v/>
      </c>
      <c r="AS225" t="str">
        <f ca="1">IF(AND($B$294=1,LEN($AS$273)&gt;0),$AS$273,HLOOKUP(INDIRECT(ADDRESS(2,COLUMN())),OFFSET($AT$2,0,0,ROW()-1,40),ROW()-1,FALSE))</f>
        <v/>
      </c>
      <c r="AT225" t="str">
        <f>""</f>
        <v/>
      </c>
      <c r="AU225" t="str">
        <f>""</f>
        <v/>
      </c>
      <c r="AV225" t="str">
        <f>""</f>
        <v/>
      </c>
      <c r="AW225" t="str">
        <f>""</f>
        <v/>
      </c>
      <c r="AX225" t="str">
        <f>""</f>
        <v/>
      </c>
      <c r="AY225" t="str">
        <f>""</f>
        <v/>
      </c>
      <c r="AZ225" t="str">
        <f>""</f>
        <v/>
      </c>
      <c r="BA225" t="str">
        <f>""</f>
        <v/>
      </c>
      <c r="BB225" t="str">
        <f>""</f>
        <v/>
      </c>
      <c r="BC225" t="str">
        <f>""</f>
        <v/>
      </c>
      <c r="BD225" t="str">
        <f>""</f>
        <v/>
      </c>
      <c r="BE225" t="str">
        <f>""</f>
        <v/>
      </c>
      <c r="BF225" t="str">
        <f>""</f>
        <v/>
      </c>
      <c r="BG225" t="str">
        <f>""</f>
        <v/>
      </c>
      <c r="BH225" t="str">
        <f>""</f>
        <v/>
      </c>
      <c r="BI225" t="str">
        <f>""</f>
        <v/>
      </c>
      <c r="BJ225" t="str">
        <f>""</f>
        <v/>
      </c>
      <c r="BK225" t="str">
        <f>""</f>
        <v/>
      </c>
      <c r="BL225" t="str">
        <f>""</f>
        <v/>
      </c>
      <c r="BM225" t="str">
        <f>""</f>
        <v/>
      </c>
      <c r="BN225" t="str">
        <f>""</f>
        <v/>
      </c>
      <c r="BO225" t="str">
        <f>""</f>
        <v/>
      </c>
      <c r="BP225" t="str">
        <f>""</f>
        <v/>
      </c>
      <c r="BQ225" t="str">
        <f>""</f>
        <v/>
      </c>
      <c r="BR225" t="str">
        <f>""</f>
        <v/>
      </c>
      <c r="BS225" t="str">
        <f>""</f>
        <v/>
      </c>
      <c r="BT225" t="str">
        <f>""</f>
        <v/>
      </c>
      <c r="BU225" t="str">
        <f>""</f>
        <v/>
      </c>
      <c r="BV225" t="str">
        <f>""</f>
        <v/>
      </c>
      <c r="BW225" t="str">
        <f>""</f>
        <v/>
      </c>
      <c r="BX225" t="str">
        <f>""</f>
        <v/>
      </c>
      <c r="BY225" t="str">
        <f>""</f>
        <v/>
      </c>
      <c r="BZ225" t="str">
        <f>""</f>
        <v/>
      </c>
      <c r="CA225" t="str">
        <f>""</f>
        <v/>
      </c>
      <c r="CB225" t="str">
        <f>""</f>
        <v/>
      </c>
      <c r="CC225" t="str">
        <f>""</f>
        <v/>
      </c>
      <c r="CD225" t="str">
        <f>""</f>
        <v/>
      </c>
      <c r="CE225" t="str">
        <f>""</f>
        <v/>
      </c>
      <c r="CF225" t="str">
        <f>""</f>
        <v/>
      </c>
      <c r="CG225" t="str">
        <f>""</f>
        <v/>
      </c>
    </row>
    <row r="226" spans="1:85" x14ac:dyDescent="0.25">
      <c r="A226" t="str">
        <f>"    Isuzu"</f>
        <v xml:space="preserve">    Isuzu</v>
      </c>
      <c r="B226" t="str">
        <f>""</f>
        <v/>
      </c>
      <c r="E226" t="str">
        <f t="shared" si="17"/>
        <v>Expression</v>
      </c>
      <c r="F226" t="str">
        <f ca="1">IF(AND($B$294=1,LEN($F$248) * LEN($F$269) * LEN($F$260)&gt;0),$F$248+$F$269+$F$260,HLOOKUP(INDIRECT(ADDRESS(2,COLUMN())),OFFSET($AT$2,0,0,ROW()-1,40),ROW()-1,FALSE))</f>
        <v/>
      </c>
      <c r="G226">
        <f ca="1">IF(AND($B$294=1,LEN($G$248) * LEN($G$269) * LEN($G$260)&gt;0),$G$248+$G$269+$G$260,HLOOKUP(INDIRECT(ADDRESS(2,COLUMN())),OFFSET($AT$2,0,0,ROW()-1,40),ROW()-1,FALSE))</f>
        <v>39</v>
      </c>
      <c r="H226">
        <f ca="1">IF(AND($B$294=1,LEN($H$248) * LEN($H$269) * LEN($H$260)&gt;0),$H$248+$H$269+$H$260,HLOOKUP(INDIRECT(ADDRESS(2,COLUMN())),OFFSET($AT$2,0,0,ROW()-1,40),ROW()-1,FALSE))</f>
        <v>26</v>
      </c>
      <c r="I226">
        <f ca="1">IF(AND($B$294=1,LEN($I$248) * LEN($I$269) * LEN($I$260)&gt;0),$I$248+$I$269+$I$260,HLOOKUP(INDIRECT(ADDRESS(2,COLUMN())),OFFSET($AT$2,0,0,ROW()-1,40),ROW()-1,FALSE))</f>
        <v>4</v>
      </c>
      <c r="J226">
        <f ca="1">IF(AND($B$294=1,LEN($J$248) * LEN($J$269) * LEN($J$260)&gt;0),$J$248+$J$269+$J$260,HLOOKUP(INDIRECT(ADDRESS(2,COLUMN())),OFFSET($AT$2,0,0,ROW()-1,40),ROW()-1,FALSE))</f>
        <v>0</v>
      </c>
      <c r="K226">
        <f ca="1">IF(AND($B$294=1,LEN($K$248) * LEN($K$269) * LEN($K$260)&gt;0),$K$248+$K$269+$K$260,HLOOKUP(INDIRECT(ADDRESS(2,COLUMN())),OFFSET($AT$2,0,0,ROW()-1,40),ROW()-1,FALSE))</f>
        <v>0</v>
      </c>
      <c r="L226">
        <f ca="1">IF(AND($B$294=1,LEN($L$248) * LEN($L$269) * LEN($L$260)&gt;0),$L$248+$L$269+$L$260,HLOOKUP(INDIRECT(ADDRESS(2,COLUMN())),OFFSET($AT$2,0,0,ROW()-1,40),ROW()-1,FALSE))</f>
        <v>0</v>
      </c>
      <c r="M226">
        <f ca="1">IF(AND($B$294=1,LEN($M$248) * LEN($M$269) * LEN($M$260)&gt;0),$M$248+$M$269+$M$260,HLOOKUP(INDIRECT(ADDRESS(2,COLUMN())),OFFSET($AT$2,0,0,ROW()-1,40),ROW()-1,FALSE))</f>
        <v>0</v>
      </c>
      <c r="N226">
        <f ca="1">IF(AND($B$294=1,LEN($N$248) * LEN($N$269) * LEN($N$260)&gt;0),$N$248+$N$269+$N$260,HLOOKUP(INDIRECT(ADDRESS(2,COLUMN())),OFFSET($AT$2,0,0,ROW()-1,40),ROW()-1,FALSE))</f>
        <v>0</v>
      </c>
      <c r="O226">
        <f ca="1">IF(AND($B$294=1,LEN($O$248) * LEN($O$269) * LEN($O$260)&gt;0),$O$248+$O$269+$O$260,HLOOKUP(INDIRECT(ADDRESS(2,COLUMN())),OFFSET($AT$2,0,0,ROW()-1,40),ROW()-1,FALSE))</f>
        <v>0</v>
      </c>
      <c r="P226">
        <f ca="1">IF(AND($B$294=1,LEN($P$248) * LEN($P$269) * LEN($P$260)&gt;0),$P$248+$P$269+$P$260,HLOOKUP(INDIRECT(ADDRESS(2,COLUMN())),OFFSET($AT$2,0,0,ROW()-1,40),ROW()-1,FALSE))</f>
        <v>42</v>
      </c>
      <c r="Q226">
        <f ca="1">IF(AND($B$294=1,LEN($Q$248) * LEN($Q$269) * LEN($Q$260)&gt;0),$Q$248+$Q$269+$Q$260,HLOOKUP(INDIRECT(ADDRESS(2,COLUMN())),OFFSET($AT$2,0,0,ROW()-1,40),ROW()-1,FALSE))</f>
        <v>36</v>
      </c>
      <c r="R226">
        <f ca="1">IF(AND($B$294=1,LEN($R$248) * LEN($R$269) * LEN($R$260)&gt;0),$R$248+$R$269+$R$260,HLOOKUP(INDIRECT(ADDRESS(2,COLUMN())),OFFSET($AT$2,0,0,ROW()-1,40),ROW()-1,FALSE))</f>
        <v>19</v>
      </c>
      <c r="S226">
        <f ca="1">IF(AND($B$294=1,LEN($S$248) * LEN($S$269) * LEN($S$260)&gt;0),$S$248+$S$269+$S$260,HLOOKUP(INDIRECT(ADDRESS(2,COLUMN())),OFFSET($AT$2,0,0,ROW()-1,40),ROW()-1,FALSE))</f>
        <v>32</v>
      </c>
      <c r="T226">
        <f ca="1">IF(AND($B$294=1,LEN($T$248) * LEN($T$269) * LEN($T$260)&gt;0),$T$248+$T$269+$T$260,HLOOKUP(INDIRECT(ADDRESS(2,COLUMN())),OFFSET($AT$2,0,0,ROW()-1,40),ROW()-1,FALSE))</f>
        <v>38</v>
      </c>
      <c r="U226">
        <f ca="1">IF(AND($B$294=1,LEN($U$248) * LEN($U$269) * LEN($U$260)&gt;0),$U$248+$U$269+$U$260,HLOOKUP(INDIRECT(ADDRESS(2,COLUMN())),OFFSET($AT$2,0,0,ROW()-1,40),ROW()-1,FALSE))</f>
        <v>31</v>
      </c>
      <c r="V226">
        <f ca="1">IF(AND($B$294=1,LEN($V$248) * LEN($V$269) * LEN($V$260)&gt;0),$V$248+$V$269+$V$260,HLOOKUP(INDIRECT(ADDRESS(2,COLUMN())),OFFSET($AT$2,0,0,ROW()-1,40),ROW()-1,FALSE))</f>
        <v>26</v>
      </c>
      <c r="W226">
        <f ca="1">IF(AND($B$294=1,LEN($W$248) * LEN($W$269) * LEN($W$260)&gt;0),$W$248+$W$269+$W$260,HLOOKUP(INDIRECT(ADDRESS(2,COLUMN())),OFFSET($AT$2,0,0,ROW()-1,40),ROW()-1,FALSE))</f>
        <v>31</v>
      </c>
      <c r="X226">
        <f ca="1">IF(AND($B$294=1,LEN($X$248) * LEN($X$269) * LEN($X$260)&gt;0),$X$248+$X$269+$X$260,HLOOKUP(INDIRECT(ADDRESS(2,COLUMN())),OFFSET($AT$2,0,0,ROW()-1,40),ROW()-1,FALSE))</f>
        <v>33</v>
      </c>
      <c r="Y226">
        <f ca="1">IF(AND($B$294=1,LEN($Y$248) * LEN($Y$269) * LEN($Y$260)&gt;0),$Y$248+$Y$269+$Y$260,HLOOKUP(INDIRECT(ADDRESS(2,COLUMN())),OFFSET($AT$2,0,0,ROW()-1,40),ROW()-1,FALSE))</f>
        <v>21</v>
      </c>
      <c r="Z226">
        <f ca="1">IF(AND($B$294=1,LEN($Z$248) * LEN($Z$269) * LEN($Z$260)&gt;0),$Z$248+$Z$269+$Z$260,HLOOKUP(INDIRECT(ADDRESS(2,COLUMN())),OFFSET($AT$2,0,0,ROW()-1,40),ROW()-1,FALSE))</f>
        <v>28</v>
      </c>
      <c r="AA226">
        <f ca="1">IF(AND($B$294=1,LEN($AA$248) * LEN($AA$269) * LEN($AA$260)&gt;0),$AA$248+$AA$269+$AA$260,HLOOKUP(INDIRECT(ADDRESS(2,COLUMN())),OFFSET($AT$2,0,0,ROW()-1,40),ROW()-1,FALSE))</f>
        <v>23</v>
      </c>
      <c r="AB226" t="str">
        <f ca="1">IF(AND($B$294=1,LEN($AB$248) * LEN($AB$269) * LEN($AB$260)&gt;0),$AB$248+$AB$269+$AB$260,HLOOKUP(INDIRECT(ADDRESS(2,COLUMN())),OFFSET($AT$2,0,0,ROW()-1,40),ROW()-1,FALSE))</f>
        <v/>
      </c>
      <c r="AC226" t="str">
        <f ca="1">IF(AND($B$294=1,LEN($AC$248) * LEN($AC$269) * LEN($AC$260)&gt;0),$AC$248+$AC$269+$AC$260,HLOOKUP(INDIRECT(ADDRESS(2,COLUMN())),OFFSET($AT$2,0,0,ROW()-1,40),ROW()-1,FALSE))</f>
        <v/>
      </c>
      <c r="AD226" t="str">
        <f ca="1">IF(AND($B$294=1,LEN($AD$248) * LEN($AD$269) * LEN($AD$260)&gt;0),$AD$248+$AD$269+$AD$260,HLOOKUP(INDIRECT(ADDRESS(2,COLUMN())),OFFSET($AT$2,0,0,ROW()-1,40),ROW()-1,FALSE))</f>
        <v/>
      </c>
      <c r="AE226" t="str">
        <f ca="1">IF(AND($B$294=1,LEN($AE$248) * LEN($AE$269) * LEN($AE$260)&gt;0),$AE$248+$AE$269+$AE$260,HLOOKUP(INDIRECT(ADDRESS(2,COLUMN())),OFFSET($AT$2,0,0,ROW()-1,40),ROW()-1,FALSE))</f>
        <v/>
      </c>
      <c r="AF226" t="str">
        <f ca="1">IF(AND($B$294=1,LEN($AF$248) * LEN($AF$269) * LEN($AF$260)&gt;0),$AF$248+$AF$269+$AF$260,HLOOKUP(INDIRECT(ADDRESS(2,COLUMN())),OFFSET($AT$2,0,0,ROW()-1,40),ROW()-1,FALSE))</f>
        <v/>
      </c>
      <c r="AG226" t="str">
        <f ca="1">IF(AND($B$294=1,LEN($AG$248) * LEN($AG$269) * LEN($AG$260)&gt;0),$AG$248+$AG$269+$AG$260,HLOOKUP(INDIRECT(ADDRESS(2,COLUMN())),OFFSET($AT$2,0,0,ROW()-1,40),ROW()-1,FALSE))</f>
        <v/>
      </c>
      <c r="AH226" t="str">
        <f ca="1">IF(AND($B$294=1,LEN($AH$248) * LEN($AH$269) * LEN($AH$260)&gt;0),$AH$248+$AH$269+$AH$260,HLOOKUP(INDIRECT(ADDRESS(2,COLUMN())),OFFSET($AT$2,0,0,ROW()-1,40),ROW()-1,FALSE))</f>
        <v/>
      </c>
      <c r="AI226" t="str">
        <f ca="1">IF(AND($B$294=1,LEN($AI$248) * LEN($AI$269) * LEN($AI$260)&gt;0),$AI$248+$AI$269+$AI$260,HLOOKUP(INDIRECT(ADDRESS(2,COLUMN())),OFFSET($AT$2,0,0,ROW()-1,40),ROW()-1,FALSE))</f>
        <v/>
      </c>
      <c r="AJ226" t="str">
        <f ca="1">IF(AND($B$294=1,LEN($AJ$248) * LEN($AJ$269) * LEN($AJ$260)&gt;0),$AJ$248+$AJ$269+$AJ$260,HLOOKUP(INDIRECT(ADDRESS(2,COLUMN())),OFFSET($AT$2,0,0,ROW()-1,40),ROW()-1,FALSE))</f>
        <v/>
      </c>
      <c r="AK226" t="str">
        <f ca="1">IF(AND($B$294=1,LEN($AK$248) * LEN($AK$269) * LEN($AK$260)&gt;0),$AK$248+$AK$269+$AK$260,HLOOKUP(INDIRECT(ADDRESS(2,COLUMN())),OFFSET($AT$2,0,0,ROW()-1,40),ROW()-1,FALSE))</f>
        <v/>
      </c>
      <c r="AL226" t="str">
        <f ca="1">IF(AND($B$294=1,LEN($AL$248) * LEN($AL$269) * LEN($AL$260)&gt;0),$AL$248+$AL$269+$AL$260,HLOOKUP(INDIRECT(ADDRESS(2,COLUMN())),OFFSET($AT$2,0,0,ROW()-1,40),ROW()-1,FALSE))</f>
        <v/>
      </c>
      <c r="AM226" t="str">
        <f ca="1">IF(AND($B$294=1,LEN($AM$248) * LEN($AM$269) * LEN($AM$260)&gt;0),$AM$248+$AM$269+$AM$260,HLOOKUP(INDIRECT(ADDRESS(2,COLUMN())),OFFSET($AT$2,0,0,ROW()-1,40),ROW()-1,FALSE))</f>
        <v/>
      </c>
      <c r="AN226" t="str">
        <f ca="1">IF(AND($B$294=1,LEN($AN$248) * LEN($AN$269) * LEN($AN$260)&gt;0),$AN$248+$AN$269+$AN$260,HLOOKUP(INDIRECT(ADDRESS(2,COLUMN())),OFFSET($AT$2,0,0,ROW()-1,40),ROW()-1,FALSE))</f>
        <v/>
      </c>
      <c r="AO226" t="str">
        <f ca="1">IF(AND($B$294=1,LEN($AO$248) * LEN($AO$269) * LEN($AO$260)&gt;0),$AO$248+$AO$269+$AO$260,HLOOKUP(INDIRECT(ADDRESS(2,COLUMN())),OFFSET($AT$2,0,0,ROW()-1,40),ROW()-1,FALSE))</f>
        <v/>
      </c>
      <c r="AP226" t="str">
        <f ca="1">IF(AND($B$294=1,LEN($AP$248) * LEN($AP$269) * LEN($AP$260)&gt;0),$AP$248+$AP$269+$AP$260,HLOOKUP(INDIRECT(ADDRESS(2,COLUMN())),OFFSET($AT$2,0,0,ROW()-1,40),ROW()-1,FALSE))</f>
        <v/>
      </c>
      <c r="AQ226" t="str">
        <f ca="1">IF(AND($B$294=1,LEN($AQ$248) * LEN($AQ$269) * LEN($AQ$260)&gt;0),$AQ$248+$AQ$269+$AQ$260,HLOOKUP(INDIRECT(ADDRESS(2,COLUMN())),OFFSET($AT$2,0,0,ROW()-1,40),ROW()-1,FALSE))</f>
        <v/>
      </c>
      <c r="AR226" t="str">
        <f ca="1">IF(AND($B$294=1,LEN($AR$248) * LEN($AR$269) * LEN($AR$260)&gt;0),$AR$248+$AR$269+$AR$260,HLOOKUP(INDIRECT(ADDRESS(2,COLUMN())),OFFSET($AT$2,0,0,ROW()-1,40),ROW()-1,FALSE))</f>
        <v/>
      </c>
      <c r="AS226" t="str">
        <f ca="1">IF(AND($B$294=1,LEN($AS$248) * LEN($AS$269) * LEN($AS$260)&gt;0),$AS$248+$AS$269+$AS$260,HLOOKUP(INDIRECT(ADDRESS(2,COLUMN())),OFFSET($AT$2,0,0,ROW()-1,40),ROW()-1,FALSE))</f>
        <v/>
      </c>
      <c r="AT226" t="str">
        <f>""</f>
        <v/>
      </c>
      <c r="AU226">
        <f>39</f>
        <v>39</v>
      </c>
      <c r="AV226">
        <f>26</f>
        <v>26</v>
      </c>
      <c r="AW226">
        <f>4</f>
        <v>4</v>
      </c>
      <c r="AX226">
        <f>0</f>
        <v>0</v>
      </c>
      <c r="AY226">
        <f>0</f>
        <v>0</v>
      </c>
      <c r="AZ226">
        <f>0</f>
        <v>0</v>
      </c>
      <c r="BA226">
        <f>0</f>
        <v>0</v>
      </c>
      <c r="BB226">
        <f>0</f>
        <v>0</v>
      </c>
      <c r="BC226">
        <f>0</f>
        <v>0</v>
      </c>
      <c r="BD226">
        <f>42</f>
        <v>42</v>
      </c>
      <c r="BE226">
        <f>36</f>
        <v>36</v>
      </c>
      <c r="BF226">
        <f>19</f>
        <v>19</v>
      </c>
      <c r="BG226">
        <f>32</f>
        <v>32</v>
      </c>
      <c r="BH226">
        <f>38</f>
        <v>38</v>
      </c>
      <c r="BI226">
        <f>31</f>
        <v>31</v>
      </c>
      <c r="BJ226">
        <f>26</f>
        <v>26</v>
      </c>
      <c r="BK226">
        <f>31</f>
        <v>31</v>
      </c>
      <c r="BL226">
        <f>33</f>
        <v>33</v>
      </c>
      <c r="BM226">
        <f>21</f>
        <v>21</v>
      </c>
      <c r="BN226">
        <f>28</f>
        <v>28</v>
      </c>
      <c r="BO226">
        <f>23</f>
        <v>23</v>
      </c>
      <c r="BP226" t="str">
        <f>""</f>
        <v/>
      </c>
      <c r="BQ226" t="str">
        <f>""</f>
        <v/>
      </c>
      <c r="BR226" t="str">
        <f>""</f>
        <v/>
      </c>
      <c r="BS226" t="str">
        <f>""</f>
        <v/>
      </c>
      <c r="BT226" t="str">
        <f>""</f>
        <v/>
      </c>
      <c r="BU226" t="str">
        <f>""</f>
        <v/>
      </c>
      <c r="BV226" t="str">
        <f>""</f>
        <v/>
      </c>
      <c r="BW226" t="str">
        <f>""</f>
        <v/>
      </c>
      <c r="BX226" t="str">
        <f>""</f>
        <v/>
      </c>
      <c r="BY226" t="str">
        <f>""</f>
        <v/>
      </c>
      <c r="BZ226" t="str">
        <f>""</f>
        <v/>
      </c>
      <c r="CA226" t="str">
        <f>""</f>
        <v/>
      </c>
      <c r="CB226" t="str">
        <f>""</f>
        <v/>
      </c>
      <c r="CC226" t="str">
        <f>""</f>
        <v/>
      </c>
      <c r="CD226" t="str">
        <f>""</f>
        <v/>
      </c>
      <c r="CE226" t="str">
        <f>""</f>
        <v/>
      </c>
      <c r="CF226" t="str">
        <f>""</f>
        <v/>
      </c>
      <c r="CG226" t="str">
        <f>""</f>
        <v/>
      </c>
    </row>
    <row r="227" spans="1:85" x14ac:dyDescent="0.25">
      <c r="A227" t="str">
        <f>"    Dina Camiones"</f>
        <v xml:space="preserve">    Dina Camiones</v>
      </c>
      <c r="B227" t="str">
        <f>""</f>
        <v/>
      </c>
      <c r="E227" t="str">
        <f t="shared" si="17"/>
        <v>Expression</v>
      </c>
      <c r="F227" t="str">
        <f ca="1">IF(AND($B$294=1,LEN($F$271)&gt;0),$F$271,HLOOKUP(INDIRECT(ADDRESS(2,COLUMN())),OFFSET($AT$2,0,0,ROW()-1,40),ROW()-1,FALSE))</f>
        <v/>
      </c>
      <c r="G227" t="str">
        <f ca="1">IF(AND($B$294=1,LEN($G$271)&gt;0),$G$271,HLOOKUP(INDIRECT(ADDRESS(2,COLUMN())),OFFSET($AT$2,0,0,ROW()-1,40),ROW()-1,FALSE))</f>
        <v/>
      </c>
      <c r="H227" t="str">
        <f ca="1">IF(AND($B$294=1,LEN($H$271)&gt;0),$H$271,HLOOKUP(INDIRECT(ADDRESS(2,COLUMN())),OFFSET($AT$2,0,0,ROW()-1,40),ROW()-1,FALSE))</f>
        <v/>
      </c>
      <c r="I227" t="str">
        <f ca="1">IF(AND($B$294=1,LEN($I$271)&gt;0),$I$271,HLOOKUP(INDIRECT(ADDRESS(2,COLUMN())),OFFSET($AT$2,0,0,ROW()-1,40),ROW()-1,FALSE))</f>
        <v/>
      </c>
      <c r="J227" t="str">
        <f ca="1">IF(AND($B$294=1,LEN($J$271)&gt;0),$J$271,HLOOKUP(INDIRECT(ADDRESS(2,COLUMN())),OFFSET($AT$2,0,0,ROW()-1,40),ROW()-1,FALSE))</f>
        <v/>
      </c>
      <c r="K227" t="str">
        <f ca="1">IF(AND($B$294=1,LEN($K$271)&gt;0),$K$271,HLOOKUP(INDIRECT(ADDRESS(2,COLUMN())),OFFSET($AT$2,0,0,ROW()-1,40),ROW()-1,FALSE))</f>
        <v/>
      </c>
      <c r="L227" t="str">
        <f ca="1">IF(AND($B$294=1,LEN($L$271)&gt;0),$L$271,HLOOKUP(INDIRECT(ADDRESS(2,COLUMN())),OFFSET($AT$2,0,0,ROW()-1,40),ROW()-1,FALSE))</f>
        <v/>
      </c>
      <c r="M227" t="str">
        <f ca="1">IF(AND($B$294=1,LEN($M$271)&gt;0),$M$271,HLOOKUP(INDIRECT(ADDRESS(2,COLUMN())),OFFSET($AT$2,0,0,ROW()-1,40),ROW()-1,FALSE))</f>
        <v/>
      </c>
      <c r="N227" t="str">
        <f ca="1">IF(AND($B$294=1,LEN($N$271)&gt;0),$N$271,HLOOKUP(INDIRECT(ADDRESS(2,COLUMN())),OFFSET($AT$2,0,0,ROW()-1,40),ROW()-1,FALSE))</f>
        <v/>
      </c>
      <c r="O227" t="str">
        <f ca="1">IF(AND($B$294=1,LEN($O$271)&gt;0),$O$271,HLOOKUP(INDIRECT(ADDRESS(2,COLUMN())),OFFSET($AT$2,0,0,ROW()-1,40),ROW()-1,FALSE))</f>
        <v/>
      </c>
      <c r="P227">
        <f ca="1">IF(AND($B$294=1,LEN($P$271)&gt;0),$P$271,HLOOKUP(INDIRECT(ADDRESS(2,COLUMN())),OFFSET($AT$2,0,0,ROW()-1,40),ROW()-1,FALSE))</f>
        <v>14</v>
      </c>
      <c r="Q227">
        <f ca="1">IF(AND($B$294=1,LEN($Q$271)&gt;0),$Q$271,HLOOKUP(INDIRECT(ADDRESS(2,COLUMN())),OFFSET($AT$2,0,0,ROW()-1,40),ROW()-1,FALSE))</f>
        <v>12</v>
      </c>
      <c r="R227">
        <f ca="1">IF(AND($B$294=1,LEN($R$271)&gt;0),$R$271,HLOOKUP(INDIRECT(ADDRESS(2,COLUMN())),OFFSET($AT$2,0,0,ROW()-1,40),ROW()-1,FALSE))</f>
        <v>10</v>
      </c>
      <c r="S227">
        <f ca="1">IF(AND($B$294=1,LEN($S$271)&gt;0),$S$271,HLOOKUP(INDIRECT(ADDRESS(2,COLUMN())),OFFSET($AT$2,0,0,ROW()-1,40),ROW()-1,FALSE))</f>
        <v>10</v>
      </c>
      <c r="T227">
        <f ca="1">IF(AND($B$294=1,LEN($T$271)&gt;0),$T$271,HLOOKUP(INDIRECT(ADDRESS(2,COLUMN())),OFFSET($AT$2,0,0,ROW()-1,40),ROW()-1,FALSE))</f>
        <v>14</v>
      </c>
      <c r="U227">
        <f ca="1">IF(AND($B$294=1,LEN($U$271)&gt;0),$U$271,HLOOKUP(INDIRECT(ADDRESS(2,COLUMN())),OFFSET($AT$2,0,0,ROW()-1,40),ROW()-1,FALSE))</f>
        <v>12</v>
      </c>
      <c r="V227">
        <f ca="1">IF(AND($B$294=1,LEN($V$271)&gt;0),$V$271,HLOOKUP(INDIRECT(ADDRESS(2,COLUMN())),OFFSET($AT$2,0,0,ROW()-1,40),ROW()-1,FALSE))</f>
        <v>15</v>
      </c>
      <c r="W227">
        <f ca="1">IF(AND($B$294=1,LEN($W$271)&gt;0),$W$271,HLOOKUP(INDIRECT(ADDRESS(2,COLUMN())),OFFSET($AT$2,0,0,ROW()-1,40),ROW()-1,FALSE))</f>
        <v>10</v>
      </c>
      <c r="X227">
        <f ca="1">IF(AND($B$294=1,LEN($X$271)&gt;0),$X$271,HLOOKUP(INDIRECT(ADDRESS(2,COLUMN())),OFFSET($AT$2,0,0,ROW()-1,40),ROW()-1,FALSE))</f>
        <v>9</v>
      </c>
      <c r="Y227">
        <f ca="1">IF(AND($B$294=1,LEN($Y$271)&gt;0),$Y$271,HLOOKUP(INDIRECT(ADDRESS(2,COLUMN())),OFFSET($AT$2,0,0,ROW()-1,40),ROW()-1,FALSE))</f>
        <v>13</v>
      </c>
      <c r="Z227">
        <f ca="1">IF(AND($B$294=1,LEN($Z$271)&gt;0),$Z$271,HLOOKUP(INDIRECT(ADDRESS(2,COLUMN())),OFFSET($AT$2,0,0,ROW()-1,40),ROW()-1,FALSE))</f>
        <v>8</v>
      </c>
      <c r="AA227">
        <f ca="1">IF(AND($B$294=1,LEN($AA$271)&gt;0),$AA$271,HLOOKUP(INDIRECT(ADDRESS(2,COLUMN())),OFFSET($AT$2,0,0,ROW()-1,40),ROW()-1,FALSE))</f>
        <v>6</v>
      </c>
      <c r="AB227">
        <f ca="1">IF(AND($B$294=1,LEN($AB$271)&gt;0),$AB$271,HLOOKUP(INDIRECT(ADDRESS(2,COLUMN())),OFFSET($AT$2,0,0,ROW()-1,40),ROW()-1,FALSE))</f>
        <v>52</v>
      </c>
      <c r="AC227">
        <f ca="1">IF(AND($B$294=1,LEN($AC$271)&gt;0),$AC$271,HLOOKUP(INDIRECT(ADDRESS(2,COLUMN())),OFFSET($AT$2,0,0,ROW()-1,40),ROW()-1,FALSE))</f>
        <v>42</v>
      </c>
      <c r="AD227">
        <f ca="1">IF(AND($B$294=1,LEN($AD$271)&gt;0),$AD$271,HLOOKUP(INDIRECT(ADDRESS(2,COLUMN())),OFFSET($AT$2,0,0,ROW()-1,40),ROW()-1,FALSE))</f>
        <v>39</v>
      </c>
      <c r="AE227">
        <f ca="1">IF(AND($B$294=1,LEN($AE$271)&gt;0),$AE$271,HLOOKUP(INDIRECT(ADDRESS(2,COLUMN())),OFFSET($AT$2,0,0,ROW()-1,40),ROW()-1,FALSE))</f>
        <v>37</v>
      </c>
      <c r="AF227">
        <f ca="1">IF(AND($B$294=1,LEN($AF$271)&gt;0),$AF$271,HLOOKUP(INDIRECT(ADDRESS(2,COLUMN())),OFFSET($AT$2,0,0,ROW()-1,40),ROW()-1,FALSE))</f>
        <v>37</v>
      </c>
      <c r="AG227">
        <f ca="1">IF(AND($B$294=1,LEN($AG$271)&gt;0),$AG$271,HLOOKUP(INDIRECT(ADDRESS(2,COLUMN())),OFFSET($AT$2,0,0,ROW()-1,40),ROW()-1,FALSE))</f>
        <v>37</v>
      </c>
      <c r="AH227">
        <f ca="1">IF(AND($B$294=1,LEN($AH$271)&gt;0),$AH$271,HLOOKUP(INDIRECT(ADDRESS(2,COLUMN())),OFFSET($AT$2,0,0,ROW()-1,40),ROW()-1,FALSE))</f>
        <v>35</v>
      </c>
      <c r="AI227">
        <f ca="1">IF(AND($B$294=1,LEN($AI$271)&gt;0),$AI$271,HLOOKUP(INDIRECT(ADDRESS(2,COLUMN())),OFFSET($AT$2,0,0,ROW()-1,40),ROW()-1,FALSE))</f>
        <v>33</v>
      </c>
      <c r="AJ227">
        <f ca="1">IF(AND($B$294=1,LEN($AJ$271)&gt;0),$AJ$271,HLOOKUP(INDIRECT(ADDRESS(2,COLUMN())),OFFSET($AT$2,0,0,ROW()-1,40),ROW()-1,FALSE))</f>
        <v>31</v>
      </c>
      <c r="AK227">
        <f ca="1">IF(AND($B$294=1,LEN($AK$271)&gt;0),$AK$271,HLOOKUP(INDIRECT(ADDRESS(2,COLUMN())),OFFSET($AT$2,0,0,ROW()-1,40),ROW()-1,FALSE))</f>
        <v>40</v>
      </c>
      <c r="AL227">
        <f ca="1">IF(AND($B$294=1,LEN($AL$271)&gt;0),$AL$271,HLOOKUP(INDIRECT(ADDRESS(2,COLUMN())),OFFSET($AT$2,0,0,ROW()-1,40),ROW()-1,FALSE))</f>
        <v>38</v>
      </c>
      <c r="AM227">
        <f ca="1">IF(AND($B$294=1,LEN($AM$271)&gt;0),$AM$271,HLOOKUP(INDIRECT(ADDRESS(2,COLUMN())),OFFSET($AT$2,0,0,ROW()-1,40),ROW()-1,FALSE))</f>
        <v>40</v>
      </c>
      <c r="AN227">
        <f ca="1">IF(AND($B$294=1,LEN($AN$271)&gt;0),$AN$271,HLOOKUP(INDIRECT(ADDRESS(2,COLUMN())),OFFSET($AT$2,0,0,ROW()-1,40),ROW()-1,FALSE))</f>
        <v>18</v>
      </c>
      <c r="AO227">
        <f ca="1">IF(AND($B$294=1,LEN($AO$271)&gt;0),$AO$271,HLOOKUP(INDIRECT(ADDRESS(2,COLUMN())),OFFSET($AT$2,0,0,ROW()-1,40),ROW()-1,FALSE))</f>
        <v>16</v>
      </c>
      <c r="AP227">
        <f ca="1">IF(AND($B$294=1,LEN($AP$271)&gt;0),$AP$271,HLOOKUP(INDIRECT(ADDRESS(2,COLUMN())),OFFSET($AT$2,0,0,ROW()-1,40),ROW()-1,FALSE))</f>
        <v>16</v>
      </c>
      <c r="AQ227">
        <f ca="1">IF(AND($B$294=1,LEN($AQ$271)&gt;0),$AQ$271,HLOOKUP(INDIRECT(ADDRESS(2,COLUMN())),OFFSET($AT$2,0,0,ROW()-1,40),ROW()-1,FALSE))</f>
        <v>128</v>
      </c>
      <c r="AR227">
        <f ca="1">IF(AND($B$294=1,LEN($AR$271)&gt;0),$AR$271,HLOOKUP(INDIRECT(ADDRESS(2,COLUMN())),OFFSET($AT$2,0,0,ROW()-1,40),ROW()-1,FALSE))</f>
        <v>29</v>
      </c>
      <c r="AS227">
        <f ca="1">IF(AND($B$294=1,LEN($AS$271)&gt;0),$AS$271,HLOOKUP(INDIRECT(ADDRESS(2,COLUMN())),OFFSET($AT$2,0,0,ROW()-1,40),ROW()-1,FALSE))</f>
        <v>9</v>
      </c>
      <c r="AT227" t="str">
        <f>""</f>
        <v/>
      </c>
      <c r="AU227" t="str">
        <f>""</f>
        <v/>
      </c>
      <c r="AV227" t="str">
        <f>""</f>
        <v/>
      </c>
      <c r="AW227" t="str">
        <f>""</f>
        <v/>
      </c>
      <c r="AX227" t="str">
        <f>""</f>
        <v/>
      </c>
      <c r="AY227" t="str">
        <f>""</f>
        <v/>
      </c>
      <c r="AZ227" t="str">
        <f>""</f>
        <v/>
      </c>
      <c r="BA227" t="str">
        <f>""</f>
        <v/>
      </c>
      <c r="BB227" t="str">
        <f>""</f>
        <v/>
      </c>
      <c r="BC227" t="str">
        <f>""</f>
        <v/>
      </c>
      <c r="BD227">
        <f>14</f>
        <v>14</v>
      </c>
      <c r="BE227">
        <f>12</f>
        <v>12</v>
      </c>
      <c r="BF227">
        <f>10</f>
        <v>10</v>
      </c>
      <c r="BG227">
        <f>10</f>
        <v>10</v>
      </c>
      <c r="BH227">
        <f>14</f>
        <v>14</v>
      </c>
      <c r="BI227">
        <f>12</f>
        <v>12</v>
      </c>
      <c r="BJ227">
        <f>15</f>
        <v>15</v>
      </c>
      <c r="BK227">
        <f>10</f>
        <v>10</v>
      </c>
      <c r="BL227">
        <f>9</f>
        <v>9</v>
      </c>
      <c r="BM227">
        <f>13</f>
        <v>13</v>
      </c>
      <c r="BN227">
        <f>8</f>
        <v>8</v>
      </c>
      <c r="BO227">
        <f>6</f>
        <v>6</v>
      </c>
      <c r="BP227">
        <f>52</f>
        <v>52</v>
      </c>
      <c r="BQ227">
        <f>42</f>
        <v>42</v>
      </c>
      <c r="BR227">
        <f>39</f>
        <v>39</v>
      </c>
      <c r="BS227">
        <f>37</f>
        <v>37</v>
      </c>
      <c r="BT227">
        <f>37</f>
        <v>37</v>
      </c>
      <c r="BU227">
        <f>37</f>
        <v>37</v>
      </c>
      <c r="BV227">
        <f>35</f>
        <v>35</v>
      </c>
      <c r="BW227">
        <f>33</f>
        <v>33</v>
      </c>
      <c r="BX227">
        <f>31</f>
        <v>31</v>
      </c>
      <c r="BY227">
        <f>40</f>
        <v>40</v>
      </c>
      <c r="BZ227">
        <f>38</f>
        <v>38</v>
      </c>
      <c r="CA227">
        <f>40</f>
        <v>40</v>
      </c>
      <c r="CB227">
        <f>18</f>
        <v>18</v>
      </c>
      <c r="CC227">
        <f>16</f>
        <v>16</v>
      </c>
      <c r="CD227">
        <f>16</f>
        <v>16</v>
      </c>
      <c r="CE227">
        <f>128</f>
        <v>128</v>
      </c>
      <c r="CF227">
        <f>29</f>
        <v>29</v>
      </c>
      <c r="CG227">
        <f>9</f>
        <v>9</v>
      </c>
    </row>
    <row r="228" spans="1:85" x14ac:dyDescent="0.25">
      <c r="A228" t="str">
        <f>"    General Motors - GMC"</f>
        <v xml:space="preserve">    General Motors - GMC</v>
      </c>
      <c r="B228" t="str">
        <f>"MTLQQ US Equity"</f>
        <v>MTLQQ US Equity</v>
      </c>
      <c r="E228" t="str">
        <f t="shared" si="17"/>
        <v>Expression</v>
      </c>
      <c r="F228" t="str">
        <f ca="1">IF(AND($B$294=1,LEN($F$246) * LEN($F$261)&gt;0),$F$246+$F$261,HLOOKUP(INDIRECT(ADDRESS(2,COLUMN())),OFFSET($AT$2,0,0,ROW()-1,40),ROW()-1,FALSE))</f>
        <v/>
      </c>
      <c r="G228" t="str">
        <f ca="1">IF(AND($B$294=1,LEN($G$246) * LEN($G$261)&gt;0),$G$246+$G$261,HLOOKUP(INDIRECT(ADDRESS(2,COLUMN())),OFFSET($AT$2,0,0,ROW()-1,40),ROW()-1,FALSE))</f>
        <v/>
      </c>
      <c r="H228" t="str">
        <f ca="1">IF(AND($B$294=1,LEN($H$246) * LEN($H$261)&gt;0),$H$246+$H$261,HLOOKUP(INDIRECT(ADDRESS(2,COLUMN())),OFFSET($AT$2,0,0,ROW()-1,40),ROW()-1,FALSE))</f>
        <v/>
      </c>
      <c r="I228" t="str">
        <f ca="1">IF(AND($B$294=1,LEN($I$246) * LEN($I$261)&gt;0),$I$246+$I$261,HLOOKUP(INDIRECT(ADDRESS(2,COLUMN())),OFFSET($AT$2,0,0,ROW()-1,40),ROW()-1,FALSE))</f>
        <v/>
      </c>
      <c r="J228" t="str">
        <f ca="1">IF(AND($B$294=1,LEN($J$246) * LEN($J$261)&gt;0),$J$246+$J$261,HLOOKUP(INDIRECT(ADDRESS(2,COLUMN())),OFFSET($AT$2,0,0,ROW()-1,40),ROW()-1,FALSE))</f>
        <v/>
      </c>
      <c r="K228" t="str">
        <f ca="1">IF(AND($B$294=1,LEN($K$246) * LEN($K$261)&gt;0),$K$246+$K$261,HLOOKUP(INDIRECT(ADDRESS(2,COLUMN())),OFFSET($AT$2,0,0,ROW()-1,40),ROW()-1,FALSE))</f>
        <v/>
      </c>
      <c r="L228" t="str">
        <f ca="1">IF(AND($B$294=1,LEN($L$246) * LEN($L$261)&gt;0),$L$246+$L$261,HLOOKUP(INDIRECT(ADDRESS(2,COLUMN())),OFFSET($AT$2,0,0,ROW()-1,40),ROW()-1,FALSE))</f>
        <v/>
      </c>
      <c r="M228" t="str">
        <f ca="1">IF(AND($B$294=1,LEN($M$246) * LEN($M$261)&gt;0),$M$246+$M$261,HLOOKUP(INDIRECT(ADDRESS(2,COLUMN())),OFFSET($AT$2,0,0,ROW()-1,40),ROW()-1,FALSE))</f>
        <v/>
      </c>
      <c r="N228" t="str">
        <f ca="1">IF(AND($B$294=1,LEN($N$246) * LEN($N$261)&gt;0),$N$246+$N$261,HLOOKUP(INDIRECT(ADDRESS(2,COLUMN())),OFFSET($AT$2,0,0,ROW()-1,40),ROW()-1,FALSE))</f>
        <v/>
      </c>
      <c r="O228" t="str">
        <f ca="1">IF(AND($B$294=1,LEN($O$246) * LEN($O$261)&gt;0),$O$246+$O$261,HLOOKUP(INDIRECT(ADDRESS(2,COLUMN())),OFFSET($AT$2,0,0,ROW()-1,40),ROW()-1,FALSE))</f>
        <v/>
      </c>
      <c r="P228" t="str">
        <f ca="1">IF(AND($B$294=1,LEN($P$246) * LEN($P$261)&gt;0),$P$246+$P$261,HLOOKUP(INDIRECT(ADDRESS(2,COLUMN())),OFFSET($AT$2,0,0,ROW()-1,40),ROW()-1,FALSE))</f>
        <v/>
      </c>
      <c r="Q228" t="str">
        <f ca="1">IF(AND($B$294=1,LEN($Q$246) * LEN($Q$261)&gt;0),$Q$246+$Q$261,HLOOKUP(INDIRECT(ADDRESS(2,COLUMN())),OFFSET($AT$2,0,0,ROW()-1,40),ROW()-1,FALSE))</f>
        <v/>
      </c>
      <c r="R228" t="str">
        <f ca="1">IF(AND($B$294=1,LEN($R$246) * LEN($R$261)&gt;0),$R$246+$R$261,HLOOKUP(INDIRECT(ADDRESS(2,COLUMN())),OFFSET($AT$2,0,0,ROW()-1,40),ROW()-1,FALSE))</f>
        <v/>
      </c>
      <c r="S228" t="str">
        <f ca="1">IF(AND($B$294=1,LEN($S$246) * LEN($S$261)&gt;0),$S$246+$S$261,HLOOKUP(INDIRECT(ADDRESS(2,COLUMN())),OFFSET($AT$2,0,0,ROW()-1,40),ROW()-1,FALSE))</f>
        <v/>
      </c>
      <c r="T228" t="str">
        <f ca="1">IF(AND($B$294=1,LEN($T$246) * LEN($T$261)&gt;0),$T$246+$T$261,HLOOKUP(INDIRECT(ADDRESS(2,COLUMN())),OFFSET($AT$2,0,0,ROW()-1,40),ROW()-1,FALSE))</f>
        <v/>
      </c>
      <c r="U228" t="str">
        <f ca="1">IF(AND($B$294=1,LEN($U$246) * LEN($U$261)&gt;0),$U$246+$U$261,HLOOKUP(INDIRECT(ADDRESS(2,COLUMN())),OFFSET($AT$2,0,0,ROW()-1,40),ROW()-1,FALSE))</f>
        <v/>
      </c>
      <c r="V228" t="str">
        <f ca="1">IF(AND($B$294=1,LEN($V$246) * LEN($V$261)&gt;0),$V$246+$V$261,HLOOKUP(INDIRECT(ADDRESS(2,COLUMN())),OFFSET($AT$2,0,0,ROW()-1,40),ROW()-1,FALSE))</f>
        <v/>
      </c>
      <c r="W228" t="str">
        <f ca="1">IF(AND($B$294=1,LEN($W$246) * LEN($W$261)&gt;0),$W$246+$W$261,HLOOKUP(INDIRECT(ADDRESS(2,COLUMN())),OFFSET($AT$2,0,0,ROW()-1,40),ROW()-1,FALSE))</f>
        <v/>
      </c>
      <c r="X228" t="str">
        <f ca="1">IF(AND($B$294=1,LEN($X$246) * LEN($X$261)&gt;0),$X$246+$X$261,HLOOKUP(INDIRECT(ADDRESS(2,COLUMN())),OFFSET($AT$2,0,0,ROW()-1,40),ROW()-1,FALSE))</f>
        <v/>
      </c>
      <c r="Y228" t="str">
        <f ca="1">IF(AND($B$294=1,LEN($Y$246) * LEN($Y$261)&gt;0),$Y$246+$Y$261,HLOOKUP(INDIRECT(ADDRESS(2,COLUMN())),OFFSET($AT$2,0,0,ROW()-1,40),ROW()-1,FALSE))</f>
        <v/>
      </c>
      <c r="Z228" t="str">
        <f ca="1">IF(AND($B$294=1,LEN($Z$246) * LEN($Z$261)&gt;0),$Z$246+$Z$261,HLOOKUP(INDIRECT(ADDRESS(2,COLUMN())),OFFSET($AT$2,0,0,ROW()-1,40),ROW()-1,FALSE))</f>
        <v/>
      </c>
      <c r="AA228" t="str">
        <f ca="1">IF(AND($B$294=1,LEN($AA$246) * LEN($AA$261)&gt;0),$AA$246+$AA$261,HLOOKUP(INDIRECT(ADDRESS(2,COLUMN())),OFFSET($AT$2,0,0,ROW()-1,40),ROW()-1,FALSE))</f>
        <v/>
      </c>
      <c r="AB228" t="str">
        <f ca="1">IF(AND($B$294=1,LEN($AB$246) * LEN($AB$261)&gt;0),$AB$246+$AB$261,HLOOKUP(INDIRECT(ADDRESS(2,COLUMN())),OFFSET($AT$2,0,0,ROW()-1,40),ROW()-1,FALSE))</f>
        <v/>
      </c>
      <c r="AC228" t="str">
        <f ca="1">IF(AND($B$294=1,LEN($AC$246) * LEN($AC$261)&gt;0),$AC$246+$AC$261,HLOOKUP(INDIRECT(ADDRESS(2,COLUMN())),OFFSET($AT$2,0,0,ROW()-1,40),ROW()-1,FALSE))</f>
        <v/>
      </c>
      <c r="AD228" t="str">
        <f ca="1">IF(AND($B$294=1,LEN($AD$246) * LEN($AD$261)&gt;0),$AD$246+$AD$261,HLOOKUP(INDIRECT(ADDRESS(2,COLUMN())),OFFSET($AT$2,0,0,ROW()-1,40),ROW()-1,FALSE))</f>
        <v/>
      </c>
      <c r="AE228" t="str">
        <f ca="1">IF(AND($B$294=1,LEN($AE$246) * LEN($AE$261)&gt;0),$AE$246+$AE$261,HLOOKUP(INDIRECT(ADDRESS(2,COLUMN())),OFFSET($AT$2,0,0,ROW()-1,40),ROW()-1,FALSE))</f>
        <v/>
      </c>
      <c r="AF228" t="str">
        <f ca="1">IF(AND($B$294=1,LEN($AF$246) * LEN($AF$261)&gt;0),$AF$246+$AF$261,HLOOKUP(INDIRECT(ADDRESS(2,COLUMN())),OFFSET($AT$2,0,0,ROW()-1,40),ROW()-1,FALSE))</f>
        <v/>
      </c>
      <c r="AG228" t="str">
        <f ca="1">IF(AND($B$294=1,LEN($AG$246) * LEN($AG$261)&gt;0),$AG$246+$AG$261,HLOOKUP(INDIRECT(ADDRESS(2,COLUMN())),OFFSET($AT$2,0,0,ROW()-1,40),ROW()-1,FALSE))</f>
        <v/>
      </c>
      <c r="AH228" t="str">
        <f ca="1">IF(AND($B$294=1,LEN($AH$246) * LEN($AH$261)&gt;0),$AH$246+$AH$261,HLOOKUP(INDIRECT(ADDRESS(2,COLUMN())),OFFSET($AT$2,0,0,ROW()-1,40),ROW()-1,FALSE))</f>
        <v/>
      </c>
      <c r="AI228" t="str">
        <f ca="1">IF(AND($B$294=1,LEN($AI$246) * LEN($AI$261)&gt;0),$AI$246+$AI$261,HLOOKUP(INDIRECT(ADDRESS(2,COLUMN())),OFFSET($AT$2,0,0,ROW()-1,40),ROW()-1,FALSE))</f>
        <v/>
      </c>
      <c r="AJ228" t="str">
        <f ca="1">IF(AND($B$294=1,LEN($AJ$246) * LEN($AJ$261)&gt;0),$AJ$246+$AJ$261,HLOOKUP(INDIRECT(ADDRESS(2,COLUMN())),OFFSET($AT$2,0,0,ROW()-1,40),ROW()-1,FALSE))</f>
        <v/>
      </c>
      <c r="AK228" t="str">
        <f ca="1">IF(AND($B$294=1,LEN($AK$246) * LEN($AK$261)&gt;0),$AK$246+$AK$261,HLOOKUP(INDIRECT(ADDRESS(2,COLUMN())),OFFSET($AT$2,0,0,ROW()-1,40),ROW()-1,FALSE))</f>
        <v/>
      </c>
      <c r="AL228" t="str">
        <f ca="1">IF(AND($B$294=1,LEN($AL$246) * LEN($AL$261)&gt;0),$AL$246+$AL$261,HLOOKUP(INDIRECT(ADDRESS(2,COLUMN())),OFFSET($AT$2,0,0,ROW()-1,40),ROW()-1,FALSE))</f>
        <v/>
      </c>
      <c r="AM228" t="str">
        <f ca="1">IF(AND($B$294=1,LEN($AM$246) * LEN($AM$261)&gt;0),$AM$246+$AM$261,HLOOKUP(INDIRECT(ADDRESS(2,COLUMN())),OFFSET($AT$2,0,0,ROW()-1,40),ROW()-1,FALSE))</f>
        <v/>
      </c>
      <c r="AN228" t="str">
        <f ca="1">IF(AND($B$294=1,LEN($AN$246) * LEN($AN$261)&gt;0),$AN$246+$AN$261,HLOOKUP(INDIRECT(ADDRESS(2,COLUMN())),OFFSET($AT$2,0,0,ROW()-1,40),ROW()-1,FALSE))</f>
        <v/>
      </c>
      <c r="AO228" t="str">
        <f ca="1">IF(AND($B$294=1,LEN($AO$246) * LEN($AO$261)&gt;0),$AO$246+$AO$261,HLOOKUP(INDIRECT(ADDRESS(2,COLUMN())),OFFSET($AT$2,0,0,ROW()-1,40),ROW()-1,FALSE))</f>
        <v/>
      </c>
      <c r="AP228" t="str">
        <f ca="1">IF(AND($B$294=1,LEN($AP$246) * LEN($AP$261)&gt;0),$AP$246+$AP$261,HLOOKUP(INDIRECT(ADDRESS(2,COLUMN())),OFFSET($AT$2,0,0,ROW()-1,40),ROW()-1,FALSE))</f>
        <v/>
      </c>
      <c r="AQ228" t="str">
        <f ca="1">IF(AND($B$294=1,LEN($AQ$246) * LEN($AQ$261)&gt;0),$AQ$246+$AQ$261,HLOOKUP(INDIRECT(ADDRESS(2,COLUMN())),OFFSET($AT$2,0,0,ROW()-1,40),ROW()-1,FALSE))</f>
        <v/>
      </c>
      <c r="AR228" t="str">
        <f ca="1">IF(AND($B$294=1,LEN($AR$246) * LEN($AR$261)&gt;0),$AR$246+$AR$261,HLOOKUP(INDIRECT(ADDRESS(2,COLUMN())),OFFSET($AT$2,0,0,ROW()-1,40),ROW()-1,FALSE))</f>
        <v/>
      </c>
      <c r="AS228" t="str">
        <f ca="1">IF(AND($B$294=1,LEN($AS$246) * LEN($AS$261)&gt;0),$AS$246+$AS$261,HLOOKUP(INDIRECT(ADDRESS(2,COLUMN())),OFFSET($AT$2,0,0,ROW()-1,40),ROW()-1,FALSE))</f>
        <v/>
      </c>
      <c r="AT228" t="str">
        <f>""</f>
        <v/>
      </c>
      <c r="AU228" t="str">
        <f>""</f>
        <v/>
      </c>
      <c r="AV228" t="str">
        <f>""</f>
        <v/>
      </c>
      <c r="AW228" t="str">
        <f>""</f>
        <v/>
      </c>
      <c r="AX228" t="str">
        <f>""</f>
        <v/>
      </c>
      <c r="AY228" t="str">
        <f>""</f>
        <v/>
      </c>
      <c r="AZ228" t="str">
        <f>""</f>
        <v/>
      </c>
      <c r="BA228" t="str">
        <f>""</f>
        <v/>
      </c>
      <c r="BB228" t="str">
        <f>""</f>
        <v/>
      </c>
      <c r="BC228" t="str">
        <f>""</f>
        <v/>
      </c>
      <c r="BD228" t="str">
        <f>""</f>
        <v/>
      </c>
      <c r="BE228" t="str">
        <f>""</f>
        <v/>
      </c>
      <c r="BF228" t="str">
        <f>""</f>
        <v/>
      </c>
      <c r="BG228" t="str">
        <f>""</f>
        <v/>
      </c>
      <c r="BH228" t="str">
        <f>""</f>
        <v/>
      </c>
      <c r="BI228" t="str">
        <f>""</f>
        <v/>
      </c>
      <c r="BJ228" t="str">
        <f>""</f>
        <v/>
      </c>
      <c r="BK228" t="str">
        <f>""</f>
        <v/>
      </c>
      <c r="BL228" t="str">
        <f>""</f>
        <v/>
      </c>
      <c r="BM228" t="str">
        <f>""</f>
        <v/>
      </c>
      <c r="BN228" t="str">
        <f>""</f>
        <v/>
      </c>
      <c r="BO228" t="str">
        <f>""</f>
        <v/>
      </c>
      <c r="BP228" t="str">
        <f>""</f>
        <v/>
      </c>
      <c r="BQ228" t="str">
        <f>""</f>
        <v/>
      </c>
      <c r="BR228" t="str">
        <f>""</f>
        <v/>
      </c>
      <c r="BS228" t="str">
        <f>""</f>
        <v/>
      </c>
      <c r="BT228" t="str">
        <f>""</f>
        <v/>
      </c>
      <c r="BU228" t="str">
        <f>""</f>
        <v/>
      </c>
      <c r="BV228" t="str">
        <f>""</f>
        <v/>
      </c>
      <c r="BW228" t="str">
        <f>""</f>
        <v/>
      </c>
      <c r="BX228" t="str">
        <f>""</f>
        <v/>
      </c>
      <c r="BY228" t="str">
        <f>""</f>
        <v/>
      </c>
      <c r="BZ228" t="str">
        <f>""</f>
        <v/>
      </c>
      <c r="CA228" t="str">
        <f>""</f>
        <v/>
      </c>
      <c r="CB228" t="str">
        <f>""</f>
        <v/>
      </c>
      <c r="CC228" t="str">
        <f>""</f>
        <v/>
      </c>
      <c r="CD228" t="str">
        <f>""</f>
        <v/>
      </c>
      <c r="CE228" t="str">
        <f>""</f>
        <v/>
      </c>
      <c r="CF228" t="str">
        <f>""</f>
        <v/>
      </c>
      <c r="CG228" t="str">
        <f>""</f>
        <v/>
      </c>
    </row>
    <row r="229" spans="1:85" x14ac:dyDescent="0.25">
      <c r="A229" t="str">
        <f>"    General Motors - Chevrolet"</f>
        <v xml:space="preserve">    General Motors - Chevrolet</v>
      </c>
      <c r="B229" t="str">
        <f>"MTLQQ US Equity"</f>
        <v>MTLQQ US Equity</v>
      </c>
      <c r="E229" t="str">
        <f t="shared" si="17"/>
        <v>Expression</v>
      </c>
      <c r="F229" t="str">
        <f ca="1">IF(AND($B$294=1,LEN($F$247) * LEN($F$262) * LEN($F$274)&gt;0),$F$247+$F$262+$F$274,HLOOKUP(INDIRECT(ADDRESS(2,COLUMN())),OFFSET($AT$2,0,0,ROW()-1,40),ROW()-1,FALSE))</f>
        <v/>
      </c>
      <c r="G229" t="str">
        <f ca="1">IF(AND($B$294=1,LEN($G$247) * LEN($G$262) * LEN($G$274)&gt;0),$G$247+$G$262+$G$274,HLOOKUP(INDIRECT(ADDRESS(2,COLUMN())),OFFSET($AT$2,0,0,ROW()-1,40),ROW()-1,FALSE))</f>
        <v/>
      </c>
      <c r="H229" t="str">
        <f ca="1">IF(AND($B$294=1,LEN($H$247) * LEN($H$262) * LEN($H$274)&gt;0),$H$247+$H$262+$H$274,HLOOKUP(INDIRECT(ADDRESS(2,COLUMN())),OFFSET($AT$2,0,0,ROW()-1,40),ROW()-1,FALSE))</f>
        <v/>
      </c>
      <c r="I229" t="str">
        <f ca="1">IF(AND($B$294=1,LEN($I$247) * LEN($I$262) * LEN($I$274)&gt;0),$I$247+$I$262+$I$274,HLOOKUP(INDIRECT(ADDRESS(2,COLUMN())),OFFSET($AT$2,0,0,ROW()-1,40),ROW()-1,FALSE))</f>
        <v/>
      </c>
      <c r="J229" t="str">
        <f ca="1">IF(AND($B$294=1,LEN($J$247) * LEN($J$262) * LEN($J$274)&gt;0),$J$247+$J$262+$J$274,HLOOKUP(INDIRECT(ADDRESS(2,COLUMN())),OFFSET($AT$2,0,0,ROW()-1,40),ROW()-1,FALSE))</f>
        <v/>
      </c>
      <c r="K229" t="str">
        <f ca="1">IF(AND($B$294=1,LEN($K$247) * LEN($K$262) * LEN($K$274)&gt;0),$K$247+$K$262+$K$274,HLOOKUP(INDIRECT(ADDRESS(2,COLUMN())),OFFSET($AT$2,0,0,ROW()-1,40),ROW()-1,FALSE))</f>
        <v/>
      </c>
      <c r="L229" t="str">
        <f ca="1">IF(AND($B$294=1,LEN($L$247) * LEN($L$262) * LEN($L$274)&gt;0),$L$247+$L$262+$L$274,HLOOKUP(INDIRECT(ADDRESS(2,COLUMN())),OFFSET($AT$2,0,0,ROW()-1,40),ROW()-1,FALSE))</f>
        <v/>
      </c>
      <c r="M229" t="str">
        <f ca="1">IF(AND($B$294=1,LEN($M$247) * LEN($M$262) * LEN($M$274)&gt;0),$M$247+$M$262+$M$274,HLOOKUP(INDIRECT(ADDRESS(2,COLUMN())),OFFSET($AT$2,0,0,ROW()-1,40),ROW()-1,FALSE))</f>
        <v/>
      </c>
      <c r="N229" t="str">
        <f ca="1">IF(AND($B$294=1,LEN($N$247) * LEN($N$262) * LEN($N$274)&gt;0),$N$247+$N$262+$N$274,HLOOKUP(INDIRECT(ADDRESS(2,COLUMN())),OFFSET($AT$2,0,0,ROW()-1,40),ROW()-1,FALSE))</f>
        <v/>
      </c>
      <c r="O229" t="str">
        <f ca="1">IF(AND($B$294=1,LEN($O$247) * LEN($O$262) * LEN($O$274)&gt;0),$O$247+$O$262+$O$274,HLOOKUP(INDIRECT(ADDRESS(2,COLUMN())),OFFSET($AT$2,0,0,ROW()-1,40),ROW()-1,FALSE))</f>
        <v/>
      </c>
      <c r="P229" t="str">
        <f ca="1">IF(AND($B$294=1,LEN($P$247) * LEN($P$262) * LEN($P$274)&gt;0),$P$247+$P$262+$P$274,HLOOKUP(INDIRECT(ADDRESS(2,COLUMN())),OFFSET($AT$2,0,0,ROW()-1,40),ROW()-1,FALSE))</f>
        <v/>
      </c>
      <c r="Q229" t="str">
        <f ca="1">IF(AND($B$294=1,LEN($Q$247) * LEN($Q$262) * LEN($Q$274)&gt;0),$Q$247+$Q$262+$Q$274,HLOOKUP(INDIRECT(ADDRESS(2,COLUMN())),OFFSET($AT$2,0,0,ROW()-1,40),ROW()-1,FALSE))</f>
        <v/>
      </c>
      <c r="R229" t="str">
        <f ca="1">IF(AND($B$294=1,LEN($R$247) * LEN($R$262) * LEN($R$274)&gt;0),$R$247+$R$262+$R$274,HLOOKUP(INDIRECT(ADDRESS(2,COLUMN())),OFFSET($AT$2,0,0,ROW()-1,40),ROW()-1,FALSE))</f>
        <v/>
      </c>
      <c r="S229" t="str">
        <f ca="1">IF(AND($B$294=1,LEN($S$247) * LEN($S$262) * LEN($S$274)&gt;0),$S$247+$S$262+$S$274,HLOOKUP(INDIRECT(ADDRESS(2,COLUMN())),OFFSET($AT$2,0,0,ROW()-1,40),ROW()-1,FALSE))</f>
        <v/>
      </c>
      <c r="T229" t="str">
        <f ca="1">IF(AND($B$294=1,LEN($T$247) * LEN($T$262) * LEN($T$274)&gt;0),$T$247+$T$262+$T$274,HLOOKUP(INDIRECT(ADDRESS(2,COLUMN())),OFFSET($AT$2,0,0,ROW()-1,40),ROW()-1,FALSE))</f>
        <v/>
      </c>
      <c r="U229" t="str">
        <f ca="1">IF(AND($B$294=1,LEN($U$247) * LEN($U$262) * LEN($U$274)&gt;0),$U$247+$U$262+$U$274,HLOOKUP(INDIRECT(ADDRESS(2,COLUMN())),OFFSET($AT$2,0,0,ROW()-1,40),ROW()-1,FALSE))</f>
        <v/>
      </c>
      <c r="V229" t="str">
        <f ca="1">IF(AND($B$294=1,LEN($V$247) * LEN($V$262) * LEN($V$274)&gt;0),$V$247+$V$262+$V$274,HLOOKUP(INDIRECT(ADDRESS(2,COLUMN())),OFFSET($AT$2,0,0,ROW()-1,40),ROW()-1,FALSE))</f>
        <v/>
      </c>
      <c r="W229" t="str">
        <f ca="1">IF(AND($B$294=1,LEN($W$247) * LEN($W$262) * LEN($W$274)&gt;0),$W$247+$W$262+$W$274,HLOOKUP(INDIRECT(ADDRESS(2,COLUMN())),OFFSET($AT$2,0,0,ROW()-1,40),ROW()-1,FALSE))</f>
        <v/>
      </c>
      <c r="X229" t="str">
        <f ca="1">IF(AND($B$294=1,LEN($X$247) * LEN($X$262) * LEN($X$274)&gt;0),$X$247+$X$262+$X$274,HLOOKUP(INDIRECT(ADDRESS(2,COLUMN())),OFFSET($AT$2,0,0,ROW()-1,40),ROW()-1,FALSE))</f>
        <v/>
      </c>
      <c r="Y229" t="str">
        <f ca="1">IF(AND($B$294=1,LEN($Y$247) * LEN($Y$262) * LEN($Y$274)&gt;0),$Y$247+$Y$262+$Y$274,HLOOKUP(INDIRECT(ADDRESS(2,COLUMN())),OFFSET($AT$2,0,0,ROW()-1,40),ROW()-1,FALSE))</f>
        <v/>
      </c>
      <c r="Z229" t="str">
        <f ca="1">IF(AND($B$294=1,LEN($Z$247) * LEN($Z$262) * LEN($Z$274)&gt;0),$Z$247+$Z$262+$Z$274,HLOOKUP(INDIRECT(ADDRESS(2,COLUMN())),OFFSET($AT$2,0,0,ROW()-1,40),ROW()-1,FALSE))</f>
        <v/>
      </c>
      <c r="AA229" t="str">
        <f ca="1">IF(AND($B$294=1,LEN($AA$247) * LEN($AA$262) * LEN($AA$274)&gt;0),$AA$247+$AA$262+$AA$274,HLOOKUP(INDIRECT(ADDRESS(2,COLUMN())),OFFSET($AT$2,0,0,ROW()-1,40),ROW()-1,FALSE))</f>
        <v/>
      </c>
      <c r="AB229" t="str">
        <f ca="1">IF(AND($B$294=1,LEN($AB$247) * LEN($AB$262) * LEN($AB$274)&gt;0),$AB$247+$AB$262+$AB$274,HLOOKUP(INDIRECT(ADDRESS(2,COLUMN())),OFFSET($AT$2,0,0,ROW()-1,40),ROW()-1,FALSE))</f>
        <v/>
      </c>
      <c r="AC229" t="str">
        <f ca="1">IF(AND($B$294=1,LEN($AC$247) * LEN($AC$262) * LEN($AC$274)&gt;0),$AC$247+$AC$262+$AC$274,HLOOKUP(INDIRECT(ADDRESS(2,COLUMN())),OFFSET($AT$2,0,0,ROW()-1,40),ROW()-1,FALSE))</f>
        <v/>
      </c>
      <c r="AD229" t="str">
        <f ca="1">IF(AND($B$294=1,LEN($AD$247) * LEN($AD$262) * LEN($AD$274)&gt;0),$AD$247+$AD$262+$AD$274,HLOOKUP(INDIRECT(ADDRESS(2,COLUMN())),OFFSET($AT$2,0,0,ROW()-1,40),ROW()-1,FALSE))</f>
        <v/>
      </c>
      <c r="AE229" t="str">
        <f ca="1">IF(AND($B$294=1,LEN($AE$247) * LEN($AE$262) * LEN($AE$274)&gt;0),$AE$247+$AE$262+$AE$274,HLOOKUP(INDIRECT(ADDRESS(2,COLUMN())),OFFSET($AT$2,0,0,ROW()-1,40),ROW()-1,FALSE))</f>
        <v/>
      </c>
      <c r="AF229" t="str">
        <f ca="1">IF(AND($B$294=1,LEN($AF$247) * LEN($AF$262) * LEN($AF$274)&gt;0),$AF$247+$AF$262+$AF$274,HLOOKUP(INDIRECT(ADDRESS(2,COLUMN())),OFFSET($AT$2,0,0,ROW()-1,40),ROW()-1,FALSE))</f>
        <v/>
      </c>
      <c r="AG229" t="str">
        <f ca="1">IF(AND($B$294=1,LEN($AG$247) * LEN($AG$262) * LEN($AG$274)&gt;0),$AG$247+$AG$262+$AG$274,HLOOKUP(INDIRECT(ADDRESS(2,COLUMN())),OFFSET($AT$2,0,0,ROW()-1,40),ROW()-1,FALSE))</f>
        <v/>
      </c>
      <c r="AH229" t="str">
        <f ca="1">IF(AND($B$294=1,LEN($AH$247) * LEN($AH$262) * LEN($AH$274)&gt;0),$AH$247+$AH$262+$AH$274,HLOOKUP(INDIRECT(ADDRESS(2,COLUMN())),OFFSET($AT$2,0,0,ROW()-1,40),ROW()-1,FALSE))</f>
        <v/>
      </c>
      <c r="AI229" t="str">
        <f ca="1">IF(AND($B$294=1,LEN($AI$247) * LEN($AI$262) * LEN($AI$274)&gt;0),$AI$247+$AI$262+$AI$274,HLOOKUP(INDIRECT(ADDRESS(2,COLUMN())),OFFSET($AT$2,0,0,ROW()-1,40),ROW()-1,FALSE))</f>
        <v/>
      </c>
      <c r="AJ229" t="str">
        <f ca="1">IF(AND($B$294=1,LEN($AJ$247) * LEN($AJ$262) * LEN($AJ$274)&gt;0),$AJ$247+$AJ$262+$AJ$274,HLOOKUP(INDIRECT(ADDRESS(2,COLUMN())),OFFSET($AT$2,0,0,ROW()-1,40),ROW()-1,FALSE))</f>
        <v/>
      </c>
      <c r="AK229" t="str">
        <f ca="1">IF(AND($B$294=1,LEN($AK$247) * LEN($AK$262) * LEN($AK$274)&gt;0),$AK$247+$AK$262+$AK$274,HLOOKUP(INDIRECT(ADDRESS(2,COLUMN())),OFFSET($AT$2,0,0,ROW()-1,40),ROW()-1,FALSE))</f>
        <v/>
      </c>
      <c r="AL229" t="str">
        <f ca="1">IF(AND($B$294=1,LEN($AL$247) * LEN($AL$262) * LEN($AL$274)&gt;0),$AL$247+$AL$262+$AL$274,HLOOKUP(INDIRECT(ADDRESS(2,COLUMN())),OFFSET($AT$2,0,0,ROW()-1,40),ROW()-1,FALSE))</f>
        <v/>
      </c>
      <c r="AM229" t="str">
        <f ca="1">IF(AND($B$294=1,LEN($AM$247) * LEN($AM$262) * LEN($AM$274)&gt;0),$AM$247+$AM$262+$AM$274,HLOOKUP(INDIRECT(ADDRESS(2,COLUMN())),OFFSET($AT$2,0,0,ROW()-1,40),ROW()-1,FALSE))</f>
        <v/>
      </c>
      <c r="AN229" t="str">
        <f ca="1">IF(AND($B$294=1,LEN($AN$247) * LEN($AN$262) * LEN($AN$274)&gt;0),$AN$247+$AN$262+$AN$274,HLOOKUP(INDIRECT(ADDRESS(2,COLUMN())),OFFSET($AT$2,0,0,ROW()-1,40),ROW()-1,FALSE))</f>
        <v/>
      </c>
      <c r="AO229" t="str">
        <f ca="1">IF(AND($B$294=1,LEN($AO$247) * LEN($AO$262) * LEN($AO$274)&gt;0),$AO$247+$AO$262+$AO$274,HLOOKUP(INDIRECT(ADDRESS(2,COLUMN())),OFFSET($AT$2,0,0,ROW()-1,40),ROW()-1,FALSE))</f>
        <v/>
      </c>
      <c r="AP229" t="str">
        <f ca="1">IF(AND($B$294=1,LEN($AP$247) * LEN($AP$262) * LEN($AP$274)&gt;0),$AP$247+$AP$262+$AP$274,HLOOKUP(INDIRECT(ADDRESS(2,COLUMN())),OFFSET($AT$2,0,0,ROW()-1,40),ROW()-1,FALSE))</f>
        <v/>
      </c>
      <c r="AQ229" t="str">
        <f ca="1">IF(AND($B$294=1,LEN($AQ$247) * LEN($AQ$262) * LEN($AQ$274)&gt;0),$AQ$247+$AQ$262+$AQ$274,HLOOKUP(INDIRECT(ADDRESS(2,COLUMN())),OFFSET($AT$2,0,0,ROW()-1,40),ROW()-1,FALSE))</f>
        <v/>
      </c>
      <c r="AR229" t="str">
        <f ca="1">IF(AND($B$294=1,LEN($AR$247) * LEN($AR$262) * LEN($AR$274)&gt;0),$AR$247+$AR$262+$AR$274,HLOOKUP(INDIRECT(ADDRESS(2,COLUMN())),OFFSET($AT$2,0,0,ROW()-1,40),ROW()-1,FALSE))</f>
        <v/>
      </c>
      <c r="AS229" t="str">
        <f ca="1">IF(AND($B$294=1,LEN($AS$247) * LEN($AS$262) * LEN($AS$274)&gt;0),$AS$247+$AS$262+$AS$274,HLOOKUP(INDIRECT(ADDRESS(2,COLUMN())),OFFSET($AT$2,0,0,ROW()-1,40),ROW()-1,FALSE))</f>
        <v/>
      </c>
      <c r="AT229" t="str">
        <f>""</f>
        <v/>
      </c>
      <c r="AU229" t="str">
        <f>""</f>
        <v/>
      </c>
      <c r="AV229" t="str">
        <f>""</f>
        <v/>
      </c>
      <c r="AW229" t="str">
        <f>""</f>
        <v/>
      </c>
      <c r="AX229" t="str">
        <f>""</f>
        <v/>
      </c>
      <c r="AY229" t="str">
        <f>""</f>
        <v/>
      </c>
      <c r="AZ229" t="str">
        <f>""</f>
        <v/>
      </c>
      <c r="BA229" t="str">
        <f>""</f>
        <v/>
      </c>
      <c r="BB229" t="str">
        <f>""</f>
        <v/>
      </c>
      <c r="BC229" t="str">
        <f>""</f>
        <v/>
      </c>
      <c r="BD229" t="str">
        <f>""</f>
        <v/>
      </c>
      <c r="BE229" t="str">
        <f>""</f>
        <v/>
      </c>
      <c r="BF229" t="str">
        <f>""</f>
        <v/>
      </c>
      <c r="BG229" t="str">
        <f>""</f>
        <v/>
      </c>
      <c r="BH229" t="str">
        <f>""</f>
        <v/>
      </c>
      <c r="BI229" t="str">
        <f>""</f>
        <v/>
      </c>
      <c r="BJ229" t="str">
        <f>""</f>
        <v/>
      </c>
      <c r="BK229" t="str">
        <f>""</f>
        <v/>
      </c>
      <c r="BL229" t="str">
        <f>""</f>
        <v/>
      </c>
      <c r="BM229" t="str">
        <f>""</f>
        <v/>
      </c>
      <c r="BN229" t="str">
        <f>""</f>
        <v/>
      </c>
      <c r="BO229" t="str">
        <f>""</f>
        <v/>
      </c>
      <c r="BP229" t="str">
        <f>""</f>
        <v/>
      </c>
      <c r="BQ229" t="str">
        <f>""</f>
        <v/>
      </c>
      <c r="BR229" t="str">
        <f>""</f>
        <v/>
      </c>
      <c r="BS229" t="str">
        <f>""</f>
        <v/>
      </c>
      <c r="BT229" t="str">
        <f>""</f>
        <v/>
      </c>
      <c r="BU229" t="str">
        <f>""</f>
        <v/>
      </c>
      <c r="BV229" t="str">
        <f>""</f>
        <v/>
      </c>
      <c r="BW229" t="str">
        <f>""</f>
        <v/>
      </c>
      <c r="BX229" t="str">
        <f>""</f>
        <v/>
      </c>
      <c r="BY229" t="str">
        <f>""</f>
        <v/>
      </c>
      <c r="BZ229" t="str">
        <f>""</f>
        <v/>
      </c>
      <c r="CA229" t="str">
        <f>""</f>
        <v/>
      </c>
      <c r="CB229" t="str">
        <f>""</f>
        <v/>
      </c>
      <c r="CC229" t="str">
        <f>""</f>
        <v/>
      </c>
      <c r="CD229" t="str">
        <f>""</f>
        <v/>
      </c>
      <c r="CE229" t="str">
        <f>""</f>
        <v/>
      </c>
      <c r="CF229" t="str">
        <f>""</f>
        <v/>
      </c>
      <c r="CG229" t="str">
        <f>""</f>
        <v/>
      </c>
    </row>
    <row r="230" spans="1:85" x14ac:dyDescent="0.25">
      <c r="A230" t="str">
        <f>"    Scania"</f>
        <v xml:space="preserve">    Scania</v>
      </c>
      <c r="B230" t="str">
        <f>""</f>
        <v/>
      </c>
      <c r="E230" t="str">
        <f t="shared" si="17"/>
        <v>Expression</v>
      </c>
      <c r="F230" t="str">
        <f ca="1">IF(AND($B$294=1,LEN($F$277)&gt;0),$F$277,HLOOKUP(INDIRECT(ADDRESS(2,COLUMN())),OFFSET($AT$2,0,0,ROW()-1,40),ROW()-1,FALSE))</f>
        <v/>
      </c>
      <c r="G230" t="str">
        <f ca="1">IF(AND($B$294=1,LEN($G$277)&gt;0),$G$277,HLOOKUP(INDIRECT(ADDRESS(2,COLUMN())),OFFSET($AT$2,0,0,ROW()-1,40),ROW()-1,FALSE))</f>
        <v/>
      </c>
      <c r="H230" t="str">
        <f ca="1">IF(AND($B$294=1,LEN($H$277)&gt;0),$H$277,HLOOKUP(INDIRECT(ADDRESS(2,COLUMN())),OFFSET($AT$2,0,0,ROW()-1,40),ROW()-1,FALSE))</f>
        <v/>
      </c>
      <c r="I230" t="str">
        <f ca="1">IF(AND($B$294=1,LEN($I$277)&gt;0),$I$277,HLOOKUP(INDIRECT(ADDRESS(2,COLUMN())),OFFSET($AT$2,0,0,ROW()-1,40),ROW()-1,FALSE))</f>
        <v/>
      </c>
      <c r="J230" t="str">
        <f ca="1">IF(AND($B$294=1,LEN($J$277)&gt;0),$J$277,HLOOKUP(INDIRECT(ADDRESS(2,COLUMN())),OFFSET($AT$2,0,0,ROW()-1,40),ROW()-1,FALSE))</f>
        <v/>
      </c>
      <c r="K230" t="str">
        <f ca="1">IF(AND($B$294=1,LEN($K$277)&gt;0),$K$277,HLOOKUP(INDIRECT(ADDRESS(2,COLUMN())),OFFSET($AT$2,0,0,ROW()-1,40),ROW()-1,FALSE))</f>
        <v/>
      </c>
      <c r="L230" t="str">
        <f ca="1">IF(AND($B$294=1,LEN($L$277)&gt;0),$L$277,HLOOKUP(INDIRECT(ADDRESS(2,COLUMN())),OFFSET($AT$2,0,0,ROW()-1,40),ROW()-1,FALSE))</f>
        <v/>
      </c>
      <c r="M230" t="str">
        <f ca="1">IF(AND($B$294=1,LEN($M$277)&gt;0),$M$277,HLOOKUP(INDIRECT(ADDRESS(2,COLUMN())),OFFSET($AT$2,0,0,ROW()-1,40),ROW()-1,FALSE))</f>
        <v/>
      </c>
      <c r="N230" t="str">
        <f ca="1">IF(AND($B$294=1,LEN($N$277)&gt;0),$N$277,HLOOKUP(INDIRECT(ADDRESS(2,COLUMN())),OFFSET($AT$2,0,0,ROW()-1,40),ROW()-1,FALSE))</f>
        <v/>
      </c>
      <c r="O230" t="str">
        <f ca="1">IF(AND($B$294=1,LEN($O$277)&gt;0),$O$277,HLOOKUP(INDIRECT(ADDRESS(2,COLUMN())),OFFSET($AT$2,0,0,ROW()-1,40),ROW()-1,FALSE))</f>
        <v/>
      </c>
      <c r="P230" t="str">
        <f ca="1">IF(AND($B$294=1,LEN($P$277)&gt;0),$P$277,HLOOKUP(INDIRECT(ADDRESS(2,COLUMN())),OFFSET($AT$2,0,0,ROW()-1,40),ROW()-1,FALSE))</f>
        <v/>
      </c>
      <c r="Q230" t="str">
        <f ca="1">IF(AND($B$294=1,LEN($Q$277)&gt;0),$Q$277,HLOOKUP(INDIRECT(ADDRESS(2,COLUMN())),OFFSET($AT$2,0,0,ROW()-1,40),ROW()-1,FALSE))</f>
        <v/>
      </c>
      <c r="R230" t="str">
        <f ca="1">IF(AND($B$294=1,LEN($R$277)&gt;0),$R$277,HLOOKUP(INDIRECT(ADDRESS(2,COLUMN())),OFFSET($AT$2,0,0,ROW()-1,40),ROW()-1,FALSE))</f>
        <v/>
      </c>
      <c r="S230" t="str">
        <f ca="1">IF(AND($B$294=1,LEN($S$277)&gt;0),$S$277,HLOOKUP(INDIRECT(ADDRESS(2,COLUMN())),OFFSET($AT$2,0,0,ROW()-1,40),ROW()-1,FALSE))</f>
        <v/>
      </c>
      <c r="T230" t="str">
        <f ca="1">IF(AND($B$294=1,LEN($T$277)&gt;0),$T$277,HLOOKUP(INDIRECT(ADDRESS(2,COLUMN())),OFFSET($AT$2,0,0,ROW()-1,40),ROW()-1,FALSE))</f>
        <v/>
      </c>
      <c r="U230" t="str">
        <f ca="1">IF(AND($B$294=1,LEN($U$277)&gt;0),$U$277,HLOOKUP(INDIRECT(ADDRESS(2,COLUMN())),OFFSET($AT$2,0,0,ROW()-1,40),ROW()-1,FALSE))</f>
        <v/>
      </c>
      <c r="V230" t="str">
        <f ca="1">IF(AND($B$294=1,LEN($V$277)&gt;0),$V$277,HLOOKUP(INDIRECT(ADDRESS(2,COLUMN())),OFFSET($AT$2,0,0,ROW()-1,40),ROW()-1,FALSE))</f>
        <v/>
      </c>
      <c r="W230" t="str">
        <f ca="1">IF(AND($B$294=1,LEN($W$277)&gt;0),$W$277,HLOOKUP(INDIRECT(ADDRESS(2,COLUMN())),OFFSET($AT$2,0,0,ROW()-1,40),ROW()-1,FALSE))</f>
        <v/>
      </c>
      <c r="X230" t="str">
        <f ca="1">IF(AND($B$294=1,LEN($X$277)&gt;0),$X$277,HLOOKUP(INDIRECT(ADDRESS(2,COLUMN())),OFFSET($AT$2,0,0,ROW()-1,40),ROW()-1,FALSE))</f>
        <v/>
      </c>
      <c r="Y230" t="str">
        <f ca="1">IF(AND($B$294=1,LEN($Y$277)&gt;0),$Y$277,HLOOKUP(INDIRECT(ADDRESS(2,COLUMN())),OFFSET($AT$2,0,0,ROW()-1,40),ROW()-1,FALSE))</f>
        <v/>
      </c>
      <c r="Z230" t="str">
        <f ca="1">IF(AND($B$294=1,LEN($Z$277)&gt;0),$Z$277,HLOOKUP(INDIRECT(ADDRESS(2,COLUMN())),OFFSET($AT$2,0,0,ROW()-1,40),ROW()-1,FALSE))</f>
        <v/>
      </c>
      <c r="AA230" t="str">
        <f ca="1">IF(AND($B$294=1,LEN($AA$277)&gt;0),$AA$277,HLOOKUP(INDIRECT(ADDRESS(2,COLUMN())),OFFSET($AT$2,0,0,ROW()-1,40),ROW()-1,FALSE))</f>
        <v/>
      </c>
      <c r="AB230" t="str">
        <f ca="1">IF(AND($B$294=1,LEN($AB$277)&gt;0),$AB$277,HLOOKUP(INDIRECT(ADDRESS(2,COLUMN())),OFFSET($AT$2,0,0,ROW()-1,40),ROW()-1,FALSE))</f>
        <v/>
      </c>
      <c r="AC230" t="str">
        <f ca="1">IF(AND($B$294=1,LEN($AC$277)&gt;0),$AC$277,HLOOKUP(INDIRECT(ADDRESS(2,COLUMN())),OFFSET($AT$2,0,0,ROW()-1,40),ROW()-1,FALSE))</f>
        <v/>
      </c>
      <c r="AD230" t="str">
        <f ca="1">IF(AND($B$294=1,LEN($AD$277)&gt;0),$AD$277,HLOOKUP(INDIRECT(ADDRESS(2,COLUMN())),OFFSET($AT$2,0,0,ROW()-1,40),ROW()-1,FALSE))</f>
        <v/>
      </c>
      <c r="AE230" t="str">
        <f ca="1">IF(AND($B$294=1,LEN($AE$277)&gt;0),$AE$277,HLOOKUP(INDIRECT(ADDRESS(2,COLUMN())),OFFSET($AT$2,0,0,ROW()-1,40),ROW()-1,FALSE))</f>
        <v/>
      </c>
      <c r="AF230" t="str">
        <f ca="1">IF(AND($B$294=1,LEN($AF$277)&gt;0),$AF$277,HLOOKUP(INDIRECT(ADDRESS(2,COLUMN())),OFFSET($AT$2,0,0,ROW()-1,40),ROW()-1,FALSE))</f>
        <v/>
      </c>
      <c r="AG230" t="str">
        <f ca="1">IF(AND($B$294=1,LEN($AG$277)&gt;0),$AG$277,HLOOKUP(INDIRECT(ADDRESS(2,COLUMN())),OFFSET($AT$2,0,0,ROW()-1,40),ROW()-1,FALSE))</f>
        <v/>
      </c>
      <c r="AH230" t="str">
        <f ca="1">IF(AND($B$294=1,LEN($AH$277)&gt;0),$AH$277,HLOOKUP(INDIRECT(ADDRESS(2,COLUMN())),OFFSET($AT$2,0,0,ROW()-1,40),ROW()-1,FALSE))</f>
        <v/>
      </c>
      <c r="AI230" t="str">
        <f ca="1">IF(AND($B$294=1,LEN($AI$277)&gt;0),$AI$277,HLOOKUP(INDIRECT(ADDRESS(2,COLUMN())),OFFSET($AT$2,0,0,ROW()-1,40),ROW()-1,FALSE))</f>
        <v/>
      </c>
      <c r="AJ230" t="str">
        <f ca="1">IF(AND($B$294=1,LEN($AJ$277)&gt;0),$AJ$277,HLOOKUP(INDIRECT(ADDRESS(2,COLUMN())),OFFSET($AT$2,0,0,ROW()-1,40),ROW()-1,FALSE))</f>
        <v/>
      </c>
      <c r="AK230" t="str">
        <f ca="1">IF(AND($B$294=1,LEN($AK$277)&gt;0),$AK$277,HLOOKUP(INDIRECT(ADDRESS(2,COLUMN())),OFFSET($AT$2,0,0,ROW()-1,40),ROW()-1,FALSE))</f>
        <v/>
      </c>
      <c r="AL230" t="str">
        <f ca="1">IF(AND($B$294=1,LEN($AL$277)&gt;0),$AL$277,HLOOKUP(INDIRECT(ADDRESS(2,COLUMN())),OFFSET($AT$2,0,0,ROW()-1,40),ROW()-1,FALSE))</f>
        <v/>
      </c>
      <c r="AM230" t="str">
        <f ca="1">IF(AND($B$294=1,LEN($AM$277)&gt;0),$AM$277,HLOOKUP(INDIRECT(ADDRESS(2,COLUMN())),OFFSET($AT$2,0,0,ROW()-1,40),ROW()-1,FALSE))</f>
        <v/>
      </c>
      <c r="AN230" t="str">
        <f ca="1">IF(AND($B$294=1,LEN($AN$277)&gt;0),$AN$277,HLOOKUP(INDIRECT(ADDRESS(2,COLUMN())),OFFSET($AT$2,0,0,ROW()-1,40),ROW()-1,FALSE))</f>
        <v/>
      </c>
      <c r="AO230" t="str">
        <f ca="1">IF(AND($B$294=1,LEN($AO$277)&gt;0),$AO$277,HLOOKUP(INDIRECT(ADDRESS(2,COLUMN())),OFFSET($AT$2,0,0,ROW()-1,40),ROW()-1,FALSE))</f>
        <v/>
      </c>
      <c r="AP230" t="str">
        <f ca="1">IF(AND($B$294=1,LEN($AP$277)&gt;0),$AP$277,HLOOKUP(INDIRECT(ADDRESS(2,COLUMN())),OFFSET($AT$2,0,0,ROW()-1,40),ROW()-1,FALSE))</f>
        <v/>
      </c>
      <c r="AQ230" t="str">
        <f ca="1">IF(AND($B$294=1,LEN($AQ$277)&gt;0),$AQ$277,HLOOKUP(INDIRECT(ADDRESS(2,COLUMN())),OFFSET($AT$2,0,0,ROW()-1,40),ROW()-1,FALSE))</f>
        <v/>
      </c>
      <c r="AR230" t="str">
        <f ca="1">IF(AND($B$294=1,LEN($AR$277)&gt;0),$AR$277,HLOOKUP(INDIRECT(ADDRESS(2,COLUMN())),OFFSET($AT$2,0,0,ROW()-1,40),ROW()-1,FALSE))</f>
        <v/>
      </c>
      <c r="AS230" t="str">
        <f ca="1">IF(AND($B$294=1,LEN($AS$277)&gt;0),$AS$277,HLOOKUP(INDIRECT(ADDRESS(2,COLUMN())),OFFSET($AT$2,0,0,ROW()-1,40),ROW()-1,FALSE))</f>
        <v/>
      </c>
      <c r="AT230" t="str">
        <f>""</f>
        <v/>
      </c>
      <c r="AU230" t="str">
        <f>""</f>
        <v/>
      </c>
      <c r="AV230" t="str">
        <f>""</f>
        <v/>
      </c>
      <c r="AW230" t="str">
        <f>""</f>
        <v/>
      </c>
      <c r="AX230" t="str">
        <f>""</f>
        <v/>
      </c>
      <c r="AY230" t="str">
        <f>""</f>
        <v/>
      </c>
      <c r="AZ230" t="str">
        <f>""</f>
        <v/>
      </c>
      <c r="BA230" t="str">
        <f>""</f>
        <v/>
      </c>
      <c r="BB230" t="str">
        <f>""</f>
        <v/>
      </c>
      <c r="BC230" t="str">
        <f>""</f>
        <v/>
      </c>
      <c r="BD230" t="str">
        <f>""</f>
        <v/>
      </c>
      <c r="BE230" t="str">
        <f>""</f>
        <v/>
      </c>
      <c r="BF230" t="str">
        <f>""</f>
        <v/>
      </c>
      <c r="BG230" t="str">
        <f>""</f>
        <v/>
      </c>
      <c r="BH230" t="str">
        <f>""</f>
        <v/>
      </c>
      <c r="BI230" t="str">
        <f>""</f>
        <v/>
      </c>
      <c r="BJ230" t="str">
        <f>""</f>
        <v/>
      </c>
      <c r="BK230" t="str">
        <f>""</f>
        <v/>
      </c>
      <c r="BL230" t="str">
        <f>""</f>
        <v/>
      </c>
      <c r="BM230" t="str">
        <f>""</f>
        <v/>
      </c>
      <c r="BN230" t="str">
        <f>""</f>
        <v/>
      </c>
      <c r="BO230" t="str">
        <f>""</f>
        <v/>
      </c>
      <c r="BP230" t="str">
        <f>""</f>
        <v/>
      </c>
      <c r="BQ230" t="str">
        <f>""</f>
        <v/>
      </c>
      <c r="BR230" t="str">
        <f>""</f>
        <v/>
      </c>
      <c r="BS230" t="str">
        <f>""</f>
        <v/>
      </c>
      <c r="BT230" t="str">
        <f>""</f>
        <v/>
      </c>
      <c r="BU230" t="str">
        <f>""</f>
        <v/>
      </c>
      <c r="BV230" t="str">
        <f>""</f>
        <v/>
      </c>
      <c r="BW230" t="str">
        <f>""</f>
        <v/>
      </c>
      <c r="BX230" t="str">
        <f>""</f>
        <v/>
      </c>
      <c r="BY230" t="str">
        <f>""</f>
        <v/>
      </c>
      <c r="BZ230" t="str">
        <f>""</f>
        <v/>
      </c>
      <c r="CA230" t="str">
        <f>""</f>
        <v/>
      </c>
      <c r="CB230" t="str">
        <f>""</f>
        <v/>
      </c>
      <c r="CC230" t="str">
        <f>""</f>
        <v/>
      </c>
      <c r="CD230" t="str">
        <f>""</f>
        <v/>
      </c>
      <c r="CE230" t="str">
        <f>""</f>
        <v/>
      </c>
      <c r="CF230" t="str">
        <f>""</f>
        <v/>
      </c>
      <c r="CG230" t="str">
        <f>""</f>
        <v/>
      </c>
    </row>
    <row r="231" spans="1:85" x14ac:dyDescent="0.25">
      <c r="A231" t="str">
        <f>"    MAN - MAN"</f>
        <v xml:space="preserve">    MAN - MAN</v>
      </c>
      <c r="B231" t="str">
        <f>"VOW GR Equity"</f>
        <v>VOW GR Equity</v>
      </c>
      <c r="E231" t="str">
        <f t="shared" si="17"/>
        <v>Expression</v>
      </c>
      <c r="F231" t="str">
        <f ca="1">IF(AND($B$294=1,LEN($F$275)&gt;0),$F$275,HLOOKUP(INDIRECT(ADDRESS(2,COLUMN())),OFFSET($AT$2,0,0,ROW()-1,40),ROW()-1,FALSE))</f>
        <v/>
      </c>
      <c r="G231" t="str">
        <f ca="1">IF(AND($B$294=1,LEN($G$275)&gt;0),$G$275,HLOOKUP(INDIRECT(ADDRESS(2,COLUMN())),OFFSET($AT$2,0,0,ROW()-1,40),ROW()-1,FALSE))</f>
        <v/>
      </c>
      <c r="H231" t="str">
        <f ca="1">IF(AND($B$294=1,LEN($H$275)&gt;0),$H$275,HLOOKUP(INDIRECT(ADDRESS(2,COLUMN())),OFFSET($AT$2,0,0,ROW()-1,40),ROW()-1,FALSE))</f>
        <v/>
      </c>
      <c r="I231" t="str">
        <f ca="1">IF(AND($B$294=1,LEN($I$275)&gt;0),$I$275,HLOOKUP(INDIRECT(ADDRESS(2,COLUMN())),OFFSET($AT$2,0,0,ROW()-1,40),ROW()-1,FALSE))</f>
        <v/>
      </c>
      <c r="J231" t="str">
        <f ca="1">IF(AND($B$294=1,LEN($J$275)&gt;0),$J$275,HLOOKUP(INDIRECT(ADDRESS(2,COLUMN())),OFFSET($AT$2,0,0,ROW()-1,40),ROW()-1,FALSE))</f>
        <v/>
      </c>
      <c r="K231" t="str">
        <f ca="1">IF(AND($B$294=1,LEN($K$275)&gt;0),$K$275,HLOOKUP(INDIRECT(ADDRESS(2,COLUMN())),OFFSET($AT$2,0,0,ROW()-1,40),ROW()-1,FALSE))</f>
        <v/>
      </c>
      <c r="L231" t="str">
        <f ca="1">IF(AND($B$294=1,LEN($L$275)&gt;0),$L$275,HLOOKUP(INDIRECT(ADDRESS(2,COLUMN())),OFFSET($AT$2,0,0,ROW()-1,40),ROW()-1,FALSE))</f>
        <v/>
      </c>
      <c r="M231" t="str">
        <f ca="1">IF(AND($B$294=1,LEN($M$275)&gt;0),$M$275,HLOOKUP(INDIRECT(ADDRESS(2,COLUMN())),OFFSET($AT$2,0,0,ROW()-1,40),ROW()-1,FALSE))</f>
        <v/>
      </c>
      <c r="N231" t="str">
        <f ca="1">IF(AND($B$294=1,LEN($N$275)&gt;0),$N$275,HLOOKUP(INDIRECT(ADDRESS(2,COLUMN())),OFFSET($AT$2,0,0,ROW()-1,40),ROW()-1,FALSE))</f>
        <v/>
      </c>
      <c r="O231" t="str">
        <f ca="1">IF(AND($B$294=1,LEN($O$275)&gt;0),$O$275,HLOOKUP(INDIRECT(ADDRESS(2,COLUMN())),OFFSET($AT$2,0,0,ROW()-1,40),ROW()-1,FALSE))</f>
        <v/>
      </c>
      <c r="P231" t="str">
        <f ca="1">IF(AND($B$294=1,LEN($P$275)&gt;0),$P$275,HLOOKUP(INDIRECT(ADDRESS(2,COLUMN())),OFFSET($AT$2,0,0,ROW()-1,40),ROW()-1,FALSE))</f>
        <v/>
      </c>
      <c r="Q231" t="str">
        <f ca="1">IF(AND($B$294=1,LEN($Q$275)&gt;0),$Q$275,HLOOKUP(INDIRECT(ADDRESS(2,COLUMN())),OFFSET($AT$2,0,0,ROW()-1,40),ROW()-1,FALSE))</f>
        <v/>
      </c>
      <c r="R231" t="str">
        <f ca="1">IF(AND($B$294=1,LEN($R$275)&gt;0),$R$275,HLOOKUP(INDIRECT(ADDRESS(2,COLUMN())),OFFSET($AT$2,0,0,ROW()-1,40),ROW()-1,FALSE))</f>
        <v/>
      </c>
      <c r="S231" t="str">
        <f ca="1">IF(AND($B$294=1,LEN($S$275)&gt;0),$S$275,HLOOKUP(INDIRECT(ADDRESS(2,COLUMN())),OFFSET($AT$2,0,0,ROW()-1,40),ROW()-1,FALSE))</f>
        <v/>
      </c>
      <c r="T231" t="str">
        <f ca="1">IF(AND($B$294=1,LEN($T$275)&gt;0),$T$275,HLOOKUP(INDIRECT(ADDRESS(2,COLUMN())),OFFSET($AT$2,0,0,ROW()-1,40),ROW()-1,FALSE))</f>
        <v/>
      </c>
      <c r="U231" t="str">
        <f ca="1">IF(AND($B$294=1,LEN($U$275)&gt;0),$U$275,HLOOKUP(INDIRECT(ADDRESS(2,COLUMN())),OFFSET($AT$2,0,0,ROW()-1,40),ROW()-1,FALSE))</f>
        <v/>
      </c>
      <c r="V231" t="str">
        <f ca="1">IF(AND($B$294=1,LEN($V$275)&gt;0),$V$275,HLOOKUP(INDIRECT(ADDRESS(2,COLUMN())),OFFSET($AT$2,0,0,ROW()-1,40),ROW()-1,FALSE))</f>
        <v/>
      </c>
      <c r="W231" t="str">
        <f ca="1">IF(AND($B$294=1,LEN($W$275)&gt;0),$W$275,HLOOKUP(INDIRECT(ADDRESS(2,COLUMN())),OFFSET($AT$2,0,0,ROW()-1,40),ROW()-1,FALSE))</f>
        <v/>
      </c>
      <c r="X231" t="str">
        <f ca="1">IF(AND($B$294=1,LEN($X$275)&gt;0),$X$275,HLOOKUP(INDIRECT(ADDRESS(2,COLUMN())),OFFSET($AT$2,0,0,ROW()-1,40),ROW()-1,FALSE))</f>
        <v/>
      </c>
      <c r="Y231" t="str">
        <f ca="1">IF(AND($B$294=1,LEN($Y$275)&gt;0),$Y$275,HLOOKUP(INDIRECT(ADDRESS(2,COLUMN())),OFFSET($AT$2,0,0,ROW()-1,40),ROW()-1,FALSE))</f>
        <v/>
      </c>
      <c r="Z231" t="str">
        <f ca="1">IF(AND($B$294=1,LEN($Z$275)&gt;0),$Z$275,HLOOKUP(INDIRECT(ADDRESS(2,COLUMN())),OFFSET($AT$2,0,0,ROW()-1,40),ROW()-1,FALSE))</f>
        <v/>
      </c>
      <c r="AA231" t="str">
        <f ca="1">IF(AND($B$294=1,LEN($AA$275)&gt;0),$AA$275,HLOOKUP(INDIRECT(ADDRESS(2,COLUMN())),OFFSET($AT$2,0,0,ROW()-1,40),ROW()-1,FALSE))</f>
        <v/>
      </c>
      <c r="AB231" t="str">
        <f ca="1">IF(AND($B$294=1,LEN($AB$275)&gt;0),$AB$275,HLOOKUP(INDIRECT(ADDRESS(2,COLUMN())),OFFSET($AT$2,0,0,ROW()-1,40),ROW()-1,FALSE))</f>
        <v/>
      </c>
      <c r="AC231" t="str">
        <f ca="1">IF(AND($B$294=1,LEN($AC$275)&gt;0),$AC$275,HLOOKUP(INDIRECT(ADDRESS(2,COLUMN())),OFFSET($AT$2,0,0,ROW()-1,40),ROW()-1,FALSE))</f>
        <v/>
      </c>
      <c r="AD231" t="str">
        <f ca="1">IF(AND($B$294=1,LEN($AD$275)&gt;0),$AD$275,HLOOKUP(INDIRECT(ADDRESS(2,COLUMN())),OFFSET($AT$2,0,0,ROW()-1,40),ROW()-1,FALSE))</f>
        <v/>
      </c>
      <c r="AE231" t="str">
        <f ca="1">IF(AND($B$294=1,LEN($AE$275)&gt;0),$AE$275,HLOOKUP(INDIRECT(ADDRESS(2,COLUMN())),OFFSET($AT$2,0,0,ROW()-1,40),ROW()-1,FALSE))</f>
        <v/>
      </c>
      <c r="AF231" t="str">
        <f ca="1">IF(AND($B$294=1,LEN($AF$275)&gt;0),$AF$275,HLOOKUP(INDIRECT(ADDRESS(2,COLUMN())),OFFSET($AT$2,0,0,ROW()-1,40),ROW()-1,FALSE))</f>
        <v/>
      </c>
      <c r="AG231" t="str">
        <f ca="1">IF(AND($B$294=1,LEN($AG$275)&gt;0),$AG$275,HLOOKUP(INDIRECT(ADDRESS(2,COLUMN())),OFFSET($AT$2,0,0,ROW()-1,40),ROW()-1,FALSE))</f>
        <v/>
      </c>
      <c r="AH231" t="str">
        <f ca="1">IF(AND($B$294=1,LEN($AH$275)&gt;0),$AH$275,HLOOKUP(INDIRECT(ADDRESS(2,COLUMN())),OFFSET($AT$2,0,0,ROW()-1,40),ROW()-1,FALSE))</f>
        <v/>
      </c>
      <c r="AI231" t="str">
        <f ca="1">IF(AND($B$294=1,LEN($AI$275)&gt;0),$AI$275,HLOOKUP(INDIRECT(ADDRESS(2,COLUMN())),OFFSET($AT$2,0,0,ROW()-1,40),ROW()-1,FALSE))</f>
        <v/>
      </c>
      <c r="AJ231" t="str">
        <f ca="1">IF(AND($B$294=1,LEN($AJ$275)&gt;0),$AJ$275,HLOOKUP(INDIRECT(ADDRESS(2,COLUMN())),OFFSET($AT$2,0,0,ROW()-1,40),ROW()-1,FALSE))</f>
        <v/>
      </c>
      <c r="AK231" t="str">
        <f ca="1">IF(AND($B$294=1,LEN($AK$275)&gt;0),$AK$275,HLOOKUP(INDIRECT(ADDRESS(2,COLUMN())),OFFSET($AT$2,0,0,ROW()-1,40),ROW()-1,FALSE))</f>
        <v/>
      </c>
      <c r="AL231" t="str">
        <f ca="1">IF(AND($B$294=1,LEN($AL$275)&gt;0),$AL$275,HLOOKUP(INDIRECT(ADDRESS(2,COLUMN())),OFFSET($AT$2,0,0,ROW()-1,40),ROW()-1,FALSE))</f>
        <v/>
      </c>
      <c r="AM231" t="str">
        <f ca="1">IF(AND($B$294=1,LEN($AM$275)&gt;0),$AM$275,HLOOKUP(INDIRECT(ADDRESS(2,COLUMN())),OFFSET($AT$2,0,0,ROW()-1,40),ROW()-1,FALSE))</f>
        <v/>
      </c>
      <c r="AN231" t="str">
        <f ca="1">IF(AND($B$294=1,LEN($AN$275)&gt;0),$AN$275,HLOOKUP(INDIRECT(ADDRESS(2,COLUMN())),OFFSET($AT$2,0,0,ROW()-1,40),ROW()-1,FALSE))</f>
        <v/>
      </c>
      <c r="AO231" t="str">
        <f ca="1">IF(AND($B$294=1,LEN($AO$275)&gt;0),$AO$275,HLOOKUP(INDIRECT(ADDRESS(2,COLUMN())),OFFSET($AT$2,0,0,ROW()-1,40),ROW()-1,FALSE))</f>
        <v/>
      </c>
      <c r="AP231" t="str">
        <f ca="1">IF(AND($B$294=1,LEN($AP$275)&gt;0),$AP$275,HLOOKUP(INDIRECT(ADDRESS(2,COLUMN())),OFFSET($AT$2,0,0,ROW()-1,40),ROW()-1,FALSE))</f>
        <v/>
      </c>
      <c r="AQ231" t="str">
        <f ca="1">IF(AND($B$294=1,LEN($AQ$275)&gt;0),$AQ$275,HLOOKUP(INDIRECT(ADDRESS(2,COLUMN())),OFFSET($AT$2,0,0,ROW()-1,40),ROW()-1,FALSE))</f>
        <v/>
      </c>
      <c r="AR231" t="str">
        <f ca="1">IF(AND($B$294=1,LEN($AR$275)&gt;0),$AR$275,HLOOKUP(INDIRECT(ADDRESS(2,COLUMN())),OFFSET($AT$2,0,0,ROW()-1,40),ROW()-1,FALSE))</f>
        <v/>
      </c>
      <c r="AS231" t="str">
        <f ca="1">IF(AND($B$294=1,LEN($AS$275)&gt;0),$AS$275,HLOOKUP(INDIRECT(ADDRESS(2,COLUMN())),OFFSET($AT$2,0,0,ROW()-1,40),ROW()-1,FALSE))</f>
        <v/>
      </c>
      <c r="AT231" t="str">
        <f>""</f>
        <v/>
      </c>
      <c r="AU231" t="str">
        <f>""</f>
        <v/>
      </c>
      <c r="AV231" t="str">
        <f>""</f>
        <v/>
      </c>
      <c r="AW231" t="str">
        <f>""</f>
        <v/>
      </c>
      <c r="AX231" t="str">
        <f>""</f>
        <v/>
      </c>
      <c r="AY231" t="str">
        <f>""</f>
        <v/>
      </c>
      <c r="AZ231" t="str">
        <f>""</f>
        <v/>
      </c>
      <c r="BA231" t="str">
        <f>""</f>
        <v/>
      </c>
      <c r="BB231" t="str">
        <f>""</f>
        <v/>
      </c>
      <c r="BC231" t="str">
        <f>""</f>
        <v/>
      </c>
      <c r="BD231" t="str">
        <f>""</f>
        <v/>
      </c>
      <c r="BE231" t="str">
        <f>""</f>
        <v/>
      </c>
      <c r="BF231" t="str">
        <f>""</f>
        <v/>
      </c>
      <c r="BG231" t="str">
        <f>""</f>
        <v/>
      </c>
      <c r="BH231" t="str">
        <f>""</f>
        <v/>
      </c>
      <c r="BI231" t="str">
        <f>""</f>
        <v/>
      </c>
      <c r="BJ231" t="str">
        <f>""</f>
        <v/>
      </c>
      <c r="BK231" t="str">
        <f>""</f>
        <v/>
      </c>
      <c r="BL231" t="str">
        <f>""</f>
        <v/>
      </c>
      <c r="BM231" t="str">
        <f>""</f>
        <v/>
      </c>
      <c r="BN231" t="str">
        <f>""</f>
        <v/>
      </c>
      <c r="BO231" t="str">
        <f>""</f>
        <v/>
      </c>
      <c r="BP231" t="str">
        <f>""</f>
        <v/>
      </c>
      <c r="BQ231" t="str">
        <f>""</f>
        <v/>
      </c>
      <c r="BR231" t="str">
        <f>""</f>
        <v/>
      </c>
      <c r="BS231" t="str">
        <f>""</f>
        <v/>
      </c>
      <c r="BT231" t="str">
        <f>""</f>
        <v/>
      </c>
      <c r="BU231" t="str">
        <f>""</f>
        <v/>
      </c>
      <c r="BV231" t="str">
        <f>""</f>
        <v/>
      </c>
      <c r="BW231" t="str">
        <f>""</f>
        <v/>
      </c>
      <c r="BX231" t="str">
        <f>""</f>
        <v/>
      </c>
      <c r="BY231" t="str">
        <f>""</f>
        <v/>
      </c>
      <c r="BZ231" t="str">
        <f>""</f>
        <v/>
      </c>
      <c r="CA231" t="str">
        <f>""</f>
        <v/>
      </c>
      <c r="CB231" t="str">
        <f>""</f>
        <v/>
      </c>
      <c r="CC231" t="str">
        <f>""</f>
        <v/>
      </c>
      <c r="CD231" t="str">
        <f>""</f>
        <v/>
      </c>
      <c r="CE231" t="str">
        <f>""</f>
        <v/>
      </c>
      <c r="CF231" t="str">
        <f>""</f>
        <v/>
      </c>
      <c r="CG231" t="str">
        <f>""</f>
        <v/>
      </c>
    </row>
    <row r="232" spans="1:85" x14ac:dyDescent="0.25">
      <c r="A232" t="str">
        <f>"    MAN - Volkswagen Truck &amp; Bus"</f>
        <v xml:space="preserve">    MAN - Volkswagen Truck &amp; Bus</v>
      </c>
      <c r="B232" t="str">
        <f>"VOW GR Equity"</f>
        <v>VOW GR Equity</v>
      </c>
      <c r="E232" t="str">
        <f t="shared" si="17"/>
        <v>Expression</v>
      </c>
      <c r="F232" t="str">
        <f ca="1">IF(AND($B$294=1,LEN($F$276)&gt;0),$F$276,HLOOKUP(INDIRECT(ADDRESS(2,COLUMN())),OFFSET($AT$2,0,0,ROW()-1,40),ROW()-1,FALSE))</f>
        <v/>
      </c>
      <c r="G232" t="str">
        <f ca="1">IF(AND($B$294=1,LEN($G$276)&gt;0),$G$276,HLOOKUP(INDIRECT(ADDRESS(2,COLUMN())),OFFSET($AT$2,0,0,ROW()-1,40),ROW()-1,FALSE))</f>
        <v/>
      </c>
      <c r="H232" t="str">
        <f ca="1">IF(AND($B$294=1,LEN($H$276)&gt;0),$H$276,HLOOKUP(INDIRECT(ADDRESS(2,COLUMN())),OFFSET($AT$2,0,0,ROW()-1,40),ROW()-1,FALSE))</f>
        <v/>
      </c>
      <c r="I232" t="str">
        <f ca="1">IF(AND($B$294=1,LEN($I$276)&gt;0),$I$276,HLOOKUP(INDIRECT(ADDRESS(2,COLUMN())),OFFSET($AT$2,0,0,ROW()-1,40),ROW()-1,FALSE))</f>
        <v/>
      </c>
      <c r="J232" t="str">
        <f ca="1">IF(AND($B$294=1,LEN($J$276)&gt;0),$J$276,HLOOKUP(INDIRECT(ADDRESS(2,COLUMN())),OFFSET($AT$2,0,0,ROW()-1,40),ROW()-1,FALSE))</f>
        <v/>
      </c>
      <c r="K232" t="str">
        <f ca="1">IF(AND($B$294=1,LEN($K$276)&gt;0),$K$276,HLOOKUP(INDIRECT(ADDRESS(2,COLUMN())),OFFSET($AT$2,0,0,ROW()-1,40),ROW()-1,FALSE))</f>
        <v/>
      </c>
      <c r="L232" t="str">
        <f ca="1">IF(AND($B$294=1,LEN($L$276)&gt;0),$L$276,HLOOKUP(INDIRECT(ADDRESS(2,COLUMN())),OFFSET($AT$2,0,0,ROW()-1,40),ROW()-1,FALSE))</f>
        <v/>
      </c>
      <c r="M232" t="str">
        <f ca="1">IF(AND($B$294=1,LEN($M$276)&gt;0),$M$276,HLOOKUP(INDIRECT(ADDRESS(2,COLUMN())),OFFSET($AT$2,0,0,ROW()-1,40),ROW()-1,FALSE))</f>
        <v/>
      </c>
      <c r="N232" t="str">
        <f ca="1">IF(AND($B$294=1,LEN($N$276)&gt;0),$N$276,HLOOKUP(INDIRECT(ADDRESS(2,COLUMN())),OFFSET($AT$2,0,0,ROW()-1,40),ROW()-1,FALSE))</f>
        <v/>
      </c>
      <c r="O232" t="str">
        <f ca="1">IF(AND($B$294=1,LEN($O$276)&gt;0),$O$276,HLOOKUP(INDIRECT(ADDRESS(2,COLUMN())),OFFSET($AT$2,0,0,ROW()-1,40),ROW()-1,FALSE))</f>
        <v/>
      </c>
      <c r="P232">
        <f ca="1">IF(AND($B$294=1,LEN($P$276)&gt;0),$P$276,HLOOKUP(INDIRECT(ADDRESS(2,COLUMN())),OFFSET($AT$2,0,0,ROW()-1,40),ROW()-1,FALSE))</f>
        <v>76</v>
      </c>
      <c r="Q232">
        <f ca="1">IF(AND($B$294=1,LEN($Q$276)&gt;0),$Q$276,HLOOKUP(INDIRECT(ADDRESS(2,COLUMN())),OFFSET($AT$2,0,0,ROW()-1,40),ROW()-1,FALSE))</f>
        <v>57</v>
      </c>
      <c r="R232">
        <f ca="1">IF(AND($B$294=1,LEN($R$276)&gt;0),$R$276,HLOOKUP(INDIRECT(ADDRESS(2,COLUMN())),OFFSET($AT$2,0,0,ROW()-1,40),ROW()-1,FALSE))</f>
        <v>52</v>
      </c>
      <c r="S232">
        <f ca="1">IF(AND($B$294=1,LEN($S$276)&gt;0),$S$276,HLOOKUP(INDIRECT(ADDRESS(2,COLUMN())),OFFSET($AT$2,0,0,ROW()-1,40),ROW()-1,FALSE))</f>
        <v>50</v>
      </c>
      <c r="T232">
        <f ca="1">IF(AND($B$294=1,LEN($T$276)&gt;0),$T$276,HLOOKUP(INDIRECT(ADDRESS(2,COLUMN())),OFFSET($AT$2,0,0,ROW()-1,40),ROW()-1,FALSE))</f>
        <v>40</v>
      </c>
      <c r="U232">
        <f ca="1">IF(AND($B$294=1,LEN($U$276)&gt;0),$U$276,HLOOKUP(INDIRECT(ADDRESS(2,COLUMN())),OFFSET($AT$2,0,0,ROW()-1,40),ROW()-1,FALSE))</f>
        <v>34</v>
      </c>
      <c r="V232">
        <f ca="1">IF(AND($B$294=1,LEN($V$276)&gt;0),$V$276,HLOOKUP(INDIRECT(ADDRESS(2,COLUMN())),OFFSET($AT$2,0,0,ROW()-1,40),ROW()-1,FALSE))</f>
        <v>39</v>
      </c>
      <c r="W232">
        <f ca="1">IF(AND($B$294=1,LEN($W$276)&gt;0),$W$276,HLOOKUP(INDIRECT(ADDRESS(2,COLUMN())),OFFSET($AT$2,0,0,ROW()-1,40),ROW()-1,FALSE))</f>
        <v>46</v>
      </c>
      <c r="X232">
        <f ca="1">IF(AND($B$294=1,LEN($X$276)&gt;0),$X$276,HLOOKUP(INDIRECT(ADDRESS(2,COLUMN())),OFFSET($AT$2,0,0,ROW()-1,40),ROW()-1,FALSE))</f>
        <v>44</v>
      </c>
      <c r="Y232">
        <f ca="1">IF(AND($B$294=1,LEN($Y$276)&gt;0),$Y$276,HLOOKUP(INDIRECT(ADDRESS(2,COLUMN())),OFFSET($AT$2,0,0,ROW()-1,40),ROW()-1,FALSE))</f>
        <v>39</v>
      </c>
      <c r="Z232">
        <f ca="1">IF(AND($B$294=1,LEN($Z$276)&gt;0),$Z$276,HLOOKUP(INDIRECT(ADDRESS(2,COLUMN())),OFFSET($AT$2,0,0,ROW()-1,40),ROW()-1,FALSE))</f>
        <v>30</v>
      </c>
      <c r="AA232">
        <f ca="1">IF(AND($B$294=1,LEN($AA$276)&gt;0),$AA$276,HLOOKUP(INDIRECT(ADDRESS(2,COLUMN())),OFFSET($AT$2,0,0,ROW()-1,40),ROW()-1,FALSE))</f>
        <v>44</v>
      </c>
      <c r="AB232">
        <f ca="1">IF(AND($B$294=1,LEN($AB$276)&gt;0),$AB$276,HLOOKUP(INDIRECT(ADDRESS(2,COLUMN())),OFFSET($AT$2,0,0,ROW()-1,40),ROW()-1,FALSE))</f>
        <v>74</v>
      </c>
      <c r="AC232">
        <f ca="1">IF(AND($B$294=1,LEN($AC$276)&gt;0),$AC$276,HLOOKUP(INDIRECT(ADDRESS(2,COLUMN())),OFFSET($AT$2,0,0,ROW()-1,40),ROW()-1,FALSE))</f>
        <v>59</v>
      </c>
      <c r="AD232">
        <f ca="1">IF(AND($B$294=1,LEN($AD$276)&gt;0),$AD$276,HLOOKUP(INDIRECT(ADDRESS(2,COLUMN())),OFFSET($AT$2,0,0,ROW()-1,40),ROW()-1,FALSE))</f>
        <v>55</v>
      </c>
      <c r="AE232">
        <f ca="1">IF(AND($B$294=1,LEN($AE$276)&gt;0),$AE$276,HLOOKUP(INDIRECT(ADDRESS(2,COLUMN())),OFFSET($AT$2,0,0,ROW()-1,40),ROW()-1,FALSE))</f>
        <v>52</v>
      </c>
      <c r="AF232">
        <f ca="1">IF(AND($B$294=1,LEN($AF$276)&gt;0),$AF$276,HLOOKUP(INDIRECT(ADDRESS(2,COLUMN())),OFFSET($AT$2,0,0,ROW()-1,40),ROW()-1,FALSE))</f>
        <v>52</v>
      </c>
      <c r="AG232">
        <f ca="1">IF(AND($B$294=1,LEN($AG$276)&gt;0),$AG$276,HLOOKUP(INDIRECT(ADDRESS(2,COLUMN())),OFFSET($AT$2,0,0,ROW()-1,40),ROW()-1,FALSE))</f>
        <v>52</v>
      </c>
      <c r="AH232">
        <f ca="1">IF(AND($B$294=1,LEN($AH$276)&gt;0),$AH$276,HLOOKUP(INDIRECT(ADDRESS(2,COLUMN())),OFFSET($AT$2,0,0,ROW()-1,40),ROW()-1,FALSE))</f>
        <v>50</v>
      </c>
      <c r="AI232">
        <f ca="1">IF(AND($B$294=1,LEN($AI$276)&gt;0),$AI$276,HLOOKUP(INDIRECT(ADDRESS(2,COLUMN())),OFFSET($AT$2,0,0,ROW()-1,40),ROW()-1,FALSE))</f>
        <v>46</v>
      </c>
      <c r="AJ232">
        <f ca="1">IF(AND($B$294=1,LEN($AJ$276)&gt;0),$AJ$276,HLOOKUP(INDIRECT(ADDRESS(2,COLUMN())),OFFSET($AT$2,0,0,ROW()-1,40),ROW()-1,FALSE))</f>
        <v>44</v>
      </c>
      <c r="AK232">
        <f ca="1">IF(AND($B$294=1,LEN($AK$276)&gt;0),$AK$276,HLOOKUP(INDIRECT(ADDRESS(2,COLUMN())),OFFSET($AT$2,0,0,ROW()-1,40),ROW()-1,FALSE))</f>
        <v>57</v>
      </c>
      <c r="AL232">
        <f ca="1">IF(AND($B$294=1,LEN($AL$276)&gt;0),$AL$276,HLOOKUP(INDIRECT(ADDRESS(2,COLUMN())),OFFSET($AT$2,0,0,ROW()-1,40),ROW()-1,FALSE))</f>
        <v>54</v>
      </c>
      <c r="AM232">
        <f ca="1">IF(AND($B$294=1,LEN($AM$276)&gt;0),$AM$276,HLOOKUP(INDIRECT(ADDRESS(2,COLUMN())),OFFSET($AT$2,0,0,ROW()-1,40),ROW()-1,FALSE))</f>
        <v>57</v>
      </c>
      <c r="AN232">
        <f ca="1">IF(AND($B$294=1,LEN($AN$276)&gt;0),$AN$276,HLOOKUP(INDIRECT(ADDRESS(2,COLUMN())),OFFSET($AT$2,0,0,ROW()-1,40),ROW()-1,FALSE))</f>
        <v>74</v>
      </c>
      <c r="AO232">
        <f ca="1">IF(AND($B$294=1,LEN($AO$276)&gt;0),$AO$276,HLOOKUP(INDIRECT(ADDRESS(2,COLUMN())),OFFSET($AT$2,0,0,ROW()-1,40),ROW()-1,FALSE))</f>
        <v>72</v>
      </c>
      <c r="AP232">
        <f ca="1">IF(AND($B$294=1,LEN($AP$276)&gt;0),$AP$276,HLOOKUP(INDIRECT(ADDRESS(2,COLUMN())),OFFSET($AT$2,0,0,ROW()-1,40),ROW()-1,FALSE))</f>
        <v>75</v>
      </c>
      <c r="AQ232">
        <f ca="1">IF(AND($B$294=1,LEN($AQ$276)&gt;0),$AQ$276,HLOOKUP(INDIRECT(ADDRESS(2,COLUMN())),OFFSET($AT$2,0,0,ROW()-1,40),ROW()-1,FALSE))</f>
        <v>28</v>
      </c>
      <c r="AR232">
        <f ca="1">IF(AND($B$294=1,LEN($AR$276)&gt;0),$AR$276,HLOOKUP(INDIRECT(ADDRESS(2,COLUMN())),OFFSET($AT$2,0,0,ROW()-1,40),ROW()-1,FALSE))</f>
        <v>26</v>
      </c>
      <c r="AS232">
        <f ca="1">IF(AND($B$294=1,LEN($AS$276)&gt;0),$AS$276,HLOOKUP(INDIRECT(ADDRESS(2,COLUMN())),OFFSET($AT$2,0,0,ROW()-1,40),ROW()-1,FALSE))</f>
        <v>19</v>
      </c>
      <c r="AT232" t="str">
        <f>""</f>
        <v/>
      </c>
      <c r="AU232" t="str">
        <f>""</f>
        <v/>
      </c>
      <c r="AV232" t="str">
        <f>""</f>
        <v/>
      </c>
      <c r="AW232" t="str">
        <f>""</f>
        <v/>
      </c>
      <c r="AX232" t="str">
        <f>""</f>
        <v/>
      </c>
      <c r="AY232" t="str">
        <f>""</f>
        <v/>
      </c>
      <c r="AZ232" t="str">
        <f>""</f>
        <v/>
      </c>
      <c r="BA232" t="str">
        <f>""</f>
        <v/>
      </c>
      <c r="BB232" t="str">
        <f>""</f>
        <v/>
      </c>
      <c r="BC232" t="str">
        <f>""</f>
        <v/>
      </c>
      <c r="BD232">
        <f>76</f>
        <v>76</v>
      </c>
      <c r="BE232">
        <f>57</f>
        <v>57</v>
      </c>
      <c r="BF232">
        <f>52</f>
        <v>52</v>
      </c>
      <c r="BG232">
        <f>50</f>
        <v>50</v>
      </c>
      <c r="BH232">
        <f>40</f>
        <v>40</v>
      </c>
      <c r="BI232">
        <f>34</f>
        <v>34</v>
      </c>
      <c r="BJ232">
        <f>39</f>
        <v>39</v>
      </c>
      <c r="BK232">
        <f>46</f>
        <v>46</v>
      </c>
      <c r="BL232">
        <f>44</f>
        <v>44</v>
      </c>
      <c r="BM232">
        <f>39</f>
        <v>39</v>
      </c>
      <c r="BN232">
        <f>30</f>
        <v>30</v>
      </c>
      <c r="BO232">
        <f>44</f>
        <v>44</v>
      </c>
      <c r="BP232">
        <f>74</f>
        <v>74</v>
      </c>
      <c r="BQ232">
        <f>59</f>
        <v>59</v>
      </c>
      <c r="BR232">
        <f>55</f>
        <v>55</v>
      </c>
      <c r="BS232">
        <f>52</f>
        <v>52</v>
      </c>
      <c r="BT232">
        <f>52</f>
        <v>52</v>
      </c>
      <c r="BU232">
        <f>52</f>
        <v>52</v>
      </c>
      <c r="BV232">
        <f>50</f>
        <v>50</v>
      </c>
      <c r="BW232">
        <f>46</f>
        <v>46</v>
      </c>
      <c r="BX232">
        <f>44</f>
        <v>44</v>
      </c>
      <c r="BY232">
        <f>57</f>
        <v>57</v>
      </c>
      <c r="BZ232">
        <f>54</f>
        <v>54</v>
      </c>
      <c r="CA232">
        <f>57</f>
        <v>57</v>
      </c>
      <c r="CB232">
        <f>74</f>
        <v>74</v>
      </c>
      <c r="CC232">
        <f>72</f>
        <v>72</v>
      </c>
      <c r="CD232">
        <f>75</f>
        <v>75</v>
      </c>
      <c r="CE232">
        <f>28</f>
        <v>28</v>
      </c>
      <c r="CF232">
        <f>26</f>
        <v>26</v>
      </c>
      <c r="CG232">
        <f>19</f>
        <v>19</v>
      </c>
    </row>
    <row r="233" spans="1:85" x14ac:dyDescent="0.25">
      <c r="A233" t="str">
        <f>"    Other"</f>
        <v xml:space="preserve">    Other</v>
      </c>
      <c r="B233" t="str">
        <f>""</f>
        <v/>
      </c>
      <c r="E233" t="str">
        <f t="shared" si="17"/>
        <v>Expression</v>
      </c>
      <c r="F233">
        <f ca="1">IF(AND($B$294=1,LEN($F$249) * LEN($F$278)&gt;0),$F$249+$F$278,HLOOKUP(INDIRECT(ADDRESS(2,COLUMN())),OFFSET($AT$2,0,0,ROW()-1,40),ROW()-1,FALSE))</f>
        <v>474</v>
      </c>
      <c r="G233">
        <f ca="1">IF(AND($B$294=1,LEN($G$249) * LEN($G$278)&gt;0),$G$249+$G$278,HLOOKUP(INDIRECT(ADDRESS(2,COLUMN())),OFFSET($AT$2,0,0,ROW()-1,40),ROW()-1,FALSE))</f>
        <v>498</v>
      </c>
      <c r="H233">
        <f ca="1">IF(AND($B$294=1,LEN($H$249) * LEN($H$278)&gt;0),$H$249+$H$278,HLOOKUP(INDIRECT(ADDRESS(2,COLUMN())),OFFSET($AT$2,0,0,ROW()-1,40),ROW()-1,FALSE))</f>
        <v>515</v>
      </c>
      <c r="I233">
        <f ca="1">IF(AND($B$294=1,LEN($I$249) * LEN($I$278)&gt;0),$I$249+$I$278,HLOOKUP(INDIRECT(ADDRESS(2,COLUMN())),OFFSET($AT$2,0,0,ROW()-1,40),ROW()-1,FALSE))</f>
        <v>468</v>
      </c>
      <c r="J233">
        <f ca="1">IF(AND($B$294=1,LEN($J$249) * LEN($J$278)&gt;0),$J$249+$J$278,HLOOKUP(INDIRECT(ADDRESS(2,COLUMN())),OFFSET($AT$2,0,0,ROW()-1,40),ROW()-1,FALSE))</f>
        <v>518</v>
      </c>
      <c r="K233">
        <f ca="1">IF(AND($B$294=1,LEN($K$249) * LEN($K$278)&gt;0),$K$249+$K$278,HLOOKUP(INDIRECT(ADDRESS(2,COLUMN())),OFFSET($AT$2,0,0,ROW()-1,40),ROW()-1,FALSE))</f>
        <v>432</v>
      </c>
      <c r="L233">
        <f ca="1">IF(AND($B$294=1,LEN($L$249) * LEN($L$278)&gt;0),$L$249+$L$278,HLOOKUP(INDIRECT(ADDRESS(2,COLUMN())),OFFSET($AT$2,0,0,ROW()-1,40),ROW()-1,FALSE))</f>
        <v>437</v>
      </c>
      <c r="M233">
        <f ca="1">IF(AND($B$294=1,LEN($M$249) * LEN($M$278)&gt;0),$M$249+$M$278,HLOOKUP(INDIRECT(ADDRESS(2,COLUMN())),OFFSET($AT$2,0,0,ROW()-1,40),ROW()-1,FALSE))</f>
        <v>500</v>
      </c>
      <c r="N233">
        <f ca="1">IF(AND($B$294=1,LEN($N$249) * LEN($N$278)&gt;0),$N$249+$N$278,HLOOKUP(INDIRECT(ADDRESS(2,COLUMN())),OFFSET($AT$2,0,0,ROW()-1,40),ROW()-1,FALSE))</f>
        <v>433</v>
      </c>
      <c r="O233">
        <f ca="1">IF(AND($B$294=1,LEN($O$249) * LEN($O$278)&gt;0),$O$249+$O$278,HLOOKUP(INDIRECT(ADDRESS(2,COLUMN())),OFFSET($AT$2,0,0,ROW()-1,40),ROW()-1,FALSE))</f>
        <v>448</v>
      </c>
      <c r="P233">
        <f ca="1">IF(AND($B$294=1,LEN($P$249) * LEN($P$278)&gt;0),$P$249+$P$278,HLOOKUP(INDIRECT(ADDRESS(2,COLUMN())),OFFSET($AT$2,0,0,ROW()-1,40),ROW()-1,FALSE))</f>
        <v>0</v>
      </c>
      <c r="Q233">
        <f ca="1">IF(AND($B$294=1,LEN($Q$249) * LEN($Q$278)&gt;0),$Q$249+$Q$278,HLOOKUP(INDIRECT(ADDRESS(2,COLUMN())),OFFSET($AT$2,0,0,ROW()-1,40),ROW()-1,FALSE))</f>
        <v>0</v>
      </c>
      <c r="R233">
        <f ca="1">IF(AND($B$294=1,LEN($R$249) * LEN($R$278)&gt;0),$R$249+$R$278,HLOOKUP(INDIRECT(ADDRESS(2,COLUMN())),OFFSET($AT$2,0,0,ROW()-1,40),ROW()-1,FALSE))</f>
        <v>0</v>
      </c>
      <c r="S233">
        <f ca="1">IF(AND($B$294=1,LEN($S$249) * LEN($S$278)&gt;0),$S$249+$S$278,HLOOKUP(INDIRECT(ADDRESS(2,COLUMN())),OFFSET($AT$2,0,0,ROW()-1,40),ROW()-1,FALSE))</f>
        <v>0</v>
      </c>
      <c r="T233">
        <f ca="1">IF(AND($B$294=1,LEN($T$249) * LEN($T$278)&gt;0),$T$249+$T$278,HLOOKUP(INDIRECT(ADDRESS(2,COLUMN())),OFFSET($AT$2,0,0,ROW()-1,40),ROW()-1,FALSE))</f>
        <v>0</v>
      </c>
      <c r="U233">
        <f ca="1">IF(AND($B$294=1,LEN($U$249) * LEN($U$278)&gt;0),$U$249+$U$278,HLOOKUP(INDIRECT(ADDRESS(2,COLUMN())),OFFSET($AT$2,0,0,ROW()-1,40),ROW()-1,FALSE))</f>
        <v>0</v>
      </c>
      <c r="V233">
        <f ca="1">IF(AND($B$294=1,LEN($V$249) * LEN($V$278)&gt;0),$V$249+$V$278,HLOOKUP(INDIRECT(ADDRESS(2,COLUMN())),OFFSET($AT$2,0,0,ROW()-1,40),ROW()-1,FALSE))</f>
        <v>0</v>
      </c>
      <c r="W233">
        <f ca="1">IF(AND($B$294=1,LEN($W$249) * LEN($W$278)&gt;0),$W$249+$W$278,HLOOKUP(INDIRECT(ADDRESS(2,COLUMN())),OFFSET($AT$2,0,0,ROW()-1,40),ROW()-1,FALSE))</f>
        <v>0</v>
      </c>
      <c r="X233">
        <f ca="1">IF(AND($B$294=1,LEN($X$249) * LEN($X$278)&gt;0),$X$249+$X$278,HLOOKUP(INDIRECT(ADDRESS(2,COLUMN())),OFFSET($AT$2,0,0,ROW()-1,40),ROW()-1,FALSE))</f>
        <v>0</v>
      </c>
      <c r="Y233">
        <f ca="1">IF(AND($B$294=1,LEN($Y$249) * LEN($Y$278)&gt;0),$Y$249+$Y$278,HLOOKUP(INDIRECT(ADDRESS(2,COLUMN())),OFFSET($AT$2,0,0,ROW()-1,40),ROW()-1,FALSE))</f>
        <v>0</v>
      </c>
      <c r="Z233">
        <f ca="1">IF(AND($B$294=1,LEN($Z$249) * LEN($Z$278)&gt;0),$Z$249+$Z$278,HLOOKUP(INDIRECT(ADDRESS(2,COLUMN())),OFFSET($AT$2,0,0,ROW()-1,40),ROW()-1,FALSE))</f>
        <v>0</v>
      </c>
      <c r="AA233">
        <f ca="1">IF(AND($B$294=1,LEN($AA$249) * LEN($AA$278)&gt;0),$AA$249+$AA$278,HLOOKUP(INDIRECT(ADDRESS(2,COLUMN())),OFFSET($AT$2,0,0,ROW()-1,40),ROW()-1,FALSE))</f>
        <v>0</v>
      </c>
      <c r="AB233">
        <f ca="1">IF(AND($B$294=1,LEN($AB$249) * LEN($AB$278)&gt;0),$AB$249+$AB$278,HLOOKUP(INDIRECT(ADDRESS(2,COLUMN())),OFFSET($AT$2,0,0,ROW()-1,40),ROW()-1,FALSE))</f>
        <v>0</v>
      </c>
      <c r="AC233">
        <f ca="1">IF(AND($B$294=1,LEN($AC$249) * LEN($AC$278)&gt;0),$AC$249+$AC$278,HLOOKUP(INDIRECT(ADDRESS(2,COLUMN())),OFFSET($AT$2,0,0,ROW()-1,40),ROW()-1,FALSE))</f>
        <v>0</v>
      </c>
      <c r="AD233">
        <f ca="1">IF(AND($B$294=1,LEN($AD$249) * LEN($AD$278)&gt;0),$AD$249+$AD$278,HLOOKUP(INDIRECT(ADDRESS(2,COLUMN())),OFFSET($AT$2,0,0,ROW()-1,40),ROW()-1,FALSE))</f>
        <v>0</v>
      </c>
      <c r="AE233">
        <f ca="1">IF(AND($B$294=1,LEN($AE$249) * LEN($AE$278)&gt;0),$AE$249+$AE$278,HLOOKUP(INDIRECT(ADDRESS(2,COLUMN())),OFFSET($AT$2,0,0,ROW()-1,40),ROW()-1,FALSE))</f>
        <v>0</v>
      </c>
      <c r="AF233">
        <f ca="1">IF(AND($B$294=1,LEN($AF$249) * LEN($AF$278)&gt;0),$AF$249+$AF$278,HLOOKUP(INDIRECT(ADDRESS(2,COLUMN())),OFFSET($AT$2,0,0,ROW()-1,40),ROW()-1,FALSE))</f>
        <v>0</v>
      </c>
      <c r="AG233">
        <f ca="1">IF(AND($B$294=1,LEN($AG$249) * LEN($AG$278)&gt;0),$AG$249+$AG$278,HLOOKUP(INDIRECT(ADDRESS(2,COLUMN())),OFFSET($AT$2,0,0,ROW()-1,40),ROW()-1,FALSE))</f>
        <v>0</v>
      </c>
      <c r="AH233">
        <f ca="1">IF(AND($B$294=1,LEN($AH$249) * LEN($AH$278)&gt;0),$AH$249+$AH$278,HLOOKUP(INDIRECT(ADDRESS(2,COLUMN())),OFFSET($AT$2,0,0,ROW()-1,40),ROW()-1,FALSE))</f>
        <v>0</v>
      </c>
      <c r="AI233">
        <f ca="1">IF(AND($B$294=1,LEN($AI$249) * LEN($AI$278)&gt;0),$AI$249+$AI$278,HLOOKUP(INDIRECT(ADDRESS(2,COLUMN())),OFFSET($AT$2,0,0,ROW()-1,40),ROW()-1,FALSE))</f>
        <v>0</v>
      </c>
      <c r="AJ233">
        <f ca="1">IF(AND($B$294=1,LEN($AJ$249) * LEN($AJ$278)&gt;0),$AJ$249+$AJ$278,HLOOKUP(INDIRECT(ADDRESS(2,COLUMN())),OFFSET($AT$2,0,0,ROW()-1,40),ROW()-1,FALSE))</f>
        <v>0</v>
      </c>
      <c r="AK233">
        <f ca="1">IF(AND($B$294=1,LEN($AK$249) * LEN($AK$278)&gt;0),$AK$249+$AK$278,HLOOKUP(INDIRECT(ADDRESS(2,COLUMN())),OFFSET($AT$2,0,0,ROW()-1,40),ROW()-1,FALSE))</f>
        <v>0</v>
      </c>
      <c r="AL233">
        <f ca="1">IF(AND($B$294=1,LEN($AL$249) * LEN($AL$278)&gt;0),$AL$249+$AL$278,HLOOKUP(INDIRECT(ADDRESS(2,COLUMN())),OFFSET($AT$2,0,0,ROW()-1,40),ROW()-1,FALSE))</f>
        <v>0</v>
      </c>
      <c r="AM233">
        <f ca="1">IF(AND($B$294=1,LEN($AM$249) * LEN($AM$278)&gt;0),$AM$249+$AM$278,HLOOKUP(INDIRECT(ADDRESS(2,COLUMN())),OFFSET($AT$2,0,0,ROW()-1,40),ROW()-1,FALSE))</f>
        <v>0</v>
      </c>
      <c r="AN233">
        <f ca="1">IF(AND($B$294=1,LEN($AN$249) * LEN($AN$278)&gt;0),$AN$249+$AN$278,HLOOKUP(INDIRECT(ADDRESS(2,COLUMN())),OFFSET($AT$2,0,0,ROW()-1,40),ROW()-1,FALSE))</f>
        <v>0</v>
      </c>
      <c r="AO233">
        <f ca="1">IF(AND($B$294=1,LEN($AO$249) * LEN($AO$278)&gt;0),$AO$249+$AO$278,HLOOKUP(INDIRECT(ADDRESS(2,COLUMN())),OFFSET($AT$2,0,0,ROW()-1,40),ROW()-1,FALSE))</f>
        <v>0</v>
      </c>
      <c r="AP233">
        <f ca="1">IF(AND($B$294=1,LEN($AP$249) * LEN($AP$278)&gt;0),$AP$249+$AP$278,HLOOKUP(INDIRECT(ADDRESS(2,COLUMN())),OFFSET($AT$2,0,0,ROW()-1,40),ROW()-1,FALSE))</f>
        <v>0</v>
      </c>
      <c r="AQ233">
        <f ca="1">IF(AND($B$294=1,LEN($AQ$249) * LEN($AQ$278)&gt;0),$AQ$249+$AQ$278,HLOOKUP(INDIRECT(ADDRESS(2,COLUMN())),OFFSET($AT$2,0,0,ROW()-1,40),ROW()-1,FALSE))</f>
        <v>0</v>
      </c>
      <c r="AR233">
        <f ca="1">IF(AND($B$294=1,LEN($AR$249) * LEN($AR$278)&gt;0),$AR$249+$AR$278,HLOOKUP(INDIRECT(ADDRESS(2,COLUMN())),OFFSET($AT$2,0,0,ROW()-1,40),ROW()-1,FALSE))</f>
        <v>0</v>
      </c>
      <c r="AS233">
        <f ca="1">IF(AND($B$294=1,LEN($AS$249) * LEN($AS$278)&gt;0),$AS$249+$AS$278,HLOOKUP(INDIRECT(ADDRESS(2,COLUMN())),OFFSET($AT$2,0,0,ROW()-1,40),ROW()-1,FALSE))</f>
        <v>0</v>
      </c>
      <c r="AT233">
        <f>474</f>
        <v>474</v>
      </c>
      <c r="AU233">
        <f>498</f>
        <v>498</v>
      </c>
      <c r="AV233">
        <f>515</f>
        <v>515</v>
      </c>
      <c r="AW233">
        <f>468</f>
        <v>468</v>
      </c>
      <c r="AX233">
        <f>518</f>
        <v>518</v>
      </c>
      <c r="AY233">
        <f>432</f>
        <v>432</v>
      </c>
      <c r="AZ233">
        <f>437</f>
        <v>437</v>
      </c>
      <c r="BA233">
        <f>500</f>
        <v>500</v>
      </c>
      <c r="BB233">
        <f>433</f>
        <v>433</v>
      </c>
      <c r="BC233">
        <f>448</f>
        <v>448</v>
      </c>
      <c r="BD233">
        <f>0</f>
        <v>0</v>
      </c>
      <c r="BE233">
        <f>0</f>
        <v>0</v>
      </c>
      <c r="BF233">
        <f>0</f>
        <v>0</v>
      </c>
      <c r="BG233">
        <f>0</f>
        <v>0</v>
      </c>
      <c r="BH233">
        <f>0</f>
        <v>0</v>
      </c>
      <c r="BI233">
        <f>0</f>
        <v>0</v>
      </c>
      <c r="BJ233">
        <f>0</f>
        <v>0</v>
      </c>
      <c r="BK233">
        <f>0</f>
        <v>0</v>
      </c>
      <c r="BL233">
        <f>0</f>
        <v>0</v>
      </c>
      <c r="BM233">
        <f>0</f>
        <v>0</v>
      </c>
      <c r="BN233">
        <f>0</f>
        <v>0</v>
      </c>
      <c r="BO233">
        <f>0</f>
        <v>0</v>
      </c>
      <c r="BP233">
        <f>0</f>
        <v>0</v>
      </c>
      <c r="BQ233">
        <f>0</f>
        <v>0</v>
      </c>
      <c r="BR233">
        <f>0</f>
        <v>0</v>
      </c>
      <c r="BS233">
        <f>0</f>
        <v>0</v>
      </c>
      <c r="BT233">
        <f>0</f>
        <v>0</v>
      </c>
      <c r="BU233">
        <f>0</f>
        <v>0</v>
      </c>
      <c r="BV233">
        <f>0</f>
        <v>0</v>
      </c>
      <c r="BW233">
        <f>0</f>
        <v>0</v>
      </c>
      <c r="BX233">
        <f>0</f>
        <v>0</v>
      </c>
      <c r="BY233">
        <f>0</f>
        <v>0</v>
      </c>
      <c r="BZ233">
        <f>0</f>
        <v>0</v>
      </c>
      <c r="CA233">
        <f>0</f>
        <v>0</v>
      </c>
      <c r="CB233">
        <f>0</f>
        <v>0</v>
      </c>
      <c r="CC233">
        <f>0</f>
        <v>0</v>
      </c>
      <c r="CD233">
        <f>0</f>
        <v>0</v>
      </c>
      <c r="CE233">
        <f>0</f>
        <v>0</v>
      </c>
      <c r="CF233">
        <f>0</f>
        <v>0</v>
      </c>
      <c r="CG233">
        <f>0</f>
        <v>0</v>
      </c>
    </row>
    <row r="234" spans="1:85" x14ac:dyDescent="0.25">
      <c r="A234" t="str">
        <f>"United States (Class 6-7)"</f>
        <v>United States (Class 6-7)</v>
      </c>
      <c r="B234" t="str">
        <f>"TRCKUS6S Index"</f>
        <v>TRCKUS6S Index</v>
      </c>
      <c r="C234" t="str">
        <f>"PR005"</f>
        <v>PR005</v>
      </c>
      <c r="D234" t="str">
        <f>"PX_LAST"</f>
        <v>PX_LAST</v>
      </c>
      <c r="E234" t="str">
        <f t="shared" ref="E234:E248" si="18">"Dynamic"</f>
        <v>Dynamic</v>
      </c>
      <c r="F234">
        <f ca="1">IF(AND(ISNUMBER($F$328),$B$294=1),$F$328,HLOOKUP(INDIRECT(ADDRESS(2,COLUMN())),OFFSET($AT$2,0,0,ROW()-1,40),ROW()-1,FALSE))</f>
        <v>10534</v>
      </c>
      <c r="G234">
        <f ca="1">IF(AND(ISNUMBER($G$328),$B$294=1),$G$328,HLOOKUP(INDIRECT(ADDRESS(2,COLUMN())),OFFSET($AT$2,0,0,ROW()-1,40),ROW()-1,FALSE))</f>
        <v>9700</v>
      </c>
      <c r="H234">
        <f ca="1">IF(AND(ISNUMBER($H$328),$B$294=1),$H$328,HLOOKUP(INDIRECT(ADDRESS(2,COLUMN())),OFFSET($AT$2,0,0,ROW()-1,40),ROW()-1,FALSE))</f>
        <v>12452</v>
      </c>
      <c r="I234">
        <f ca="1">IF(AND(ISNUMBER($I$328),$B$294=1),$I$328,HLOOKUP(INDIRECT(ADDRESS(2,COLUMN())),OFFSET($AT$2,0,0,ROW()-1,40),ROW()-1,FALSE))</f>
        <v>9911</v>
      </c>
      <c r="J234">
        <f ca="1">IF(AND(ISNUMBER($J$328),$B$294=1),$J$328,HLOOKUP(INDIRECT(ADDRESS(2,COLUMN())),OFFSET($AT$2,0,0,ROW()-1,40),ROW()-1,FALSE))</f>
        <v>10271</v>
      </c>
      <c r="K234">
        <f ca="1">IF(AND(ISNUMBER($K$328),$B$294=1),$K$328,HLOOKUP(INDIRECT(ADDRESS(2,COLUMN())),OFFSET($AT$2,0,0,ROW()-1,40),ROW()-1,FALSE))</f>
        <v>9762</v>
      </c>
      <c r="L234">
        <f ca="1">IF(AND(ISNUMBER($L$328),$B$294=1),$L$328,HLOOKUP(INDIRECT(ADDRESS(2,COLUMN())),OFFSET($AT$2,0,0,ROW()-1,40),ROW()-1,FALSE))</f>
        <v>9975</v>
      </c>
      <c r="M234">
        <f ca="1">IF(AND(ISNUMBER($M$328),$B$294=1),$M$328,HLOOKUP(INDIRECT(ADDRESS(2,COLUMN())),OFFSET($AT$2,0,0,ROW()-1,40),ROW()-1,FALSE))</f>
        <v>12600</v>
      </c>
      <c r="N234">
        <f ca="1">IF(AND(ISNUMBER($N$328),$B$294=1),$N$328,HLOOKUP(INDIRECT(ADDRESS(2,COLUMN())),OFFSET($AT$2,0,0,ROW()-1,40),ROW()-1,FALSE))</f>
        <v>9740</v>
      </c>
      <c r="O234">
        <f ca="1">IF(AND(ISNUMBER($O$328),$B$294=1),$O$328,HLOOKUP(INDIRECT(ADDRESS(2,COLUMN())),OFFSET($AT$2,0,0,ROW()-1,40),ROW()-1,FALSE))</f>
        <v>8923</v>
      </c>
      <c r="P234">
        <f ca="1">IF(AND(ISNUMBER($P$328),$B$294=1),$P$328,HLOOKUP(INDIRECT(ADDRESS(2,COLUMN())),OFFSET($AT$2,0,0,ROW()-1,40),ROW()-1,FALSE))</f>
        <v>10433</v>
      </c>
      <c r="Q234">
        <f ca="1">IF(AND(ISNUMBER($Q$328),$B$294=1),$Q$328,HLOOKUP(INDIRECT(ADDRESS(2,COLUMN())),OFFSET($AT$2,0,0,ROW()-1,40),ROW()-1,FALSE))</f>
        <v>8729</v>
      </c>
      <c r="R234">
        <f ca="1">IF(AND(ISNUMBER($R$328),$B$294=1),$R$328,HLOOKUP(INDIRECT(ADDRESS(2,COLUMN())),OFFSET($AT$2,0,0,ROW()-1,40),ROW()-1,FALSE))</f>
        <v>9636</v>
      </c>
      <c r="S234">
        <f ca="1">IF(AND(ISNUMBER($S$328),$B$294=1),$S$328,HLOOKUP(INDIRECT(ADDRESS(2,COLUMN())),OFFSET($AT$2,0,0,ROW()-1,40),ROW()-1,FALSE))</f>
        <v>10268</v>
      </c>
      <c r="T234">
        <f ca="1">IF(AND(ISNUMBER($T$328),$B$294=1),$T$328,HLOOKUP(INDIRECT(ADDRESS(2,COLUMN())),OFFSET($AT$2,0,0,ROW()-1,40),ROW()-1,FALSE))</f>
        <v>11020</v>
      </c>
      <c r="U234">
        <f ca="1">IF(AND(ISNUMBER($U$328),$B$294=1),$U$328,HLOOKUP(INDIRECT(ADDRESS(2,COLUMN())),OFFSET($AT$2,0,0,ROW()-1,40),ROW()-1,FALSE))</f>
        <v>9791</v>
      </c>
      <c r="V234">
        <f ca="1">IF(AND(ISNUMBER($V$328),$B$294=1),$V$328,HLOOKUP(INDIRECT(ADDRESS(2,COLUMN())),OFFSET($AT$2,0,0,ROW()-1,40),ROW()-1,FALSE))</f>
        <v>10355</v>
      </c>
      <c r="W234">
        <f ca="1">IF(AND(ISNUMBER($W$328),$B$294=1),$W$328,HLOOKUP(INDIRECT(ADDRESS(2,COLUMN())),OFFSET($AT$2,0,0,ROW()-1,40),ROW()-1,FALSE))</f>
        <v>9805</v>
      </c>
      <c r="X234">
        <f ca="1">IF(AND(ISNUMBER($X$328),$B$294=1),$X$328,HLOOKUP(INDIRECT(ADDRESS(2,COLUMN())),OFFSET($AT$2,0,0,ROW()-1,40),ROW()-1,FALSE))</f>
        <v>10136</v>
      </c>
      <c r="Y234">
        <f ca="1">IF(AND(ISNUMBER($Y$328),$B$294=1),$Y$328,HLOOKUP(INDIRECT(ADDRESS(2,COLUMN())),OFFSET($AT$2,0,0,ROW()-1,40),ROW()-1,FALSE))</f>
        <v>11921</v>
      </c>
      <c r="Z234">
        <f ca="1">IF(AND(ISNUMBER($Z$328),$B$294=1),$Z$328,HLOOKUP(INDIRECT(ADDRESS(2,COLUMN())),OFFSET($AT$2,0,0,ROW()-1,40),ROW()-1,FALSE))</f>
        <v>10086</v>
      </c>
      <c r="AA234">
        <f ca="1">IF(AND(ISNUMBER($AA$328),$B$294=1),$AA$328,HLOOKUP(INDIRECT(ADDRESS(2,COLUMN())),OFFSET($AT$2,0,0,ROW()-1,40),ROW()-1,FALSE))</f>
        <v>9012</v>
      </c>
      <c r="AB234">
        <f ca="1">IF(AND(ISNUMBER($AB$328),$B$294=1),$AB$328,HLOOKUP(INDIRECT(ADDRESS(2,COLUMN())),OFFSET($AT$2,0,0,ROW()-1,40),ROW()-1,FALSE))</f>
        <v>10297</v>
      </c>
      <c r="AC234">
        <f ca="1">IF(AND(ISNUMBER($AC$328),$B$294=1),$AC$328,HLOOKUP(INDIRECT(ADDRESS(2,COLUMN())),OFFSET($AT$2,0,0,ROW()-1,40),ROW()-1,FALSE))</f>
        <v>9525</v>
      </c>
      <c r="AD234">
        <f ca="1">IF(AND(ISNUMBER($AD$328),$B$294=1),$AD$328,HLOOKUP(INDIRECT(ADDRESS(2,COLUMN())),OFFSET($AT$2,0,0,ROW()-1,40),ROW()-1,FALSE))</f>
        <v>10848</v>
      </c>
      <c r="AE234">
        <f ca="1">IF(AND(ISNUMBER($AE$328),$B$294=1),$AE$328,HLOOKUP(INDIRECT(ADDRESS(2,COLUMN())),OFFSET($AT$2,0,0,ROW()-1,40),ROW()-1,FALSE))</f>
        <v>9305</v>
      </c>
      <c r="AF234">
        <f ca="1">IF(AND(ISNUMBER($AF$328),$B$294=1),$AF$328,HLOOKUP(INDIRECT(ADDRESS(2,COLUMN())),OFFSET($AT$2,0,0,ROW()-1,40),ROW()-1,FALSE))</f>
        <v>10127</v>
      </c>
      <c r="AG234">
        <f ca="1">IF(AND(ISNUMBER($AG$328),$B$294=1),$AG$328,HLOOKUP(INDIRECT(ADDRESS(2,COLUMN())),OFFSET($AT$2,0,0,ROW()-1,40),ROW()-1,FALSE))</f>
        <v>10275</v>
      </c>
      <c r="AH234">
        <f ca="1">IF(AND(ISNUMBER($AH$328),$B$294=1),$AH$328,HLOOKUP(INDIRECT(ADDRESS(2,COLUMN())),OFFSET($AT$2,0,0,ROW()-1,40),ROW()-1,FALSE))</f>
        <v>10149</v>
      </c>
      <c r="AI234">
        <f ca="1">IF(AND(ISNUMBER($AI$328),$B$294=1),$AI$328,HLOOKUP(INDIRECT(ADDRESS(2,COLUMN())),OFFSET($AT$2,0,0,ROW()-1,40),ROW()-1,FALSE))</f>
        <v>8287</v>
      </c>
      <c r="AJ234">
        <f ca="1">IF(AND(ISNUMBER($AJ$328),$B$294=1),$AJ$328,HLOOKUP(INDIRECT(ADDRESS(2,COLUMN())),OFFSET($AT$2,0,0,ROW()-1,40),ROW()-1,FALSE))</f>
        <v>8667</v>
      </c>
      <c r="AK234">
        <f ca="1">IF(AND(ISNUMBER($AK$328),$B$294=1),$AK$328,HLOOKUP(INDIRECT(ADDRESS(2,COLUMN())),OFFSET($AT$2,0,0,ROW()-1,40),ROW()-1,FALSE))</f>
        <v>10261</v>
      </c>
      <c r="AL234">
        <f ca="1">IF(AND(ISNUMBER($AL$328),$B$294=1),$AL$328,HLOOKUP(INDIRECT(ADDRESS(2,COLUMN())),OFFSET($AT$2,0,0,ROW()-1,40),ROW()-1,FALSE))</f>
        <v>7922</v>
      </c>
      <c r="AM234">
        <f ca="1">IF(AND(ISNUMBER($AM$328),$B$294=1),$AM$328,HLOOKUP(INDIRECT(ADDRESS(2,COLUMN())),OFFSET($AT$2,0,0,ROW()-1,40),ROW()-1,FALSE))</f>
        <v>8343</v>
      </c>
      <c r="AN234">
        <f ca="1">IF(AND(ISNUMBER($AN$328),$B$294=1),$AN$328,HLOOKUP(INDIRECT(ADDRESS(2,COLUMN())),OFFSET($AT$2,0,0,ROW()-1,40),ROW()-1,FALSE))</f>
        <v>10030</v>
      </c>
      <c r="AO234">
        <f ca="1">IF(AND(ISNUMBER($AO$328),$B$294=1),$AO$328,HLOOKUP(INDIRECT(ADDRESS(2,COLUMN())),OFFSET($AT$2,0,0,ROW()-1,40),ROW()-1,FALSE))</f>
        <v>6932</v>
      </c>
      <c r="AP234">
        <f ca="1">IF(AND(ISNUMBER($AP$328),$B$294=1),$AP$328,HLOOKUP(INDIRECT(ADDRESS(2,COLUMN())),OFFSET($AT$2,0,0,ROW()-1,40),ROW()-1,FALSE))</f>
        <v>9392</v>
      </c>
      <c r="AQ234">
        <f ca="1">IF(AND(ISNUMBER($AQ$328),$B$294=1),$AQ$328,HLOOKUP(INDIRECT(ADDRESS(2,COLUMN())),OFFSET($AT$2,0,0,ROW()-1,40),ROW()-1,FALSE))</f>
        <v>9189</v>
      </c>
      <c r="AR234">
        <f ca="1">IF(AND(ISNUMBER($AR$328),$B$294=1),$AR$328,HLOOKUP(INDIRECT(ADDRESS(2,COLUMN())),OFFSET($AT$2,0,0,ROW()-1,40),ROW()-1,FALSE))</f>
        <v>8916</v>
      </c>
      <c r="AS234">
        <f ca="1">IF(AND(ISNUMBER($AS$328),$B$294=1),$AS$328,HLOOKUP(INDIRECT(ADDRESS(2,COLUMN())),OFFSET($AT$2,0,0,ROW()-1,40),ROW()-1,FALSE))</f>
        <v>10129</v>
      </c>
      <c r="AT234">
        <f>10534</f>
        <v>10534</v>
      </c>
      <c r="AU234">
        <f>9700</f>
        <v>9700</v>
      </c>
      <c r="AV234">
        <f>12452</f>
        <v>12452</v>
      </c>
      <c r="AW234">
        <f>9911</f>
        <v>9911</v>
      </c>
      <c r="AX234">
        <f>10271</f>
        <v>10271</v>
      </c>
      <c r="AY234">
        <f>9762</f>
        <v>9762</v>
      </c>
      <c r="AZ234">
        <f>9975</f>
        <v>9975</v>
      </c>
      <c r="BA234">
        <f>12600</f>
        <v>12600</v>
      </c>
      <c r="BB234">
        <f>9740</f>
        <v>9740</v>
      </c>
      <c r="BC234">
        <f>8923</f>
        <v>8923</v>
      </c>
      <c r="BD234">
        <f>10433</f>
        <v>10433</v>
      </c>
      <c r="BE234">
        <f>8729</f>
        <v>8729</v>
      </c>
      <c r="BF234">
        <f>9636</f>
        <v>9636</v>
      </c>
      <c r="BG234">
        <f>10268</f>
        <v>10268</v>
      </c>
      <c r="BH234">
        <f>11020</f>
        <v>11020</v>
      </c>
      <c r="BI234">
        <f>9791</f>
        <v>9791</v>
      </c>
      <c r="BJ234">
        <f>10355</f>
        <v>10355</v>
      </c>
      <c r="BK234">
        <f>9805</f>
        <v>9805</v>
      </c>
      <c r="BL234">
        <f>10136</f>
        <v>10136</v>
      </c>
      <c r="BM234">
        <f>11921</f>
        <v>11921</v>
      </c>
      <c r="BN234">
        <f>10086</f>
        <v>10086</v>
      </c>
      <c r="BO234">
        <f>9012</f>
        <v>9012</v>
      </c>
      <c r="BP234">
        <f>10297</f>
        <v>10297</v>
      </c>
      <c r="BQ234">
        <f>9525</f>
        <v>9525</v>
      </c>
      <c r="BR234">
        <f>10848</f>
        <v>10848</v>
      </c>
      <c r="BS234">
        <f>9305</f>
        <v>9305</v>
      </c>
      <c r="BT234">
        <f>10127</f>
        <v>10127</v>
      </c>
      <c r="BU234">
        <f>10275</f>
        <v>10275</v>
      </c>
      <c r="BV234">
        <f>10149</f>
        <v>10149</v>
      </c>
      <c r="BW234">
        <f>8287</f>
        <v>8287</v>
      </c>
      <c r="BX234">
        <f>8667</f>
        <v>8667</v>
      </c>
      <c r="BY234">
        <f>10261</f>
        <v>10261</v>
      </c>
      <c r="BZ234">
        <f>7922</f>
        <v>7922</v>
      </c>
      <c r="CA234">
        <f>8343</f>
        <v>8343</v>
      </c>
      <c r="CB234">
        <f>10030</f>
        <v>10030</v>
      </c>
      <c r="CC234">
        <f>6932</f>
        <v>6932</v>
      </c>
      <c r="CD234">
        <f>9392</f>
        <v>9392</v>
      </c>
      <c r="CE234">
        <f>9189</f>
        <v>9189</v>
      </c>
      <c r="CF234">
        <f>8916</f>
        <v>8916</v>
      </c>
      <c r="CG234">
        <f>10129</f>
        <v>10129</v>
      </c>
    </row>
    <row r="235" spans="1:85" x14ac:dyDescent="0.25">
      <c r="A235" t="str">
        <f>"    Daimler - Freightliner"</f>
        <v xml:space="preserve">    Daimler - Freightliner</v>
      </c>
      <c r="B235" t="str">
        <f>"DAI GR Equity"</f>
        <v>DAI GR Equity</v>
      </c>
      <c r="C235" t="str">
        <f t="shared" ref="C235:C248" si="19">"X1701"</f>
        <v>X1701</v>
      </c>
      <c r="D235" t="str">
        <f t="shared" ref="D235:D248" si="20">"WARDS_RETAIL_SALES_UNITS"</f>
        <v>WARDS_RETAIL_SALES_UNITS</v>
      </c>
      <c r="E235" t="str">
        <f t="shared" si="18"/>
        <v>Dynamic</v>
      </c>
      <c r="F235">
        <f ca="1">IF(AND(ISNUMBER($F$329),$B$294=1),$F$329,HLOOKUP(INDIRECT(ADDRESS(2,COLUMN())),OFFSET($AT$2,0,0,ROW()-1,40),ROW()-1,FALSE))</f>
        <v>4070</v>
      </c>
      <c r="G235">
        <f ca="1">IF(AND(ISNUMBER($G$329),$B$294=1),$G$329,HLOOKUP(INDIRECT(ADDRESS(2,COLUMN())),OFFSET($AT$2,0,0,ROW()-1,40),ROW()-1,FALSE))</f>
        <v>3920</v>
      </c>
      <c r="H235">
        <f ca="1">IF(AND(ISNUMBER($H$329),$B$294=1),$H$329,HLOOKUP(INDIRECT(ADDRESS(2,COLUMN())),OFFSET($AT$2,0,0,ROW()-1,40),ROW()-1,FALSE))</f>
        <v>4654</v>
      </c>
      <c r="I235">
        <f ca="1">IF(AND(ISNUMBER($I$329),$B$294=1),$I$329,HLOOKUP(INDIRECT(ADDRESS(2,COLUMN())),OFFSET($AT$2,0,0,ROW()-1,40),ROW()-1,FALSE))</f>
        <v>3569</v>
      </c>
      <c r="J235">
        <f ca="1">IF(AND(ISNUMBER($J$329),$B$294=1),$J$329,HLOOKUP(INDIRECT(ADDRESS(2,COLUMN())),OFFSET($AT$2,0,0,ROW()-1,40),ROW()-1,FALSE))</f>
        <v>3732</v>
      </c>
      <c r="K235">
        <f ca="1">IF(AND(ISNUMBER($K$329),$B$294=1),$K$329,HLOOKUP(INDIRECT(ADDRESS(2,COLUMN())),OFFSET($AT$2,0,0,ROW()-1,40),ROW()-1,FALSE))</f>
        <v>4302</v>
      </c>
      <c r="L235">
        <f ca="1">IF(AND(ISNUMBER($L$329),$B$294=1),$L$329,HLOOKUP(INDIRECT(ADDRESS(2,COLUMN())),OFFSET($AT$2,0,0,ROW()-1,40),ROW()-1,FALSE))</f>
        <v>3975</v>
      </c>
      <c r="M235">
        <f ca="1">IF(AND(ISNUMBER($M$329),$B$294=1),$M$329,HLOOKUP(INDIRECT(ADDRESS(2,COLUMN())),OFFSET($AT$2,0,0,ROW()-1,40),ROW()-1,FALSE))</f>
        <v>4811</v>
      </c>
      <c r="N235">
        <f ca="1">IF(AND(ISNUMBER($N$329),$B$294=1),$N$329,HLOOKUP(INDIRECT(ADDRESS(2,COLUMN())),OFFSET($AT$2,0,0,ROW()-1,40),ROW()-1,FALSE))</f>
        <v>4136</v>
      </c>
      <c r="O235">
        <f ca="1">IF(AND(ISNUMBER($O$329),$B$294=1),$O$329,HLOOKUP(INDIRECT(ADDRESS(2,COLUMN())),OFFSET($AT$2,0,0,ROW()-1,40),ROW()-1,FALSE))</f>
        <v>3534</v>
      </c>
      <c r="P235">
        <f ca="1">IF(AND(ISNUMBER($P$329),$B$294=1),$P$329,HLOOKUP(INDIRECT(ADDRESS(2,COLUMN())),OFFSET($AT$2,0,0,ROW()-1,40),ROW()-1,FALSE))</f>
        <v>3199</v>
      </c>
      <c r="Q235">
        <f ca="1">IF(AND(ISNUMBER($Q$329),$B$294=1),$Q$329,HLOOKUP(INDIRECT(ADDRESS(2,COLUMN())),OFFSET($AT$2,0,0,ROW()-1,40),ROW()-1,FALSE))</f>
        <v>3421</v>
      </c>
      <c r="R235">
        <f ca="1">IF(AND(ISNUMBER($R$329),$B$294=1),$R$329,HLOOKUP(INDIRECT(ADDRESS(2,COLUMN())),OFFSET($AT$2,0,0,ROW()-1,40),ROW()-1,FALSE))</f>
        <v>3922</v>
      </c>
      <c r="S235">
        <f ca="1">IF(AND(ISNUMBER($S$329),$B$294=1),$S$329,HLOOKUP(INDIRECT(ADDRESS(2,COLUMN())),OFFSET($AT$2,0,0,ROW()-1,40),ROW()-1,FALSE))</f>
        <v>3749</v>
      </c>
      <c r="T235">
        <f ca="1">IF(AND(ISNUMBER($T$329),$B$294=1),$T$329,HLOOKUP(INDIRECT(ADDRESS(2,COLUMN())),OFFSET($AT$2,0,0,ROW()-1,40),ROW()-1,FALSE))</f>
        <v>4458</v>
      </c>
      <c r="U235">
        <f ca="1">IF(AND(ISNUMBER($U$329),$B$294=1),$U$329,HLOOKUP(INDIRECT(ADDRESS(2,COLUMN())),OFFSET($AT$2,0,0,ROW()-1,40),ROW()-1,FALSE))</f>
        <v>3891</v>
      </c>
      <c r="V235">
        <f ca="1">IF(AND(ISNUMBER($V$329),$B$294=1),$V$329,HLOOKUP(INDIRECT(ADDRESS(2,COLUMN())),OFFSET($AT$2,0,0,ROW()-1,40),ROW()-1,FALSE))</f>
        <v>4152</v>
      </c>
      <c r="W235">
        <f ca="1">IF(AND(ISNUMBER($W$329),$B$294=1),$W$329,HLOOKUP(INDIRECT(ADDRESS(2,COLUMN())),OFFSET($AT$2,0,0,ROW()-1,40),ROW()-1,FALSE))</f>
        <v>3824</v>
      </c>
      <c r="X235">
        <f ca="1">IF(AND(ISNUMBER($X$329),$B$294=1),$X$329,HLOOKUP(INDIRECT(ADDRESS(2,COLUMN())),OFFSET($AT$2,0,0,ROW()-1,40),ROW()-1,FALSE))</f>
        <v>3685</v>
      </c>
      <c r="Y235">
        <f ca="1">IF(AND(ISNUMBER($Y$329),$B$294=1),$Y$329,HLOOKUP(INDIRECT(ADDRESS(2,COLUMN())),OFFSET($AT$2,0,0,ROW()-1,40),ROW()-1,FALSE))</f>
        <v>4243</v>
      </c>
      <c r="Z235">
        <f ca="1">IF(AND(ISNUMBER($Z$329),$B$294=1),$Z$329,HLOOKUP(INDIRECT(ADDRESS(2,COLUMN())),OFFSET($AT$2,0,0,ROW()-1,40),ROW()-1,FALSE))</f>
        <v>4253</v>
      </c>
      <c r="AA235">
        <f ca="1">IF(AND(ISNUMBER($AA$329),$B$294=1),$AA$329,HLOOKUP(INDIRECT(ADDRESS(2,COLUMN())),OFFSET($AT$2,0,0,ROW()-1,40),ROW()-1,FALSE))</f>
        <v>3876</v>
      </c>
      <c r="AB235">
        <f ca="1">IF(AND(ISNUMBER($AB$329),$B$294=1),$AB$329,HLOOKUP(INDIRECT(ADDRESS(2,COLUMN())),OFFSET($AT$2,0,0,ROW()-1,40),ROW()-1,FALSE))</f>
        <v>3340</v>
      </c>
      <c r="AC235">
        <f ca="1">IF(AND(ISNUMBER($AC$329),$B$294=1),$AC$329,HLOOKUP(INDIRECT(ADDRESS(2,COLUMN())),OFFSET($AT$2,0,0,ROW()-1,40),ROW()-1,FALSE))</f>
        <v>4394</v>
      </c>
      <c r="AD235">
        <f ca="1">IF(AND(ISNUMBER($AD$329),$B$294=1),$AD$329,HLOOKUP(INDIRECT(ADDRESS(2,COLUMN())),OFFSET($AT$2,0,0,ROW()-1,40),ROW()-1,FALSE))</f>
        <v>4691</v>
      </c>
      <c r="AE235">
        <f ca="1">IF(AND(ISNUMBER($AE$329),$B$294=1),$AE$329,HLOOKUP(INDIRECT(ADDRESS(2,COLUMN())),OFFSET($AT$2,0,0,ROW()-1,40),ROW()-1,FALSE))</f>
        <v>4092</v>
      </c>
      <c r="AF235">
        <f ca="1">IF(AND(ISNUMBER($AF$329),$B$294=1),$AF$329,HLOOKUP(INDIRECT(ADDRESS(2,COLUMN())),OFFSET($AT$2,0,0,ROW()-1,40),ROW()-1,FALSE))</f>
        <v>3954</v>
      </c>
      <c r="AG235">
        <f ca="1">IF(AND(ISNUMBER($AG$329),$B$294=1),$AG$329,HLOOKUP(INDIRECT(ADDRESS(2,COLUMN())),OFFSET($AT$2,0,0,ROW()-1,40),ROW()-1,FALSE))</f>
        <v>3673</v>
      </c>
      <c r="AH235">
        <f ca="1">IF(AND(ISNUMBER($AH$329),$B$294=1),$AH$329,HLOOKUP(INDIRECT(ADDRESS(2,COLUMN())),OFFSET($AT$2,0,0,ROW()-1,40),ROW()-1,FALSE))</f>
        <v>4000</v>
      </c>
      <c r="AI235">
        <f ca="1">IF(AND(ISNUMBER($AI$329),$B$294=1),$AI$329,HLOOKUP(INDIRECT(ADDRESS(2,COLUMN())),OFFSET($AT$2,0,0,ROW()-1,40),ROW()-1,FALSE))</f>
        <v>3821</v>
      </c>
      <c r="AJ235">
        <f ca="1">IF(AND(ISNUMBER($AJ$329),$B$294=1),$AJ$329,HLOOKUP(INDIRECT(ADDRESS(2,COLUMN())),OFFSET($AT$2,0,0,ROW()-1,40),ROW()-1,FALSE))</f>
        <v>3626</v>
      </c>
      <c r="AK235">
        <f ca="1">IF(AND(ISNUMBER($AK$329),$B$294=1),$AK$329,HLOOKUP(INDIRECT(ADDRESS(2,COLUMN())),OFFSET($AT$2,0,0,ROW()-1,40),ROW()-1,FALSE))</f>
        <v>3877</v>
      </c>
      <c r="AL235">
        <f ca="1">IF(AND(ISNUMBER($AL$329),$B$294=1),$AL$329,HLOOKUP(INDIRECT(ADDRESS(2,COLUMN())),OFFSET($AT$2,0,0,ROW()-1,40),ROW()-1,FALSE))</f>
        <v>3192</v>
      </c>
      <c r="AM235">
        <f ca="1">IF(AND(ISNUMBER($AM$329),$B$294=1),$AM$329,HLOOKUP(INDIRECT(ADDRESS(2,COLUMN())),OFFSET($AT$2,0,0,ROW()-1,40),ROW()-1,FALSE))</f>
        <v>3433</v>
      </c>
      <c r="AN235">
        <f ca="1">IF(AND(ISNUMBER($AN$329),$B$294=1),$AN$329,HLOOKUP(INDIRECT(ADDRESS(2,COLUMN())),OFFSET($AT$2,0,0,ROW()-1,40),ROW()-1,FALSE))</f>
        <v>3465</v>
      </c>
      <c r="AO235">
        <f ca="1">IF(AND(ISNUMBER($AO$329),$B$294=1),$AO$329,HLOOKUP(INDIRECT(ADDRESS(2,COLUMN())),OFFSET($AT$2,0,0,ROW()-1,40),ROW()-1,FALSE))</f>
        <v>2737</v>
      </c>
      <c r="AP235">
        <f ca="1">IF(AND(ISNUMBER($AP$329),$B$294=1),$AP$329,HLOOKUP(INDIRECT(ADDRESS(2,COLUMN())),OFFSET($AT$2,0,0,ROW()-1,40),ROW()-1,FALSE))</f>
        <v>4002</v>
      </c>
      <c r="AQ235">
        <f ca="1">IF(AND(ISNUMBER($AQ$329),$B$294=1),$AQ$329,HLOOKUP(INDIRECT(ADDRESS(2,COLUMN())),OFFSET($AT$2,0,0,ROW()-1,40),ROW()-1,FALSE))</f>
        <v>3752</v>
      </c>
      <c r="AR235">
        <f ca="1">IF(AND(ISNUMBER($AR$329),$B$294=1),$AR$329,HLOOKUP(INDIRECT(ADDRESS(2,COLUMN())),OFFSET($AT$2,0,0,ROW()-1,40),ROW()-1,FALSE))</f>
        <v>3697</v>
      </c>
      <c r="AS235">
        <f ca="1">IF(AND(ISNUMBER($AS$329),$B$294=1),$AS$329,HLOOKUP(INDIRECT(ADDRESS(2,COLUMN())),OFFSET($AT$2,0,0,ROW()-1,40),ROW()-1,FALSE))</f>
        <v>4046</v>
      </c>
      <c r="AT235">
        <f>4070</f>
        <v>4070</v>
      </c>
      <c r="AU235">
        <f>3920</f>
        <v>3920</v>
      </c>
      <c r="AV235">
        <f>4654</f>
        <v>4654</v>
      </c>
      <c r="AW235">
        <f>3569</f>
        <v>3569</v>
      </c>
      <c r="AX235">
        <f>3732</f>
        <v>3732</v>
      </c>
      <c r="AY235">
        <f>4302</f>
        <v>4302</v>
      </c>
      <c r="AZ235">
        <f>3975</f>
        <v>3975</v>
      </c>
      <c r="BA235">
        <f>4811</f>
        <v>4811</v>
      </c>
      <c r="BB235">
        <f>4136</f>
        <v>4136</v>
      </c>
      <c r="BC235">
        <f>3534</f>
        <v>3534</v>
      </c>
      <c r="BD235">
        <f>3199</f>
        <v>3199</v>
      </c>
      <c r="BE235">
        <f>3421</f>
        <v>3421</v>
      </c>
      <c r="BF235">
        <f>3922</f>
        <v>3922</v>
      </c>
      <c r="BG235">
        <f>3749</f>
        <v>3749</v>
      </c>
      <c r="BH235">
        <f>4458</f>
        <v>4458</v>
      </c>
      <c r="BI235">
        <f>3891</f>
        <v>3891</v>
      </c>
      <c r="BJ235">
        <f>4152</f>
        <v>4152</v>
      </c>
      <c r="BK235">
        <f>3824</f>
        <v>3824</v>
      </c>
      <c r="BL235">
        <f>3685</f>
        <v>3685</v>
      </c>
      <c r="BM235">
        <f>4243</f>
        <v>4243</v>
      </c>
      <c r="BN235">
        <f>4253</f>
        <v>4253</v>
      </c>
      <c r="BO235">
        <f>3876</f>
        <v>3876</v>
      </c>
      <c r="BP235">
        <f>3340</f>
        <v>3340</v>
      </c>
      <c r="BQ235">
        <f>4394</f>
        <v>4394</v>
      </c>
      <c r="BR235">
        <f>4691</f>
        <v>4691</v>
      </c>
      <c r="BS235">
        <f>4092</f>
        <v>4092</v>
      </c>
      <c r="BT235">
        <f>3954</f>
        <v>3954</v>
      </c>
      <c r="BU235">
        <f>3673</f>
        <v>3673</v>
      </c>
      <c r="BV235">
        <f>4000</f>
        <v>4000</v>
      </c>
      <c r="BW235">
        <f>3821</f>
        <v>3821</v>
      </c>
      <c r="BX235">
        <f>3626</f>
        <v>3626</v>
      </c>
      <c r="BY235">
        <f>3877</f>
        <v>3877</v>
      </c>
      <c r="BZ235">
        <f>3192</f>
        <v>3192</v>
      </c>
      <c r="CA235">
        <f>3433</f>
        <v>3433</v>
      </c>
      <c r="CB235">
        <f>3465</f>
        <v>3465</v>
      </c>
      <c r="CC235">
        <f>2737</f>
        <v>2737</v>
      </c>
      <c r="CD235">
        <f>4002</f>
        <v>4002</v>
      </c>
      <c r="CE235">
        <f>3752</f>
        <v>3752</v>
      </c>
      <c r="CF235">
        <f>3697</f>
        <v>3697</v>
      </c>
      <c r="CG235">
        <f>4046</f>
        <v>4046</v>
      </c>
    </row>
    <row r="236" spans="1:85" x14ac:dyDescent="0.25">
      <c r="A236" t="str">
        <f>"    Daimler - Mitsubishi Fuso"</f>
        <v xml:space="preserve">    Daimler - Mitsubishi Fuso</v>
      </c>
      <c r="B236" t="str">
        <f>"DAI GR Equity"</f>
        <v>DAI GR Equity</v>
      </c>
      <c r="C236" t="str">
        <f t="shared" si="19"/>
        <v>X1701</v>
      </c>
      <c r="D236" t="str">
        <f t="shared" si="20"/>
        <v>WARDS_RETAIL_SALES_UNITS</v>
      </c>
      <c r="E236" t="str">
        <f t="shared" si="18"/>
        <v>Dynamic</v>
      </c>
      <c r="F236">
        <f ca="1">IF(AND(ISNUMBER($F$330),$B$294=1),$F$330,HLOOKUP(INDIRECT(ADDRESS(2,COLUMN())),OFFSET($AT$2,0,0,ROW()-1,40),ROW()-1,FALSE))</f>
        <v>0</v>
      </c>
      <c r="G236">
        <f ca="1">IF(AND(ISNUMBER($G$330),$B$294=1),$G$330,HLOOKUP(INDIRECT(ADDRESS(2,COLUMN())),OFFSET($AT$2,0,0,ROW()-1,40),ROW()-1,FALSE))</f>
        <v>0</v>
      </c>
      <c r="H236">
        <f ca="1">IF(AND(ISNUMBER($H$330),$B$294=1),$H$330,HLOOKUP(INDIRECT(ADDRESS(2,COLUMN())),OFFSET($AT$2,0,0,ROW()-1,40),ROW()-1,FALSE))</f>
        <v>0</v>
      </c>
      <c r="I236">
        <f ca="1">IF(AND(ISNUMBER($I$330),$B$294=1),$I$330,HLOOKUP(INDIRECT(ADDRESS(2,COLUMN())),OFFSET($AT$2,0,0,ROW()-1,40),ROW()-1,FALSE))</f>
        <v>0</v>
      </c>
      <c r="J236">
        <f ca="1">IF(AND(ISNUMBER($J$330),$B$294=1),$J$330,HLOOKUP(INDIRECT(ADDRESS(2,COLUMN())),OFFSET($AT$2,0,0,ROW()-1,40),ROW()-1,FALSE))</f>
        <v>0</v>
      </c>
      <c r="K236">
        <f ca="1">IF(AND(ISNUMBER($K$330),$B$294=1),$K$330,HLOOKUP(INDIRECT(ADDRESS(2,COLUMN())),OFFSET($AT$2,0,0,ROW()-1,40),ROW()-1,FALSE))</f>
        <v>0</v>
      </c>
      <c r="L236">
        <f ca="1">IF(AND(ISNUMBER($L$330),$B$294=1),$L$330,HLOOKUP(INDIRECT(ADDRESS(2,COLUMN())),OFFSET($AT$2,0,0,ROW()-1,40),ROW()-1,FALSE))</f>
        <v>0</v>
      </c>
      <c r="M236">
        <f ca="1">IF(AND(ISNUMBER($M$330),$B$294=1),$M$330,HLOOKUP(INDIRECT(ADDRESS(2,COLUMN())),OFFSET($AT$2,0,0,ROW()-1,40),ROW()-1,FALSE))</f>
        <v>0</v>
      </c>
      <c r="N236">
        <f ca="1">IF(AND(ISNUMBER($N$330),$B$294=1),$N$330,HLOOKUP(INDIRECT(ADDRESS(2,COLUMN())),OFFSET($AT$2,0,0,ROW()-1,40),ROW()-1,FALSE))</f>
        <v>0</v>
      </c>
      <c r="O236">
        <f ca="1">IF(AND(ISNUMBER($O$330),$B$294=1),$O$330,HLOOKUP(INDIRECT(ADDRESS(2,COLUMN())),OFFSET($AT$2,0,0,ROW()-1,40),ROW()-1,FALSE))</f>
        <v>0</v>
      </c>
      <c r="P236">
        <f ca="1">IF(AND(ISNUMBER($P$330),$B$294=1),$P$330,HLOOKUP(INDIRECT(ADDRESS(2,COLUMN())),OFFSET($AT$2,0,0,ROW()-1,40),ROW()-1,FALSE))</f>
        <v>0</v>
      </c>
      <c r="Q236">
        <f ca="1">IF(AND(ISNUMBER($Q$330),$B$294=1),$Q$330,HLOOKUP(INDIRECT(ADDRESS(2,COLUMN())),OFFSET($AT$2,0,0,ROW()-1,40),ROW()-1,FALSE))</f>
        <v>0</v>
      </c>
      <c r="R236">
        <f ca="1">IF(AND(ISNUMBER($R$330),$B$294=1),$R$330,HLOOKUP(INDIRECT(ADDRESS(2,COLUMN())),OFFSET($AT$2,0,0,ROW()-1,40),ROW()-1,FALSE))</f>
        <v>0</v>
      </c>
      <c r="S236">
        <f ca="1">IF(AND(ISNUMBER($S$330),$B$294=1),$S$330,HLOOKUP(INDIRECT(ADDRESS(2,COLUMN())),OFFSET($AT$2,0,0,ROW()-1,40),ROW()-1,FALSE))</f>
        <v>0</v>
      </c>
      <c r="T236">
        <f ca="1">IF(AND(ISNUMBER($T$330),$B$294=1),$T$330,HLOOKUP(INDIRECT(ADDRESS(2,COLUMN())),OFFSET($AT$2,0,0,ROW()-1,40),ROW()-1,FALSE))</f>
        <v>0</v>
      </c>
      <c r="U236">
        <f ca="1">IF(AND(ISNUMBER($U$330),$B$294=1),$U$330,HLOOKUP(INDIRECT(ADDRESS(2,COLUMN())),OFFSET($AT$2,0,0,ROW()-1,40),ROW()-1,FALSE))</f>
        <v>0</v>
      </c>
      <c r="V236">
        <f ca="1">IF(AND(ISNUMBER($V$330),$B$294=1),$V$330,HLOOKUP(INDIRECT(ADDRESS(2,COLUMN())),OFFSET($AT$2,0,0,ROW()-1,40),ROW()-1,FALSE))</f>
        <v>0</v>
      </c>
      <c r="W236">
        <f ca="1">IF(AND(ISNUMBER($W$330),$B$294=1),$W$330,HLOOKUP(INDIRECT(ADDRESS(2,COLUMN())),OFFSET($AT$2,0,0,ROW()-1,40),ROW()-1,FALSE))</f>
        <v>0</v>
      </c>
      <c r="X236">
        <f ca="1">IF(AND(ISNUMBER($X$330),$B$294=1),$X$330,HLOOKUP(INDIRECT(ADDRESS(2,COLUMN())),OFFSET($AT$2,0,0,ROW()-1,40),ROW()-1,FALSE))</f>
        <v>0</v>
      </c>
      <c r="Y236">
        <f ca="1">IF(AND(ISNUMBER($Y$330),$B$294=1),$Y$330,HLOOKUP(INDIRECT(ADDRESS(2,COLUMN())),OFFSET($AT$2,0,0,ROW()-1,40),ROW()-1,FALSE))</f>
        <v>0</v>
      </c>
      <c r="Z236">
        <f ca="1">IF(AND(ISNUMBER($Z$330),$B$294=1),$Z$330,HLOOKUP(INDIRECT(ADDRESS(2,COLUMN())),OFFSET($AT$2,0,0,ROW()-1,40),ROW()-1,FALSE))</f>
        <v>0</v>
      </c>
      <c r="AA236">
        <f ca="1">IF(AND(ISNUMBER($AA$330),$B$294=1),$AA$330,HLOOKUP(INDIRECT(ADDRESS(2,COLUMN())),OFFSET($AT$2,0,0,ROW()-1,40),ROW()-1,FALSE))</f>
        <v>0</v>
      </c>
      <c r="AB236">
        <f ca="1">IF(AND(ISNUMBER($AB$330),$B$294=1),$AB$330,HLOOKUP(INDIRECT(ADDRESS(2,COLUMN())),OFFSET($AT$2,0,0,ROW()-1,40),ROW()-1,FALSE))</f>
        <v>0</v>
      </c>
      <c r="AC236">
        <f ca="1">IF(AND(ISNUMBER($AC$330),$B$294=1),$AC$330,HLOOKUP(INDIRECT(ADDRESS(2,COLUMN())),OFFSET($AT$2,0,0,ROW()-1,40),ROW()-1,FALSE))</f>
        <v>0</v>
      </c>
      <c r="AD236">
        <f ca="1">IF(AND(ISNUMBER($AD$330),$B$294=1),$AD$330,HLOOKUP(INDIRECT(ADDRESS(2,COLUMN())),OFFSET($AT$2,0,0,ROW()-1,40),ROW()-1,FALSE))</f>
        <v>0</v>
      </c>
      <c r="AE236">
        <f ca="1">IF(AND(ISNUMBER($AE$330),$B$294=1),$AE$330,HLOOKUP(INDIRECT(ADDRESS(2,COLUMN())),OFFSET($AT$2,0,0,ROW()-1,40),ROW()-1,FALSE))</f>
        <v>0</v>
      </c>
      <c r="AF236">
        <f ca="1">IF(AND(ISNUMBER($AF$330),$B$294=1),$AF$330,HLOOKUP(INDIRECT(ADDRESS(2,COLUMN())),OFFSET($AT$2,0,0,ROW()-1,40),ROW()-1,FALSE))</f>
        <v>0</v>
      </c>
      <c r="AG236">
        <f ca="1">IF(AND(ISNUMBER($AG$330),$B$294=1),$AG$330,HLOOKUP(INDIRECT(ADDRESS(2,COLUMN())),OFFSET($AT$2,0,0,ROW()-1,40),ROW()-1,FALSE))</f>
        <v>0</v>
      </c>
      <c r="AH236">
        <f ca="1">IF(AND(ISNUMBER($AH$330),$B$294=1),$AH$330,HLOOKUP(INDIRECT(ADDRESS(2,COLUMN())),OFFSET($AT$2,0,0,ROW()-1,40),ROW()-1,FALSE))</f>
        <v>0</v>
      </c>
      <c r="AI236">
        <f ca="1">IF(AND(ISNUMBER($AI$330),$B$294=1),$AI$330,HLOOKUP(INDIRECT(ADDRESS(2,COLUMN())),OFFSET($AT$2,0,0,ROW()-1,40),ROW()-1,FALSE))</f>
        <v>0</v>
      </c>
      <c r="AJ236">
        <f ca="1">IF(AND(ISNUMBER($AJ$330),$B$294=1),$AJ$330,HLOOKUP(INDIRECT(ADDRESS(2,COLUMN())),OFFSET($AT$2,0,0,ROW()-1,40),ROW()-1,FALSE))</f>
        <v>0</v>
      </c>
      <c r="AK236">
        <f ca="1">IF(AND(ISNUMBER($AK$330),$B$294=1),$AK$330,HLOOKUP(INDIRECT(ADDRESS(2,COLUMN())),OFFSET($AT$2,0,0,ROW()-1,40),ROW()-1,FALSE))</f>
        <v>0</v>
      </c>
      <c r="AL236">
        <f ca="1">IF(AND(ISNUMBER($AL$330),$B$294=1),$AL$330,HLOOKUP(INDIRECT(ADDRESS(2,COLUMN())),OFFSET($AT$2,0,0,ROW()-1,40),ROW()-1,FALSE))</f>
        <v>0</v>
      </c>
      <c r="AM236">
        <f ca="1">IF(AND(ISNUMBER($AM$330),$B$294=1),$AM$330,HLOOKUP(INDIRECT(ADDRESS(2,COLUMN())),OFFSET($AT$2,0,0,ROW()-1,40),ROW()-1,FALSE))</f>
        <v>0</v>
      </c>
      <c r="AN236">
        <f ca="1">IF(AND(ISNUMBER($AN$330),$B$294=1),$AN$330,HLOOKUP(INDIRECT(ADDRESS(2,COLUMN())),OFFSET($AT$2,0,0,ROW()-1,40),ROW()-1,FALSE))</f>
        <v>0</v>
      </c>
      <c r="AO236">
        <f ca="1">IF(AND(ISNUMBER($AO$330),$B$294=1),$AO$330,HLOOKUP(INDIRECT(ADDRESS(2,COLUMN())),OFFSET($AT$2,0,0,ROW()-1,40),ROW()-1,FALSE))</f>
        <v>0</v>
      </c>
      <c r="AP236">
        <f ca="1">IF(AND(ISNUMBER($AP$330),$B$294=1),$AP$330,HLOOKUP(INDIRECT(ADDRESS(2,COLUMN())),OFFSET($AT$2,0,0,ROW()-1,40),ROW()-1,FALSE))</f>
        <v>0</v>
      </c>
      <c r="AQ236">
        <f ca="1">IF(AND(ISNUMBER($AQ$330),$B$294=1),$AQ$330,HLOOKUP(INDIRECT(ADDRESS(2,COLUMN())),OFFSET($AT$2,0,0,ROW()-1,40),ROW()-1,FALSE))</f>
        <v>0</v>
      </c>
      <c r="AR236">
        <f ca="1">IF(AND(ISNUMBER($AR$330),$B$294=1),$AR$330,HLOOKUP(INDIRECT(ADDRESS(2,COLUMN())),OFFSET($AT$2,0,0,ROW()-1,40),ROW()-1,FALSE))</f>
        <v>0</v>
      </c>
      <c r="AS236">
        <f ca="1">IF(AND(ISNUMBER($AS$330),$B$294=1),$AS$330,HLOOKUP(INDIRECT(ADDRESS(2,COLUMN())),OFFSET($AT$2,0,0,ROW()-1,40),ROW()-1,FALSE))</f>
        <v>0</v>
      </c>
      <c r="AT236">
        <f>0</f>
        <v>0</v>
      </c>
      <c r="AU236">
        <f>0</f>
        <v>0</v>
      </c>
      <c r="AV236">
        <f>0</f>
        <v>0</v>
      </c>
      <c r="AW236">
        <f>0</f>
        <v>0</v>
      </c>
      <c r="AX236">
        <f>0</f>
        <v>0</v>
      </c>
      <c r="AY236">
        <f>0</f>
        <v>0</v>
      </c>
      <c r="AZ236">
        <f>0</f>
        <v>0</v>
      </c>
      <c r="BA236">
        <f>0</f>
        <v>0</v>
      </c>
      <c r="BB236">
        <f>0</f>
        <v>0</v>
      </c>
      <c r="BC236">
        <f>0</f>
        <v>0</v>
      </c>
      <c r="BD236">
        <f>0</f>
        <v>0</v>
      </c>
      <c r="BE236">
        <f>0</f>
        <v>0</v>
      </c>
      <c r="BF236">
        <f>0</f>
        <v>0</v>
      </c>
      <c r="BG236">
        <f>0</f>
        <v>0</v>
      </c>
      <c r="BH236">
        <f>0</f>
        <v>0</v>
      </c>
      <c r="BI236">
        <f>0</f>
        <v>0</v>
      </c>
      <c r="BJ236">
        <f>0</f>
        <v>0</v>
      </c>
      <c r="BK236">
        <f>0</f>
        <v>0</v>
      </c>
      <c r="BL236">
        <f>0</f>
        <v>0</v>
      </c>
      <c r="BM236">
        <f>0</f>
        <v>0</v>
      </c>
      <c r="BN236">
        <f>0</f>
        <v>0</v>
      </c>
      <c r="BO236">
        <f>0</f>
        <v>0</v>
      </c>
      <c r="BP236">
        <f>0</f>
        <v>0</v>
      </c>
      <c r="BQ236">
        <f>0</f>
        <v>0</v>
      </c>
      <c r="BR236">
        <f>0</f>
        <v>0</v>
      </c>
      <c r="BS236">
        <f>0</f>
        <v>0</v>
      </c>
      <c r="BT236">
        <f>0</f>
        <v>0</v>
      </c>
      <c r="BU236">
        <f>0</f>
        <v>0</v>
      </c>
      <c r="BV236">
        <f>0</f>
        <v>0</v>
      </c>
      <c r="BW236">
        <f>0</f>
        <v>0</v>
      </c>
      <c r="BX236">
        <f>0</f>
        <v>0</v>
      </c>
      <c r="BY236">
        <f>0</f>
        <v>0</v>
      </c>
      <c r="BZ236">
        <f>0</f>
        <v>0</v>
      </c>
      <c r="CA236">
        <f>0</f>
        <v>0</v>
      </c>
      <c r="CB236">
        <f>0</f>
        <v>0</v>
      </c>
      <c r="CC236">
        <f>0</f>
        <v>0</v>
      </c>
      <c r="CD236">
        <f>0</f>
        <v>0</v>
      </c>
      <c r="CE236">
        <f>0</f>
        <v>0</v>
      </c>
      <c r="CF236">
        <f>0</f>
        <v>0</v>
      </c>
      <c r="CG236">
        <f>0</f>
        <v>0</v>
      </c>
    </row>
    <row r="237" spans="1:85" x14ac:dyDescent="0.25">
      <c r="A237" t="str">
        <f>"    Daimler - Western Star"</f>
        <v xml:space="preserve">    Daimler - Western Star</v>
      </c>
      <c r="B237" t="str">
        <f>"DAI GR Equity"</f>
        <v>DAI GR Equity</v>
      </c>
      <c r="C237" t="str">
        <f t="shared" si="19"/>
        <v>X1701</v>
      </c>
      <c r="D237" t="str">
        <f t="shared" si="20"/>
        <v>WARDS_RETAIL_SALES_UNITS</v>
      </c>
      <c r="E237" t="str">
        <f t="shared" si="18"/>
        <v>Dynamic</v>
      </c>
      <c r="F237" t="str">
        <f ca="1">IF(AND(ISNUMBER($F$331),$B$294=1),$F$331,HLOOKUP(INDIRECT(ADDRESS(2,COLUMN())),OFFSET($AT$2,0,0,ROW()-1,40),ROW()-1,FALSE))</f>
        <v/>
      </c>
      <c r="G237" t="str">
        <f ca="1">IF(AND(ISNUMBER($G$331),$B$294=1),$G$331,HLOOKUP(INDIRECT(ADDRESS(2,COLUMN())),OFFSET($AT$2,0,0,ROW()-1,40),ROW()-1,FALSE))</f>
        <v/>
      </c>
      <c r="H237" t="str">
        <f ca="1">IF(AND(ISNUMBER($H$331),$B$294=1),$H$331,HLOOKUP(INDIRECT(ADDRESS(2,COLUMN())),OFFSET($AT$2,0,0,ROW()-1,40),ROW()-1,FALSE))</f>
        <v/>
      </c>
      <c r="I237" t="str">
        <f ca="1">IF(AND(ISNUMBER($I$331),$B$294=1),$I$331,HLOOKUP(INDIRECT(ADDRESS(2,COLUMN())),OFFSET($AT$2,0,0,ROW()-1,40),ROW()-1,FALSE))</f>
        <v/>
      </c>
      <c r="J237" t="str">
        <f ca="1">IF(AND(ISNUMBER($J$331),$B$294=1),$J$331,HLOOKUP(INDIRECT(ADDRESS(2,COLUMN())),OFFSET($AT$2,0,0,ROW()-1,40),ROW()-1,FALSE))</f>
        <v/>
      </c>
      <c r="K237" t="str">
        <f ca="1">IF(AND(ISNUMBER($K$331),$B$294=1),$K$331,HLOOKUP(INDIRECT(ADDRESS(2,COLUMN())),OFFSET($AT$2,0,0,ROW()-1,40),ROW()-1,FALSE))</f>
        <v/>
      </c>
      <c r="L237" t="str">
        <f ca="1">IF(AND(ISNUMBER($L$331),$B$294=1),$L$331,HLOOKUP(INDIRECT(ADDRESS(2,COLUMN())),OFFSET($AT$2,0,0,ROW()-1,40),ROW()-1,FALSE))</f>
        <v/>
      </c>
      <c r="M237" t="str">
        <f ca="1">IF(AND(ISNUMBER($M$331),$B$294=1),$M$331,HLOOKUP(INDIRECT(ADDRESS(2,COLUMN())),OFFSET($AT$2,0,0,ROW()-1,40),ROW()-1,FALSE))</f>
        <v/>
      </c>
      <c r="N237" t="str">
        <f ca="1">IF(AND(ISNUMBER($N$331),$B$294=1),$N$331,HLOOKUP(INDIRECT(ADDRESS(2,COLUMN())),OFFSET($AT$2,0,0,ROW()-1,40),ROW()-1,FALSE))</f>
        <v/>
      </c>
      <c r="O237" t="str">
        <f ca="1">IF(AND(ISNUMBER($O$331),$B$294=1),$O$331,HLOOKUP(INDIRECT(ADDRESS(2,COLUMN())),OFFSET($AT$2,0,0,ROW()-1,40),ROW()-1,FALSE))</f>
        <v/>
      </c>
      <c r="P237" t="str">
        <f ca="1">IF(AND(ISNUMBER($P$331),$B$294=1),$P$331,HLOOKUP(INDIRECT(ADDRESS(2,COLUMN())),OFFSET($AT$2,0,0,ROW()-1,40),ROW()-1,FALSE))</f>
        <v/>
      </c>
      <c r="Q237" t="str">
        <f ca="1">IF(AND(ISNUMBER($Q$331),$B$294=1),$Q$331,HLOOKUP(INDIRECT(ADDRESS(2,COLUMN())),OFFSET($AT$2,0,0,ROW()-1,40),ROW()-1,FALSE))</f>
        <v/>
      </c>
      <c r="R237" t="str">
        <f ca="1">IF(AND(ISNUMBER($R$331),$B$294=1),$R$331,HLOOKUP(INDIRECT(ADDRESS(2,COLUMN())),OFFSET($AT$2,0,0,ROW()-1,40),ROW()-1,FALSE))</f>
        <v/>
      </c>
      <c r="S237" t="str">
        <f ca="1">IF(AND(ISNUMBER($S$331),$B$294=1),$S$331,HLOOKUP(INDIRECT(ADDRESS(2,COLUMN())),OFFSET($AT$2,0,0,ROW()-1,40),ROW()-1,FALSE))</f>
        <v/>
      </c>
      <c r="T237" t="str">
        <f ca="1">IF(AND(ISNUMBER($T$331),$B$294=1),$T$331,HLOOKUP(INDIRECT(ADDRESS(2,COLUMN())),OFFSET($AT$2,0,0,ROW()-1,40),ROW()-1,FALSE))</f>
        <v/>
      </c>
      <c r="U237" t="str">
        <f ca="1">IF(AND(ISNUMBER($U$331),$B$294=1),$U$331,HLOOKUP(INDIRECT(ADDRESS(2,COLUMN())),OFFSET($AT$2,0,0,ROW()-1,40),ROW()-1,FALSE))</f>
        <v/>
      </c>
      <c r="V237" t="str">
        <f ca="1">IF(AND(ISNUMBER($V$331),$B$294=1),$V$331,HLOOKUP(INDIRECT(ADDRESS(2,COLUMN())),OFFSET($AT$2,0,0,ROW()-1,40),ROW()-1,FALSE))</f>
        <v/>
      </c>
      <c r="W237" t="str">
        <f ca="1">IF(AND(ISNUMBER($W$331),$B$294=1),$W$331,HLOOKUP(INDIRECT(ADDRESS(2,COLUMN())),OFFSET($AT$2,0,0,ROW()-1,40),ROW()-1,FALSE))</f>
        <v/>
      </c>
      <c r="X237" t="str">
        <f ca="1">IF(AND(ISNUMBER($X$331),$B$294=1),$X$331,HLOOKUP(INDIRECT(ADDRESS(2,COLUMN())),OFFSET($AT$2,0,0,ROW()-1,40),ROW()-1,FALSE))</f>
        <v/>
      </c>
      <c r="Y237" t="str">
        <f ca="1">IF(AND(ISNUMBER($Y$331),$B$294=1),$Y$331,HLOOKUP(INDIRECT(ADDRESS(2,COLUMN())),OFFSET($AT$2,0,0,ROW()-1,40),ROW()-1,FALSE))</f>
        <v/>
      </c>
      <c r="Z237" t="str">
        <f ca="1">IF(AND(ISNUMBER($Z$331),$B$294=1),$Z$331,HLOOKUP(INDIRECT(ADDRESS(2,COLUMN())),OFFSET($AT$2,0,0,ROW()-1,40),ROW()-1,FALSE))</f>
        <v/>
      </c>
      <c r="AA237" t="str">
        <f ca="1">IF(AND(ISNUMBER($AA$331),$B$294=1),$AA$331,HLOOKUP(INDIRECT(ADDRESS(2,COLUMN())),OFFSET($AT$2,0,0,ROW()-1,40),ROW()-1,FALSE))</f>
        <v/>
      </c>
      <c r="AB237" t="str">
        <f ca="1">IF(AND(ISNUMBER($AB$331),$B$294=1),$AB$331,HLOOKUP(INDIRECT(ADDRESS(2,COLUMN())),OFFSET($AT$2,0,0,ROW()-1,40),ROW()-1,FALSE))</f>
        <v/>
      </c>
      <c r="AC237" t="str">
        <f ca="1">IF(AND(ISNUMBER($AC$331),$B$294=1),$AC$331,HLOOKUP(INDIRECT(ADDRESS(2,COLUMN())),OFFSET($AT$2,0,0,ROW()-1,40),ROW()-1,FALSE))</f>
        <v/>
      </c>
      <c r="AD237" t="str">
        <f ca="1">IF(AND(ISNUMBER($AD$331),$B$294=1),$AD$331,HLOOKUP(INDIRECT(ADDRESS(2,COLUMN())),OFFSET($AT$2,0,0,ROW()-1,40),ROW()-1,FALSE))</f>
        <v/>
      </c>
      <c r="AE237" t="str">
        <f ca="1">IF(AND(ISNUMBER($AE$331),$B$294=1),$AE$331,HLOOKUP(INDIRECT(ADDRESS(2,COLUMN())),OFFSET($AT$2,0,0,ROW()-1,40),ROW()-1,FALSE))</f>
        <v/>
      </c>
      <c r="AF237" t="str">
        <f ca="1">IF(AND(ISNUMBER($AF$331),$B$294=1),$AF$331,HLOOKUP(INDIRECT(ADDRESS(2,COLUMN())),OFFSET($AT$2,0,0,ROW()-1,40),ROW()-1,FALSE))</f>
        <v/>
      </c>
      <c r="AG237" t="str">
        <f ca="1">IF(AND(ISNUMBER($AG$331),$B$294=1),$AG$331,HLOOKUP(INDIRECT(ADDRESS(2,COLUMN())),OFFSET($AT$2,0,0,ROW()-1,40),ROW()-1,FALSE))</f>
        <v/>
      </c>
      <c r="AH237" t="str">
        <f ca="1">IF(AND(ISNUMBER($AH$331),$B$294=1),$AH$331,HLOOKUP(INDIRECT(ADDRESS(2,COLUMN())),OFFSET($AT$2,0,0,ROW()-1,40),ROW()-1,FALSE))</f>
        <v/>
      </c>
      <c r="AI237" t="str">
        <f ca="1">IF(AND(ISNUMBER($AI$331),$B$294=1),$AI$331,HLOOKUP(INDIRECT(ADDRESS(2,COLUMN())),OFFSET($AT$2,0,0,ROW()-1,40),ROW()-1,FALSE))</f>
        <v/>
      </c>
      <c r="AJ237" t="str">
        <f ca="1">IF(AND(ISNUMBER($AJ$331),$B$294=1),$AJ$331,HLOOKUP(INDIRECT(ADDRESS(2,COLUMN())),OFFSET($AT$2,0,0,ROW()-1,40),ROW()-1,FALSE))</f>
        <v/>
      </c>
      <c r="AK237" t="str">
        <f ca="1">IF(AND(ISNUMBER($AK$331),$B$294=1),$AK$331,HLOOKUP(INDIRECT(ADDRESS(2,COLUMN())),OFFSET($AT$2,0,0,ROW()-1,40),ROW()-1,FALSE))</f>
        <v/>
      </c>
      <c r="AL237" t="str">
        <f ca="1">IF(AND(ISNUMBER($AL$331),$B$294=1),$AL$331,HLOOKUP(INDIRECT(ADDRESS(2,COLUMN())),OFFSET($AT$2,0,0,ROW()-1,40),ROW()-1,FALSE))</f>
        <v/>
      </c>
      <c r="AM237" t="str">
        <f ca="1">IF(AND(ISNUMBER($AM$331),$B$294=1),$AM$331,HLOOKUP(INDIRECT(ADDRESS(2,COLUMN())),OFFSET($AT$2,0,0,ROW()-1,40),ROW()-1,FALSE))</f>
        <v/>
      </c>
      <c r="AN237" t="str">
        <f ca="1">IF(AND(ISNUMBER($AN$331),$B$294=1),$AN$331,HLOOKUP(INDIRECT(ADDRESS(2,COLUMN())),OFFSET($AT$2,0,0,ROW()-1,40),ROW()-1,FALSE))</f>
        <v/>
      </c>
      <c r="AO237" t="str">
        <f ca="1">IF(AND(ISNUMBER($AO$331),$B$294=1),$AO$331,HLOOKUP(INDIRECT(ADDRESS(2,COLUMN())),OFFSET($AT$2,0,0,ROW()-1,40),ROW()-1,FALSE))</f>
        <v/>
      </c>
      <c r="AP237" t="str">
        <f ca="1">IF(AND(ISNUMBER($AP$331),$B$294=1),$AP$331,HLOOKUP(INDIRECT(ADDRESS(2,COLUMN())),OFFSET($AT$2,0,0,ROW()-1,40),ROW()-1,FALSE))</f>
        <v/>
      </c>
      <c r="AQ237" t="str">
        <f ca="1">IF(AND(ISNUMBER($AQ$331),$B$294=1),$AQ$331,HLOOKUP(INDIRECT(ADDRESS(2,COLUMN())),OFFSET($AT$2,0,0,ROW()-1,40),ROW()-1,FALSE))</f>
        <v/>
      </c>
      <c r="AR237" t="str">
        <f ca="1">IF(AND(ISNUMBER($AR$331),$B$294=1),$AR$331,HLOOKUP(INDIRECT(ADDRESS(2,COLUMN())),OFFSET($AT$2,0,0,ROW()-1,40),ROW()-1,FALSE))</f>
        <v/>
      </c>
      <c r="AS237" t="str">
        <f ca="1">IF(AND(ISNUMBER($AS$331),$B$294=1),$AS$331,HLOOKUP(INDIRECT(ADDRESS(2,COLUMN())),OFFSET($AT$2,0,0,ROW()-1,40),ROW()-1,FALSE))</f>
        <v/>
      </c>
      <c r="AT237" t="str">
        <f>""</f>
        <v/>
      </c>
      <c r="AU237" t="str">
        <f>""</f>
        <v/>
      </c>
      <c r="AV237" t="str">
        <f>""</f>
        <v/>
      </c>
      <c r="AW237" t="str">
        <f>""</f>
        <v/>
      </c>
      <c r="AX237" t="str">
        <f>""</f>
        <v/>
      </c>
      <c r="AY237" t="str">
        <f>""</f>
        <v/>
      </c>
      <c r="AZ237" t="str">
        <f>""</f>
        <v/>
      </c>
      <c r="BA237" t="str">
        <f>""</f>
        <v/>
      </c>
      <c r="BB237" t="str">
        <f>""</f>
        <v/>
      </c>
      <c r="BC237" t="str">
        <f>""</f>
        <v/>
      </c>
      <c r="BD237" t="str">
        <f>""</f>
        <v/>
      </c>
      <c r="BE237" t="str">
        <f>""</f>
        <v/>
      </c>
      <c r="BF237" t="str">
        <f>""</f>
        <v/>
      </c>
      <c r="BG237" t="str">
        <f>""</f>
        <v/>
      </c>
      <c r="BH237" t="str">
        <f>""</f>
        <v/>
      </c>
      <c r="BI237" t="str">
        <f>""</f>
        <v/>
      </c>
      <c r="BJ237" t="str">
        <f>""</f>
        <v/>
      </c>
      <c r="BK237" t="str">
        <f>""</f>
        <v/>
      </c>
      <c r="BL237" t="str">
        <f>""</f>
        <v/>
      </c>
      <c r="BM237" t="str">
        <f>""</f>
        <v/>
      </c>
      <c r="BN237" t="str">
        <f>""</f>
        <v/>
      </c>
      <c r="BO237" t="str">
        <f>""</f>
        <v/>
      </c>
      <c r="BP237" t="str">
        <f>""</f>
        <v/>
      </c>
      <c r="BQ237" t="str">
        <f>""</f>
        <v/>
      </c>
      <c r="BR237" t="str">
        <f>""</f>
        <v/>
      </c>
      <c r="BS237" t="str">
        <f>""</f>
        <v/>
      </c>
      <c r="BT237" t="str">
        <f>""</f>
        <v/>
      </c>
      <c r="BU237" t="str">
        <f>""</f>
        <v/>
      </c>
      <c r="BV237" t="str">
        <f>""</f>
        <v/>
      </c>
      <c r="BW237" t="str">
        <f>""</f>
        <v/>
      </c>
      <c r="BX237" t="str">
        <f>""</f>
        <v/>
      </c>
      <c r="BY237" t="str">
        <f>""</f>
        <v/>
      </c>
      <c r="BZ237" t="str">
        <f>""</f>
        <v/>
      </c>
      <c r="CA237" t="str">
        <f>""</f>
        <v/>
      </c>
      <c r="CB237" t="str">
        <f>""</f>
        <v/>
      </c>
      <c r="CC237" t="str">
        <f>""</f>
        <v/>
      </c>
      <c r="CD237" t="str">
        <f>""</f>
        <v/>
      </c>
      <c r="CE237" t="str">
        <f>""</f>
        <v/>
      </c>
      <c r="CF237" t="str">
        <f>""</f>
        <v/>
      </c>
      <c r="CG237" t="str">
        <f>""</f>
        <v/>
      </c>
    </row>
    <row r="238" spans="1:85" x14ac:dyDescent="0.25">
      <c r="A238" t="str">
        <f>"    Daimler - Sterling"</f>
        <v xml:space="preserve">    Daimler - Sterling</v>
      </c>
      <c r="B238" t="str">
        <f>"DAI GR Equity"</f>
        <v>DAI GR Equity</v>
      </c>
      <c r="C238" t="str">
        <f t="shared" si="19"/>
        <v>X1701</v>
      </c>
      <c r="D238" t="str">
        <f t="shared" si="20"/>
        <v>WARDS_RETAIL_SALES_UNITS</v>
      </c>
      <c r="E238" t="str">
        <f t="shared" si="18"/>
        <v>Dynamic</v>
      </c>
      <c r="F238" t="str">
        <f ca="1">IF(AND(ISNUMBER($F$332),$B$294=1),$F$332,HLOOKUP(INDIRECT(ADDRESS(2,COLUMN())),OFFSET($AT$2,0,0,ROW()-1,40),ROW()-1,FALSE))</f>
        <v/>
      </c>
      <c r="G238" t="str">
        <f ca="1">IF(AND(ISNUMBER($G$332),$B$294=1),$G$332,HLOOKUP(INDIRECT(ADDRESS(2,COLUMN())),OFFSET($AT$2,0,0,ROW()-1,40),ROW()-1,FALSE))</f>
        <v/>
      </c>
      <c r="H238" t="str">
        <f ca="1">IF(AND(ISNUMBER($H$332),$B$294=1),$H$332,HLOOKUP(INDIRECT(ADDRESS(2,COLUMN())),OFFSET($AT$2,0,0,ROW()-1,40),ROW()-1,FALSE))</f>
        <v/>
      </c>
      <c r="I238" t="str">
        <f ca="1">IF(AND(ISNUMBER($I$332),$B$294=1),$I$332,HLOOKUP(INDIRECT(ADDRESS(2,COLUMN())),OFFSET($AT$2,0,0,ROW()-1,40),ROW()-1,FALSE))</f>
        <v/>
      </c>
      <c r="J238" t="str">
        <f ca="1">IF(AND(ISNUMBER($J$332),$B$294=1),$J$332,HLOOKUP(INDIRECT(ADDRESS(2,COLUMN())),OFFSET($AT$2,0,0,ROW()-1,40),ROW()-1,FALSE))</f>
        <v/>
      </c>
      <c r="K238" t="str">
        <f ca="1">IF(AND(ISNUMBER($K$332),$B$294=1),$K$332,HLOOKUP(INDIRECT(ADDRESS(2,COLUMN())),OFFSET($AT$2,0,0,ROW()-1,40),ROW()-1,FALSE))</f>
        <v/>
      </c>
      <c r="L238" t="str">
        <f ca="1">IF(AND(ISNUMBER($L$332),$B$294=1),$L$332,HLOOKUP(INDIRECT(ADDRESS(2,COLUMN())),OFFSET($AT$2,0,0,ROW()-1,40),ROW()-1,FALSE))</f>
        <v/>
      </c>
      <c r="M238" t="str">
        <f ca="1">IF(AND(ISNUMBER($M$332),$B$294=1),$M$332,HLOOKUP(INDIRECT(ADDRESS(2,COLUMN())),OFFSET($AT$2,0,0,ROW()-1,40),ROW()-1,FALSE))</f>
        <v/>
      </c>
      <c r="N238" t="str">
        <f ca="1">IF(AND(ISNUMBER($N$332),$B$294=1),$N$332,HLOOKUP(INDIRECT(ADDRESS(2,COLUMN())),OFFSET($AT$2,0,0,ROW()-1,40),ROW()-1,FALSE))</f>
        <v/>
      </c>
      <c r="O238" t="str">
        <f ca="1">IF(AND(ISNUMBER($O$332),$B$294=1),$O$332,HLOOKUP(INDIRECT(ADDRESS(2,COLUMN())),OFFSET($AT$2,0,0,ROW()-1,40),ROW()-1,FALSE))</f>
        <v/>
      </c>
      <c r="P238" t="str">
        <f ca="1">IF(AND(ISNUMBER($P$332),$B$294=1),$P$332,HLOOKUP(INDIRECT(ADDRESS(2,COLUMN())),OFFSET($AT$2,0,0,ROW()-1,40),ROW()-1,FALSE))</f>
        <v/>
      </c>
      <c r="Q238" t="str">
        <f ca="1">IF(AND(ISNUMBER($Q$332),$B$294=1),$Q$332,HLOOKUP(INDIRECT(ADDRESS(2,COLUMN())),OFFSET($AT$2,0,0,ROW()-1,40),ROW()-1,FALSE))</f>
        <v/>
      </c>
      <c r="R238" t="str">
        <f ca="1">IF(AND(ISNUMBER($R$332),$B$294=1),$R$332,HLOOKUP(INDIRECT(ADDRESS(2,COLUMN())),OFFSET($AT$2,0,0,ROW()-1,40),ROW()-1,FALSE))</f>
        <v/>
      </c>
      <c r="S238" t="str">
        <f ca="1">IF(AND(ISNUMBER($S$332),$B$294=1),$S$332,HLOOKUP(INDIRECT(ADDRESS(2,COLUMN())),OFFSET($AT$2,0,0,ROW()-1,40),ROW()-1,FALSE))</f>
        <v/>
      </c>
      <c r="T238" t="str">
        <f ca="1">IF(AND(ISNUMBER($T$332),$B$294=1),$T$332,HLOOKUP(INDIRECT(ADDRESS(2,COLUMN())),OFFSET($AT$2,0,0,ROW()-1,40),ROW()-1,FALSE))</f>
        <v/>
      </c>
      <c r="U238" t="str">
        <f ca="1">IF(AND(ISNUMBER($U$332),$B$294=1),$U$332,HLOOKUP(INDIRECT(ADDRESS(2,COLUMN())),OFFSET($AT$2,0,0,ROW()-1,40),ROW()-1,FALSE))</f>
        <v/>
      </c>
      <c r="V238" t="str">
        <f ca="1">IF(AND(ISNUMBER($V$332),$B$294=1),$V$332,HLOOKUP(INDIRECT(ADDRESS(2,COLUMN())),OFFSET($AT$2,0,0,ROW()-1,40),ROW()-1,FALSE))</f>
        <v/>
      </c>
      <c r="W238" t="str">
        <f ca="1">IF(AND(ISNUMBER($W$332),$B$294=1),$W$332,HLOOKUP(INDIRECT(ADDRESS(2,COLUMN())),OFFSET($AT$2,0,0,ROW()-1,40),ROW()-1,FALSE))</f>
        <v/>
      </c>
      <c r="X238" t="str">
        <f ca="1">IF(AND(ISNUMBER($X$332),$B$294=1),$X$332,HLOOKUP(INDIRECT(ADDRESS(2,COLUMN())),OFFSET($AT$2,0,0,ROW()-1,40),ROW()-1,FALSE))</f>
        <v/>
      </c>
      <c r="Y238" t="str">
        <f ca="1">IF(AND(ISNUMBER($Y$332),$B$294=1),$Y$332,HLOOKUP(INDIRECT(ADDRESS(2,COLUMN())),OFFSET($AT$2,0,0,ROW()-1,40),ROW()-1,FALSE))</f>
        <v/>
      </c>
      <c r="Z238" t="str">
        <f ca="1">IF(AND(ISNUMBER($Z$332),$B$294=1),$Z$332,HLOOKUP(INDIRECT(ADDRESS(2,COLUMN())),OFFSET($AT$2,0,0,ROW()-1,40),ROW()-1,FALSE))</f>
        <v/>
      </c>
      <c r="AA238" t="str">
        <f ca="1">IF(AND(ISNUMBER($AA$332),$B$294=1),$AA$332,HLOOKUP(INDIRECT(ADDRESS(2,COLUMN())),OFFSET($AT$2,0,0,ROW()-1,40),ROW()-1,FALSE))</f>
        <v/>
      </c>
      <c r="AB238" t="str">
        <f ca="1">IF(AND(ISNUMBER($AB$332),$B$294=1),$AB$332,HLOOKUP(INDIRECT(ADDRESS(2,COLUMN())),OFFSET($AT$2,0,0,ROW()-1,40),ROW()-1,FALSE))</f>
        <v/>
      </c>
      <c r="AC238" t="str">
        <f ca="1">IF(AND(ISNUMBER($AC$332),$B$294=1),$AC$332,HLOOKUP(INDIRECT(ADDRESS(2,COLUMN())),OFFSET($AT$2,0,0,ROW()-1,40),ROW()-1,FALSE))</f>
        <v/>
      </c>
      <c r="AD238" t="str">
        <f ca="1">IF(AND(ISNUMBER($AD$332),$B$294=1),$AD$332,HLOOKUP(INDIRECT(ADDRESS(2,COLUMN())),OFFSET($AT$2,0,0,ROW()-1,40),ROW()-1,FALSE))</f>
        <v/>
      </c>
      <c r="AE238" t="str">
        <f ca="1">IF(AND(ISNUMBER($AE$332),$B$294=1),$AE$332,HLOOKUP(INDIRECT(ADDRESS(2,COLUMN())),OFFSET($AT$2,0,0,ROW()-1,40),ROW()-1,FALSE))</f>
        <v/>
      </c>
      <c r="AF238" t="str">
        <f ca="1">IF(AND(ISNUMBER($AF$332),$B$294=1),$AF$332,HLOOKUP(INDIRECT(ADDRESS(2,COLUMN())),OFFSET($AT$2,0,0,ROW()-1,40),ROW()-1,FALSE))</f>
        <v/>
      </c>
      <c r="AG238" t="str">
        <f ca="1">IF(AND(ISNUMBER($AG$332),$B$294=1),$AG$332,HLOOKUP(INDIRECT(ADDRESS(2,COLUMN())),OFFSET($AT$2,0,0,ROW()-1,40),ROW()-1,FALSE))</f>
        <v/>
      </c>
      <c r="AH238" t="str">
        <f ca="1">IF(AND(ISNUMBER($AH$332),$B$294=1),$AH$332,HLOOKUP(INDIRECT(ADDRESS(2,COLUMN())),OFFSET($AT$2,0,0,ROW()-1,40),ROW()-1,FALSE))</f>
        <v/>
      </c>
      <c r="AI238" t="str">
        <f ca="1">IF(AND(ISNUMBER($AI$332),$B$294=1),$AI$332,HLOOKUP(INDIRECT(ADDRESS(2,COLUMN())),OFFSET($AT$2,0,0,ROW()-1,40),ROW()-1,FALSE))</f>
        <v/>
      </c>
      <c r="AJ238" t="str">
        <f ca="1">IF(AND(ISNUMBER($AJ$332),$B$294=1),$AJ$332,HLOOKUP(INDIRECT(ADDRESS(2,COLUMN())),OFFSET($AT$2,0,0,ROW()-1,40),ROW()-1,FALSE))</f>
        <v/>
      </c>
      <c r="AK238" t="str">
        <f ca="1">IF(AND(ISNUMBER($AK$332),$B$294=1),$AK$332,HLOOKUP(INDIRECT(ADDRESS(2,COLUMN())),OFFSET($AT$2,0,0,ROW()-1,40),ROW()-1,FALSE))</f>
        <v/>
      </c>
      <c r="AL238" t="str">
        <f ca="1">IF(AND(ISNUMBER($AL$332),$B$294=1),$AL$332,HLOOKUP(INDIRECT(ADDRESS(2,COLUMN())),OFFSET($AT$2,0,0,ROW()-1,40),ROW()-1,FALSE))</f>
        <v/>
      </c>
      <c r="AM238" t="str">
        <f ca="1">IF(AND(ISNUMBER($AM$332),$B$294=1),$AM$332,HLOOKUP(INDIRECT(ADDRESS(2,COLUMN())),OFFSET($AT$2,0,0,ROW()-1,40),ROW()-1,FALSE))</f>
        <v/>
      </c>
      <c r="AN238" t="str">
        <f ca="1">IF(AND(ISNUMBER($AN$332),$B$294=1),$AN$332,HLOOKUP(INDIRECT(ADDRESS(2,COLUMN())),OFFSET($AT$2,0,0,ROW()-1,40),ROW()-1,FALSE))</f>
        <v/>
      </c>
      <c r="AO238" t="str">
        <f ca="1">IF(AND(ISNUMBER($AO$332),$B$294=1),$AO$332,HLOOKUP(INDIRECT(ADDRESS(2,COLUMN())),OFFSET($AT$2,0,0,ROW()-1,40),ROW()-1,FALSE))</f>
        <v/>
      </c>
      <c r="AP238" t="str">
        <f ca="1">IF(AND(ISNUMBER($AP$332),$B$294=1),$AP$332,HLOOKUP(INDIRECT(ADDRESS(2,COLUMN())),OFFSET($AT$2,0,0,ROW()-1,40),ROW()-1,FALSE))</f>
        <v/>
      </c>
      <c r="AQ238" t="str">
        <f ca="1">IF(AND(ISNUMBER($AQ$332),$B$294=1),$AQ$332,HLOOKUP(INDIRECT(ADDRESS(2,COLUMN())),OFFSET($AT$2,0,0,ROW()-1,40),ROW()-1,FALSE))</f>
        <v/>
      </c>
      <c r="AR238" t="str">
        <f ca="1">IF(AND(ISNUMBER($AR$332),$B$294=1),$AR$332,HLOOKUP(INDIRECT(ADDRESS(2,COLUMN())),OFFSET($AT$2,0,0,ROW()-1,40),ROW()-1,FALSE))</f>
        <v/>
      </c>
      <c r="AS238" t="str">
        <f ca="1">IF(AND(ISNUMBER($AS$332),$B$294=1),$AS$332,HLOOKUP(INDIRECT(ADDRESS(2,COLUMN())),OFFSET($AT$2,0,0,ROW()-1,40),ROW()-1,FALSE))</f>
        <v/>
      </c>
      <c r="AT238" t="str">
        <f>""</f>
        <v/>
      </c>
      <c r="AU238" t="str">
        <f>""</f>
        <v/>
      </c>
      <c r="AV238" t="str">
        <f>""</f>
        <v/>
      </c>
      <c r="AW238" t="str">
        <f>""</f>
        <v/>
      </c>
      <c r="AX238" t="str">
        <f>""</f>
        <v/>
      </c>
      <c r="AY238" t="str">
        <f>""</f>
        <v/>
      </c>
      <c r="AZ238" t="str">
        <f>""</f>
        <v/>
      </c>
      <c r="BA238" t="str">
        <f>""</f>
        <v/>
      </c>
      <c r="BB238" t="str">
        <f>""</f>
        <v/>
      </c>
      <c r="BC238" t="str">
        <f>""</f>
        <v/>
      </c>
      <c r="BD238" t="str">
        <f>""</f>
        <v/>
      </c>
      <c r="BE238" t="str">
        <f>""</f>
        <v/>
      </c>
      <c r="BF238" t="str">
        <f>""</f>
        <v/>
      </c>
      <c r="BG238" t="str">
        <f>""</f>
        <v/>
      </c>
      <c r="BH238" t="str">
        <f>""</f>
        <v/>
      </c>
      <c r="BI238" t="str">
        <f>""</f>
        <v/>
      </c>
      <c r="BJ238" t="str">
        <f>""</f>
        <v/>
      </c>
      <c r="BK238" t="str">
        <f>""</f>
        <v/>
      </c>
      <c r="BL238" t="str">
        <f>""</f>
        <v/>
      </c>
      <c r="BM238" t="str">
        <f>""</f>
        <v/>
      </c>
      <c r="BN238" t="str">
        <f>""</f>
        <v/>
      </c>
      <c r="BO238" t="str">
        <f>""</f>
        <v/>
      </c>
      <c r="BP238" t="str">
        <f>""</f>
        <v/>
      </c>
      <c r="BQ238" t="str">
        <f>""</f>
        <v/>
      </c>
      <c r="BR238" t="str">
        <f>""</f>
        <v/>
      </c>
      <c r="BS238" t="str">
        <f>""</f>
        <v/>
      </c>
      <c r="BT238" t="str">
        <f>""</f>
        <v/>
      </c>
      <c r="BU238" t="str">
        <f>""</f>
        <v/>
      </c>
      <c r="BV238" t="str">
        <f>""</f>
        <v/>
      </c>
      <c r="BW238" t="str">
        <f>""</f>
        <v/>
      </c>
      <c r="BX238" t="str">
        <f>""</f>
        <v/>
      </c>
      <c r="BY238" t="str">
        <f>""</f>
        <v/>
      </c>
      <c r="BZ238" t="str">
        <f>""</f>
        <v/>
      </c>
      <c r="CA238" t="str">
        <f>""</f>
        <v/>
      </c>
      <c r="CB238" t="str">
        <f>""</f>
        <v/>
      </c>
      <c r="CC238" t="str">
        <f>""</f>
        <v/>
      </c>
      <c r="CD238" t="str">
        <f>""</f>
        <v/>
      </c>
      <c r="CE238" t="str">
        <f>""</f>
        <v/>
      </c>
      <c r="CF238" t="str">
        <f>""</f>
        <v/>
      </c>
      <c r="CG238" t="str">
        <f>""</f>
        <v/>
      </c>
    </row>
    <row r="239" spans="1:85" x14ac:dyDescent="0.25">
      <c r="A239" t="str">
        <f>"    Navistar - International"</f>
        <v xml:space="preserve">    Navistar - International</v>
      </c>
      <c r="B239" t="str">
        <f>"NAV US Equity"</f>
        <v>NAV US Equity</v>
      </c>
      <c r="C239" t="str">
        <f t="shared" si="19"/>
        <v>X1701</v>
      </c>
      <c r="D239" t="str">
        <f t="shared" si="20"/>
        <v>WARDS_RETAIL_SALES_UNITS</v>
      </c>
      <c r="E239" t="str">
        <f t="shared" si="18"/>
        <v>Dynamic</v>
      </c>
      <c r="F239">
        <f ca="1">IF(AND(ISNUMBER($F$333),$B$294=1),$F$333,HLOOKUP(INDIRECT(ADDRESS(2,COLUMN())),OFFSET($AT$2,0,0,ROW()-1,40),ROW()-1,FALSE))</f>
        <v>2841</v>
      </c>
      <c r="G239">
        <f ca="1">IF(AND(ISNUMBER($G$333),$B$294=1),$G$333,HLOOKUP(INDIRECT(ADDRESS(2,COLUMN())),OFFSET($AT$2,0,0,ROW()-1,40),ROW()-1,FALSE))</f>
        <v>2512</v>
      </c>
      <c r="H239">
        <f ca="1">IF(AND(ISNUMBER($H$333),$B$294=1),$H$333,HLOOKUP(INDIRECT(ADDRESS(2,COLUMN())),OFFSET($AT$2,0,0,ROW()-1,40),ROW()-1,FALSE))</f>
        <v>4064</v>
      </c>
      <c r="I239">
        <f ca="1">IF(AND(ISNUMBER($I$333),$B$294=1),$I$333,HLOOKUP(INDIRECT(ADDRESS(2,COLUMN())),OFFSET($AT$2,0,0,ROW()-1,40),ROW()-1,FALSE))</f>
        <v>3062</v>
      </c>
      <c r="J239">
        <f ca="1">IF(AND(ISNUMBER($J$333),$B$294=1),$J$333,HLOOKUP(INDIRECT(ADDRESS(2,COLUMN())),OFFSET($AT$2,0,0,ROW()-1,40),ROW()-1,FALSE))</f>
        <v>2707</v>
      </c>
      <c r="K239">
        <f ca="1">IF(AND(ISNUMBER($K$333),$B$294=1),$K$333,HLOOKUP(INDIRECT(ADDRESS(2,COLUMN())),OFFSET($AT$2,0,0,ROW()-1,40),ROW()-1,FALSE))</f>
        <v>2371</v>
      </c>
      <c r="L239">
        <f ca="1">IF(AND(ISNUMBER($L$333),$B$294=1),$L$333,HLOOKUP(INDIRECT(ADDRESS(2,COLUMN())),OFFSET($AT$2,0,0,ROW()-1,40),ROW()-1,FALSE))</f>
        <v>2312</v>
      </c>
      <c r="M239">
        <f ca="1">IF(AND(ISNUMBER($M$333),$B$294=1),$M$333,HLOOKUP(INDIRECT(ADDRESS(2,COLUMN())),OFFSET($AT$2,0,0,ROW()-1,40),ROW()-1,FALSE))</f>
        <v>3320</v>
      </c>
      <c r="N239">
        <f ca="1">IF(AND(ISNUMBER($N$333),$B$294=1),$N$333,HLOOKUP(INDIRECT(ADDRESS(2,COLUMN())),OFFSET($AT$2,0,0,ROW()-1,40),ROW()-1,FALSE))</f>
        <v>2394</v>
      </c>
      <c r="O239">
        <f ca="1">IF(AND(ISNUMBER($O$333),$B$294=1),$O$333,HLOOKUP(INDIRECT(ADDRESS(2,COLUMN())),OFFSET($AT$2,0,0,ROW()-1,40),ROW()-1,FALSE))</f>
        <v>1813</v>
      </c>
      <c r="P239">
        <f ca="1">IF(AND(ISNUMBER($P$333),$B$294=1),$P$333,HLOOKUP(INDIRECT(ADDRESS(2,COLUMN())),OFFSET($AT$2,0,0,ROW()-1,40),ROW()-1,FALSE))</f>
        <v>1897</v>
      </c>
      <c r="Q239">
        <f ca="1">IF(AND(ISNUMBER($Q$333),$B$294=1),$Q$333,HLOOKUP(INDIRECT(ADDRESS(2,COLUMN())),OFFSET($AT$2,0,0,ROW()-1,40),ROW()-1,FALSE))</f>
        <v>1401</v>
      </c>
      <c r="R239">
        <f ca="1">IF(AND(ISNUMBER($R$333),$B$294=1),$R$333,HLOOKUP(INDIRECT(ADDRESS(2,COLUMN())),OFFSET($AT$2,0,0,ROW()-1,40),ROW()-1,FALSE))</f>
        <v>2030</v>
      </c>
      <c r="S239">
        <f ca="1">IF(AND(ISNUMBER($S$333),$B$294=1),$S$333,HLOOKUP(INDIRECT(ADDRESS(2,COLUMN())),OFFSET($AT$2,0,0,ROW()-1,40),ROW()-1,FALSE))</f>
        <v>3082</v>
      </c>
      <c r="T239">
        <f ca="1">IF(AND(ISNUMBER($T$333),$B$294=1),$T$333,HLOOKUP(INDIRECT(ADDRESS(2,COLUMN())),OFFSET($AT$2,0,0,ROW()-1,40),ROW()-1,FALSE))</f>
        <v>3171</v>
      </c>
      <c r="U239">
        <f ca="1">IF(AND(ISNUMBER($U$333),$B$294=1),$U$333,HLOOKUP(INDIRECT(ADDRESS(2,COLUMN())),OFFSET($AT$2,0,0,ROW()-1,40),ROW()-1,FALSE))</f>
        <v>2553</v>
      </c>
      <c r="V239">
        <f ca="1">IF(AND(ISNUMBER($V$333),$B$294=1),$V$333,HLOOKUP(INDIRECT(ADDRESS(2,COLUMN())),OFFSET($AT$2,0,0,ROW()-1,40),ROW()-1,FALSE))</f>
        <v>2468</v>
      </c>
      <c r="W239">
        <f ca="1">IF(AND(ISNUMBER($W$333),$B$294=1),$W$333,HLOOKUP(INDIRECT(ADDRESS(2,COLUMN())),OFFSET($AT$2,0,0,ROW()-1,40),ROW()-1,FALSE))</f>
        <v>2300</v>
      </c>
      <c r="X239">
        <f ca="1">IF(AND(ISNUMBER($X$333),$B$294=1),$X$333,HLOOKUP(INDIRECT(ADDRESS(2,COLUMN())),OFFSET($AT$2,0,0,ROW()-1,40),ROW()-1,FALSE))</f>
        <v>2280</v>
      </c>
      <c r="Y239">
        <f ca="1">IF(AND(ISNUMBER($Y$333),$B$294=1),$Y$333,HLOOKUP(INDIRECT(ADDRESS(2,COLUMN())),OFFSET($AT$2,0,0,ROW()-1,40),ROW()-1,FALSE))</f>
        <v>2418</v>
      </c>
      <c r="Z239">
        <f ca="1">IF(AND(ISNUMBER($Z$333),$B$294=1),$Z$333,HLOOKUP(INDIRECT(ADDRESS(2,COLUMN())),OFFSET($AT$2,0,0,ROW()-1,40),ROW()-1,FALSE))</f>
        <v>2471</v>
      </c>
      <c r="AA239">
        <f ca="1">IF(AND(ISNUMBER($AA$333),$B$294=1),$AA$333,HLOOKUP(INDIRECT(ADDRESS(2,COLUMN())),OFFSET($AT$2,0,0,ROW()-1,40),ROW()-1,FALSE))</f>
        <v>1939</v>
      </c>
      <c r="AB239">
        <f ca="1">IF(AND(ISNUMBER($AB$333),$B$294=1),$AB$333,HLOOKUP(INDIRECT(ADDRESS(2,COLUMN())),OFFSET($AT$2,0,0,ROW()-1,40),ROW()-1,FALSE))</f>
        <v>1931</v>
      </c>
      <c r="AC239">
        <f ca="1">IF(AND(ISNUMBER($AC$333),$B$294=1),$AC$333,HLOOKUP(INDIRECT(ADDRESS(2,COLUMN())),OFFSET($AT$2,0,0,ROW()-1,40),ROW()-1,FALSE))</f>
        <v>1621</v>
      </c>
      <c r="AD239">
        <f ca="1">IF(AND(ISNUMBER($AD$333),$B$294=1),$AD$333,HLOOKUP(INDIRECT(ADDRESS(2,COLUMN())),OFFSET($AT$2,0,0,ROW()-1,40),ROW()-1,FALSE))</f>
        <v>2429</v>
      </c>
      <c r="AE239">
        <f ca="1">IF(AND(ISNUMBER($AE$333),$B$294=1),$AE$333,HLOOKUP(INDIRECT(ADDRESS(2,COLUMN())),OFFSET($AT$2,0,0,ROW()-1,40),ROW()-1,FALSE))</f>
        <v>2087</v>
      </c>
      <c r="AF239">
        <f ca="1">IF(AND(ISNUMBER($AF$333),$B$294=1),$AF$333,HLOOKUP(INDIRECT(ADDRESS(2,COLUMN())),OFFSET($AT$2,0,0,ROW()-1,40),ROW()-1,FALSE))</f>
        <v>3060</v>
      </c>
      <c r="AG239">
        <f ca="1">IF(AND(ISNUMBER($AG$333),$B$294=1),$AG$333,HLOOKUP(INDIRECT(ADDRESS(2,COLUMN())),OFFSET($AT$2,0,0,ROW()-1,40),ROW()-1,FALSE))</f>
        <v>3190</v>
      </c>
      <c r="AH239">
        <f ca="1">IF(AND(ISNUMBER($AH$333),$B$294=1),$AH$333,HLOOKUP(INDIRECT(ADDRESS(2,COLUMN())),OFFSET($AT$2,0,0,ROW()-1,40),ROW()-1,FALSE))</f>
        <v>2917</v>
      </c>
      <c r="AI239">
        <f ca="1">IF(AND(ISNUMBER($AI$333),$B$294=1),$AI$333,HLOOKUP(INDIRECT(ADDRESS(2,COLUMN())),OFFSET($AT$2,0,0,ROW()-1,40),ROW()-1,FALSE))</f>
        <v>1675</v>
      </c>
      <c r="AJ239">
        <f ca="1">IF(AND(ISNUMBER($AJ$333),$B$294=1),$AJ$333,HLOOKUP(INDIRECT(ADDRESS(2,COLUMN())),OFFSET($AT$2,0,0,ROW()-1,40),ROW()-1,FALSE))</f>
        <v>2015</v>
      </c>
      <c r="AK239">
        <f ca="1">IF(AND(ISNUMBER($AK$333),$B$294=1),$AK$333,HLOOKUP(INDIRECT(ADDRESS(2,COLUMN())),OFFSET($AT$2,0,0,ROW()-1,40),ROW()-1,FALSE))</f>
        <v>2584</v>
      </c>
      <c r="AL239">
        <f ca="1">IF(AND(ISNUMBER($AL$333),$B$294=1),$AL$333,HLOOKUP(INDIRECT(ADDRESS(2,COLUMN())),OFFSET($AT$2,0,0,ROW()-1,40),ROW()-1,FALSE))</f>
        <v>2029</v>
      </c>
      <c r="AM239">
        <f ca="1">IF(AND(ISNUMBER($AM$333),$B$294=1),$AM$333,HLOOKUP(INDIRECT(ADDRESS(2,COLUMN())),OFFSET($AT$2,0,0,ROW()-1,40),ROW()-1,FALSE))</f>
        <v>2090</v>
      </c>
      <c r="AN239">
        <f ca="1">IF(AND(ISNUMBER($AN$333),$B$294=1),$AN$333,HLOOKUP(INDIRECT(ADDRESS(2,COLUMN())),OFFSET($AT$2,0,0,ROW()-1,40),ROW()-1,FALSE))</f>
        <v>1978</v>
      </c>
      <c r="AO239">
        <f ca="1">IF(AND(ISNUMBER($AO$333),$B$294=1),$AO$333,HLOOKUP(INDIRECT(ADDRESS(2,COLUMN())),OFFSET($AT$2,0,0,ROW()-1,40),ROW()-1,FALSE))</f>
        <v>1223</v>
      </c>
      <c r="AP239">
        <f ca="1">IF(AND(ISNUMBER($AP$333),$B$294=1),$AP$333,HLOOKUP(INDIRECT(ADDRESS(2,COLUMN())),OFFSET($AT$2,0,0,ROW()-1,40),ROW()-1,FALSE))</f>
        <v>2207</v>
      </c>
      <c r="AQ239">
        <f ca="1">IF(AND(ISNUMBER($AQ$333),$B$294=1),$AQ$333,HLOOKUP(INDIRECT(ADDRESS(2,COLUMN())),OFFSET($AT$2,0,0,ROW()-1,40),ROW()-1,FALSE))</f>
        <v>2389</v>
      </c>
      <c r="AR239">
        <f ca="1">IF(AND(ISNUMBER($AR$333),$B$294=1),$AR$333,HLOOKUP(INDIRECT(ADDRESS(2,COLUMN())),OFFSET($AT$2,0,0,ROW()-1,40),ROW()-1,FALSE))</f>
        <v>2433</v>
      </c>
      <c r="AS239">
        <f ca="1">IF(AND(ISNUMBER($AS$333),$B$294=1),$AS$333,HLOOKUP(INDIRECT(ADDRESS(2,COLUMN())),OFFSET($AT$2,0,0,ROW()-1,40),ROW()-1,FALSE))</f>
        <v>3201</v>
      </c>
      <c r="AT239">
        <f>2841</f>
        <v>2841</v>
      </c>
      <c r="AU239">
        <f>2512</f>
        <v>2512</v>
      </c>
      <c r="AV239">
        <f>4064</f>
        <v>4064</v>
      </c>
      <c r="AW239">
        <f>3062</f>
        <v>3062</v>
      </c>
      <c r="AX239">
        <f>2707</f>
        <v>2707</v>
      </c>
      <c r="AY239">
        <f>2371</f>
        <v>2371</v>
      </c>
      <c r="AZ239">
        <f>2312</f>
        <v>2312</v>
      </c>
      <c r="BA239">
        <f>3320</f>
        <v>3320</v>
      </c>
      <c r="BB239">
        <f>2394</f>
        <v>2394</v>
      </c>
      <c r="BC239">
        <f>1813</f>
        <v>1813</v>
      </c>
      <c r="BD239">
        <f>1897</f>
        <v>1897</v>
      </c>
      <c r="BE239">
        <f>1401</f>
        <v>1401</v>
      </c>
      <c r="BF239">
        <f>2030</f>
        <v>2030</v>
      </c>
      <c r="BG239">
        <f>3082</f>
        <v>3082</v>
      </c>
      <c r="BH239">
        <f>3171</f>
        <v>3171</v>
      </c>
      <c r="BI239">
        <f>2553</f>
        <v>2553</v>
      </c>
      <c r="BJ239">
        <f>2468</f>
        <v>2468</v>
      </c>
      <c r="BK239">
        <f>2300</f>
        <v>2300</v>
      </c>
      <c r="BL239">
        <f>2280</f>
        <v>2280</v>
      </c>
      <c r="BM239">
        <f>2418</f>
        <v>2418</v>
      </c>
      <c r="BN239">
        <f>2471</f>
        <v>2471</v>
      </c>
      <c r="BO239">
        <f>1939</f>
        <v>1939</v>
      </c>
      <c r="BP239">
        <f>1931</f>
        <v>1931</v>
      </c>
      <c r="BQ239">
        <f>1621</f>
        <v>1621</v>
      </c>
      <c r="BR239">
        <f>2429</f>
        <v>2429</v>
      </c>
      <c r="BS239">
        <f>2087</f>
        <v>2087</v>
      </c>
      <c r="BT239">
        <f>3060</f>
        <v>3060</v>
      </c>
      <c r="BU239">
        <f>3190</f>
        <v>3190</v>
      </c>
      <c r="BV239">
        <f>2917</f>
        <v>2917</v>
      </c>
      <c r="BW239">
        <f>1675</f>
        <v>1675</v>
      </c>
      <c r="BX239">
        <f>2015</f>
        <v>2015</v>
      </c>
      <c r="BY239">
        <f>2584</f>
        <v>2584</v>
      </c>
      <c r="BZ239">
        <f>2029</f>
        <v>2029</v>
      </c>
      <c r="CA239">
        <f>2090</f>
        <v>2090</v>
      </c>
      <c r="CB239">
        <f>1978</f>
        <v>1978</v>
      </c>
      <c r="CC239">
        <f>1223</f>
        <v>1223</v>
      </c>
      <c r="CD239">
        <f>2207</f>
        <v>2207</v>
      </c>
      <c r="CE239">
        <f>2389</f>
        <v>2389</v>
      </c>
      <c r="CF239">
        <f>2433</f>
        <v>2433</v>
      </c>
      <c r="CG239">
        <f>3201</f>
        <v>3201</v>
      </c>
    </row>
    <row r="240" spans="1:85" x14ac:dyDescent="0.25">
      <c r="A240" t="str">
        <f>"    PACCAR - Kenworth"</f>
        <v xml:space="preserve">    PACCAR - Kenworth</v>
      </c>
      <c r="B240" t="str">
        <f>"PCAR US Equity"</f>
        <v>PCAR US Equity</v>
      </c>
      <c r="C240" t="str">
        <f t="shared" si="19"/>
        <v>X1701</v>
      </c>
      <c r="D240" t="str">
        <f t="shared" si="20"/>
        <v>WARDS_RETAIL_SALES_UNITS</v>
      </c>
      <c r="E240" t="str">
        <f t="shared" si="18"/>
        <v>Dynamic</v>
      </c>
      <c r="F240">
        <f ca="1">IF(AND(ISNUMBER($F$334),$B$294=1),$F$334,HLOOKUP(INDIRECT(ADDRESS(2,COLUMN())),OFFSET($AT$2,0,0,ROW()-1,40),ROW()-1,FALSE))</f>
        <v>613</v>
      </c>
      <c r="G240">
        <f ca="1">IF(AND(ISNUMBER($G$334),$B$294=1),$G$334,HLOOKUP(INDIRECT(ADDRESS(2,COLUMN())),OFFSET($AT$2,0,0,ROW()-1,40),ROW()-1,FALSE))</f>
        <v>614</v>
      </c>
      <c r="H240">
        <f ca="1">IF(AND(ISNUMBER($H$334),$B$294=1),$H$334,HLOOKUP(INDIRECT(ADDRESS(2,COLUMN())),OFFSET($AT$2,0,0,ROW()-1,40),ROW()-1,FALSE))</f>
        <v>634</v>
      </c>
      <c r="I240">
        <f ca="1">IF(AND(ISNUMBER($I$334),$B$294=1),$I$334,HLOOKUP(INDIRECT(ADDRESS(2,COLUMN())),OFFSET($AT$2,0,0,ROW()-1,40),ROW()-1,FALSE))</f>
        <v>649</v>
      </c>
      <c r="J240">
        <f ca="1">IF(AND(ISNUMBER($J$334),$B$294=1),$J$334,HLOOKUP(INDIRECT(ADDRESS(2,COLUMN())),OFFSET($AT$2,0,0,ROW()-1,40),ROW()-1,FALSE))</f>
        <v>625</v>
      </c>
      <c r="K240">
        <f ca="1">IF(AND(ISNUMBER($K$334),$B$294=1),$K$334,HLOOKUP(INDIRECT(ADDRESS(2,COLUMN())),OFFSET($AT$2,0,0,ROW()-1,40),ROW()-1,FALSE))</f>
        <v>610</v>
      </c>
      <c r="L240">
        <f ca="1">IF(AND(ISNUMBER($L$334),$B$294=1),$L$334,HLOOKUP(INDIRECT(ADDRESS(2,COLUMN())),OFFSET($AT$2,0,0,ROW()-1,40),ROW()-1,FALSE))</f>
        <v>609</v>
      </c>
      <c r="M240">
        <f ca="1">IF(AND(ISNUMBER($M$334),$B$294=1),$M$334,HLOOKUP(INDIRECT(ADDRESS(2,COLUMN())),OFFSET($AT$2,0,0,ROW()-1,40),ROW()-1,FALSE))</f>
        <v>570</v>
      </c>
      <c r="N240">
        <f ca="1">IF(AND(ISNUMBER($N$334),$B$294=1),$N$334,HLOOKUP(INDIRECT(ADDRESS(2,COLUMN())),OFFSET($AT$2,0,0,ROW()-1,40),ROW()-1,FALSE))</f>
        <v>353</v>
      </c>
      <c r="O240">
        <f ca="1">IF(AND(ISNUMBER($O$334),$B$294=1),$O$334,HLOOKUP(INDIRECT(ADDRESS(2,COLUMN())),OFFSET($AT$2,0,0,ROW()-1,40),ROW()-1,FALSE))</f>
        <v>417</v>
      </c>
      <c r="P240">
        <f ca="1">IF(AND(ISNUMBER($P$334),$B$294=1),$P$334,HLOOKUP(INDIRECT(ADDRESS(2,COLUMN())),OFFSET($AT$2,0,0,ROW()-1,40),ROW()-1,FALSE))</f>
        <v>815</v>
      </c>
      <c r="Q240">
        <f ca="1">IF(AND(ISNUMBER($Q$334),$B$294=1),$Q$334,HLOOKUP(INDIRECT(ADDRESS(2,COLUMN())),OFFSET($AT$2,0,0,ROW()-1,40),ROW()-1,FALSE))</f>
        <v>551</v>
      </c>
      <c r="R240">
        <f ca="1">IF(AND(ISNUMBER($R$334),$B$294=1),$R$334,HLOOKUP(INDIRECT(ADDRESS(2,COLUMN())),OFFSET($AT$2,0,0,ROW()-1,40),ROW()-1,FALSE))</f>
        <v>679</v>
      </c>
      <c r="S240">
        <f ca="1">IF(AND(ISNUMBER($S$334),$B$294=1),$S$334,HLOOKUP(INDIRECT(ADDRESS(2,COLUMN())),OFFSET($AT$2,0,0,ROW()-1,40),ROW()-1,FALSE))</f>
        <v>565</v>
      </c>
      <c r="T240">
        <f ca="1">IF(AND(ISNUMBER($T$334),$B$294=1),$T$334,HLOOKUP(INDIRECT(ADDRESS(2,COLUMN())),OFFSET($AT$2,0,0,ROW()-1,40),ROW()-1,FALSE))</f>
        <v>638</v>
      </c>
      <c r="U240">
        <f ca="1">IF(AND(ISNUMBER($U$334),$B$294=1),$U$334,HLOOKUP(INDIRECT(ADDRESS(2,COLUMN())),OFFSET($AT$2,0,0,ROW()-1,40),ROW()-1,FALSE))</f>
        <v>501</v>
      </c>
      <c r="V240">
        <f ca="1">IF(AND(ISNUMBER($V$334),$B$294=1),$V$334,HLOOKUP(INDIRECT(ADDRESS(2,COLUMN())),OFFSET($AT$2,0,0,ROW()-1,40),ROW()-1,FALSE))</f>
        <v>647</v>
      </c>
      <c r="W240">
        <f ca="1">IF(AND(ISNUMBER($W$334),$B$294=1),$W$334,HLOOKUP(INDIRECT(ADDRESS(2,COLUMN())),OFFSET($AT$2,0,0,ROW()-1,40),ROW()-1,FALSE))</f>
        <v>623</v>
      </c>
      <c r="X240">
        <f ca="1">IF(AND(ISNUMBER($X$334),$B$294=1),$X$334,HLOOKUP(INDIRECT(ADDRESS(2,COLUMN())),OFFSET($AT$2,0,0,ROW()-1,40),ROW()-1,FALSE))</f>
        <v>579</v>
      </c>
      <c r="Y240">
        <f ca="1">IF(AND(ISNUMBER($Y$334),$B$294=1),$Y$334,HLOOKUP(INDIRECT(ADDRESS(2,COLUMN())),OFFSET($AT$2,0,0,ROW()-1,40),ROW()-1,FALSE))</f>
        <v>605</v>
      </c>
      <c r="Z240">
        <f ca="1">IF(AND(ISNUMBER($Z$334),$B$294=1),$Z$334,HLOOKUP(INDIRECT(ADDRESS(2,COLUMN())),OFFSET($AT$2,0,0,ROW()-1,40),ROW()-1,FALSE))</f>
        <v>410</v>
      </c>
      <c r="AA240">
        <f ca="1">IF(AND(ISNUMBER($AA$334),$B$294=1),$AA$334,HLOOKUP(INDIRECT(ADDRESS(2,COLUMN())),OFFSET($AT$2,0,0,ROW()-1,40),ROW()-1,FALSE))</f>
        <v>389</v>
      </c>
      <c r="AB240">
        <f ca="1">IF(AND(ISNUMBER($AB$334),$B$294=1),$AB$334,HLOOKUP(INDIRECT(ADDRESS(2,COLUMN())),OFFSET($AT$2,0,0,ROW()-1,40),ROW()-1,FALSE))</f>
        <v>800</v>
      </c>
      <c r="AC240">
        <f ca="1">IF(AND(ISNUMBER($AC$334),$B$294=1),$AC$334,HLOOKUP(INDIRECT(ADDRESS(2,COLUMN())),OFFSET($AT$2,0,0,ROW()-1,40),ROW()-1,FALSE))</f>
        <v>653</v>
      </c>
      <c r="AD240">
        <f ca="1">IF(AND(ISNUMBER($AD$334),$B$294=1),$AD$334,HLOOKUP(INDIRECT(ADDRESS(2,COLUMN())),OFFSET($AT$2,0,0,ROW()-1,40),ROW()-1,FALSE))</f>
        <v>630</v>
      </c>
      <c r="AE240">
        <f ca="1">IF(AND(ISNUMBER($AE$334),$B$294=1),$AE$334,HLOOKUP(INDIRECT(ADDRESS(2,COLUMN())),OFFSET($AT$2,0,0,ROW()-1,40),ROW()-1,FALSE))</f>
        <v>682</v>
      </c>
      <c r="AF240">
        <f ca="1">IF(AND(ISNUMBER($AF$334),$B$294=1),$AF$334,HLOOKUP(INDIRECT(ADDRESS(2,COLUMN())),OFFSET($AT$2,0,0,ROW()-1,40),ROW()-1,FALSE))</f>
        <v>812</v>
      </c>
      <c r="AG240">
        <f ca="1">IF(AND(ISNUMBER($AG$334),$B$294=1),$AG$334,HLOOKUP(INDIRECT(ADDRESS(2,COLUMN())),OFFSET($AT$2,0,0,ROW()-1,40),ROW()-1,FALSE))</f>
        <v>784</v>
      </c>
      <c r="AH240">
        <f ca="1">IF(AND(ISNUMBER($AH$334),$B$294=1),$AH$334,HLOOKUP(INDIRECT(ADDRESS(2,COLUMN())),OFFSET($AT$2,0,0,ROW()-1,40),ROW()-1,FALSE))</f>
        <v>461</v>
      </c>
      <c r="AI240">
        <f ca="1">IF(AND(ISNUMBER($AI$334),$B$294=1),$AI$334,HLOOKUP(INDIRECT(ADDRESS(2,COLUMN())),OFFSET($AT$2,0,0,ROW()-1,40),ROW()-1,FALSE))</f>
        <v>519</v>
      </c>
      <c r="AJ240">
        <f ca="1">IF(AND(ISNUMBER($AJ$334),$B$294=1),$AJ$334,HLOOKUP(INDIRECT(ADDRESS(2,COLUMN())),OFFSET($AT$2,0,0,ROW()-1,40),ROW()-1,FALSE))</f>
        <v>480</v>
      </c>
      <c r="AK240">
        <f ca="1">IF(AND(ISNUMBER($AK$334),$B$294=1),$AK$334,HLOOKUP(INDIRECT(ADDRESS(2,COLUMN())),OFFSET($AT$2,0,0,ROW()-1,40),ROW()-1,FALSE))</f>
        <v>425</v>
      </c>
      <c r="AL240">
        <f ca="1">IF(AND(ISNUMBER($AL$334),$B$294=1),$AL$334,HLOOKUP(INDIRECT(ADDRESS(2,COLUMN())),OFFSET($AT$2,0,0,ROW()-1,40),ROW()-1,FALSE))</f>
        <v>351</v>
      </c>
      <c r="AM240">
        <f ca="1">IF(AND(ISNUMBER($AM$334),$B$294=1),$AM$334,HLOOKUP(INDIRECT(ADDRESS(2,COLUMN())),OFFSET($AT$2,0,0,ROW()-1,40),ROW()-1,FALSE))</f>
        <v>476</v>
      </c>
      <c r="AN240">
        <f ca="1">IF(AND(ISNUMBER($AN$334),$B$294=1),$AN$334,HLOOKUP(INDIRECT(ADDRESS(2,COLUMN())),OFFSET($AT$2,0,0,ROW()-1,40),ROW()-1,FALSE))</f>
        <v>738</v>
      </c>
      <c r="AO240">
        <f ca="1">IF(AND(ISNUMBER($AO$334),$B$294=1),$AO$334,HLOOKUP(INDIRECT(ADDRESS(2,COLUMN())),OFFSET($AT$2,0,0,ROW()-1,40),ROW()-1,FALSE))</f>
        <v>495</v>
      </c>
      <c r="AP240">
        <f ca="1">IF(AND(ISNUMBER($AP$334),$B$294=1),$AP$334,HLOOKUP(INDIRECT(ADDRESS(2,COLUMN())),OFFSET($AT$2,0,0,ROW()-1,40),ROW()-1,FALSE))</f>
        <v>482</v>
      </c>
      <c r="AQ240">
        <f ca="1">IF(AND(ISNUMBER($AQ$334),$B$294=1),$AQ$334,HLOOKUP(INDIRECT(ADDRESS(2,COLUMN())),OFFSET($AT$2,0,0,ROW()-1,40),ROW()-1,FALSE))</f>
        <v>542</v>
      </c>
      <c r="AR240">
        <f ca="1">IF(AND(ISNUMBER($AR$334),$B$294=1),$AR$334,HLOOKUP(INDIRECT(ADDRESS(2,COLUMN())),OFFSET($AT$2,0,0,ROW()-1,40),ROW()-1,FALSE))</f>
        <v>438</v>
      </c>
      <c r="AS240">
        <f ca="1">IF(AND(ISNUMBER($AS$334),$B$294=1),$AS$334,HLOOKUP(INDIRECT(ADDRESS(2,COLUMN())),OFFSET($AT$2,0,0,ROW()-1,40),ROW()-1,FALSE))</f>
        <v>652</v>
      </c>
      <c r="AT240">
        <f>613</f>
        <v>613</v>
      </c>
      <c r="AU240">
        <f>614</f>
        <v>614</v>
      </c>
      <c r="AV240">
        <f>634</f>
        <v>634</v>
      </c>
      <c r="AW240">
        <f>649</f>
        <v>649</v>
      </c>
      <c r="AX240">
        <f>625</f>
        <v>625</v>
      </c>
      <c r="AY240">
        <f>610</f>
        <v>610</v>
      </c>
      <c r="AZ240">
        <f>609</f>
        <v>609</v>
      </c>
      <c r="BA240">
        <f>570</f>
        <v>570</v>
      </c>
      <c r="BB240">
        <f>353</f>
        <v>353</v>
      </c>
      <c r="BC240">
        <f>417</f>
        <v>417</v>
      </c>
      <c r="BD240">
        <f>815</f>
        <v>815</v>
      </c>
      <c r="BE240">
        <f>551</f>
        <v>551</v>
      </c>
      <c r="BF240">
        <f>679</f>
        <v>679</v>
      </c>
      <c r="BG240">
        <f>565</f>
        <v>565</v>
      </c>
      <c r="BH240">
        <f>638</f>
        <v>638</v>
      </c>
      <c r="BI240">
        <f>501</f>
        <v>501</v>
      </c>
      <c r="BJ240">
        <f>647</f>
        <v>647</v>
      </c>
      <c r="BK240">
        <f>623</f>
        <v>623</v>
      </c>
      <c r="BL240">
        <f>579</f>
        <v>579</v>
      </c>
      <c r="BM240">
        <f>605</f>
        <v>605</v>
      </c>
      <c r="BN240">
        <f>410</f>
        <v>410</v>
      </c>
      <c r="BO240">
        <f>389</f>
        <v>389</v>
      </c>
      <c r="BP240">
        <f>800</f>
        <v>800</v>
      </c>
      <c r="BQ240">
        <f>653</f>
        <v>653</v>
      </c>
      <c r="BR240">
        <f>630</f>
        <v>630</v>
      </c>
      <c r="BS240">
        <f>682</f>
        <v>682</v>
      </c>
      <c r="BT240">
        <f>812</f>
        <v>812</v>
      </c>
      <c r="BU240">
        <f>784</f>
        <v>784</v>
      </c>
      <c r="BV240">
        <f>461</f>
        <v>461</v>
      </c>
      <c r="BW240">
        <f>519</f>
        <v>519</v>
      </c>
      <c r="BX240">
        <f>480</f>
        <v>480</v>
      </c>
      <c r="BY240">
        <f>425</f>
        <v>425</v>
      </c>
      <c r="BZ240">
        <f>351</f>
        <v>351</v>
      </c>
      <c r="CA240">
        <f>476</f>
        <v>476</v>
      </c>
      <c r="CB240">
        <f>738</f>
        <v>738</v>
      </c>
      <c r="CC240">
        <f>495</f>
        <v>495</v>
      </c>
      <c r="CD240">
        <f>482</f>
        <v>482</v>
      </c>
      <c r="CE240">
        <f>542</f>
        <v>542</v>
      </c>
      <c r="CF240">
        <f>438</f>
        <v>438</v>
      </c>
      <c r="CG240">
        <f>652</f>
        <v>652</v>
      </c>
    </row>
    <row r="241" spans="1:85" x14ac:dyDescent="0.25">
      <c r="A241" t="str">
        <f>"    PACCAR - Peterbilt"</f>
        <v xml:space="preserve">    PACCAR - Peterbilt</v>
      </c>
      <c r="B241" t="str">
        <f>"PCAR US Equity"</f>
        <v>PCAR US Equity</v>
      </c>
      <c r="C241" t="str">
        <f t="shared" si="19"/>
        <v>X1701</v>
      </c>
      <c r="D241" t="str">
        <f t="shared" si="20"/>
        <v>WARDS_RETAIL_SALES_UNITS</v>
      </c>
      <c r="E241" t="str">
        <f t="shared" si="18"/>
        <v>Dynamic</v>
      </c>
      <c r="F241">
        <f ca="1">IF(AND(ISNUMBER($F$335),$B$294=1),$F$335,HLOOKUP(INDIRECT(ADDRESS(2,COLUMN())),OFFSET($AT$2,0,0,ROW()-1,40),ROW()-1,FALSE))</f>
        <v>665</v>
      </c>
      <c r="G241">
        <f ca="1">IF(AND(ISNUMBER($G$335),$B$294=1),$G$335,HLOOKUP(INDIRECT(ADDRESS(2,COLUMN())),OFFSET($AT$2,0,0,ROW()-1,40),ROW()-1,FALSE))</f>
        <v>521</v>
      </c>
      <c r="H241">
        <f ca="1">IF(AND(ISNUMBER($H$335),$B$294=1),$H$335,HLOOKUP(INDIRECT(ADDRESS(2,COLUMN())),OFFSET($AT$2,0,0,ROW()-1,40),ROW()-1,FALSE))</f>
        <v>511</v>
      </c>
      <c r="I241">
        <f ca="1">IF(AND(ISNUMBER($I$335),$B$294=1),$I$335,HLOOKUP(INDIRECT(ADDRESS(2,COLUMN())),OFFSET($AT$2,0,0,ROW()-1,40),ROW()-1,FALSE))</f>
        <v>516</v>
      </c>
      <c r="J241">
        <f ca="1">IF(AND(ISNUMBER($J$335),$B$294=1),$J$335,HLOOKUP(INDIRECT(ADDRESS(2,COLUMN())),OFFSET($AT$2,0,0,ROW()-1,40),ROW()-1,FALSE))</f>
        <v>479</v>
      </c>
      <c r="K241">
        <f ca="1">IF(AND(ISNUMBER($K$335),$B$294=1),$K$335,HLOOKUP(INDIRECT(ADDRESS(2,COLUMN())),OFFSET($AT$2,0,0,ROW()-1,40),ROW()-1,FALSE))</f>
        <v>527</v>
      </c>
      <c r="L241">
        <f ca="1">IF(AND(ISNUMBER($L$335),$B$294=1),$L$335,HLOOKUP(INDIRECT(ADDRESS(2,COLUMN())),OFFSET($AT$2,0,0,ROW()-1,40),ROW()-1,FALSE))</f>
        <v>422</v>
      </c>
      <c r="M241">
        <f ca="1">IF(AND(ISNUMBER($M$335),$B$294=1),$M$335,HLOOKUP(INDIRECT(ADDRESS(2,COLUMN())),OFFSET($AT$2,0,0,ROW()-1,40),ROW()-1,FALSE))</f>
        <v>574</v>
      </c>
      <c r="N241">
        <f ca="1">IF(AND(ISNUMBER($N$335),$B$294=1),$N$335,HLOOKUP(INDIRECT(ADDRESS(2,COLUMN())),OFFSET($AT$2,0,0,ROW()-1,40),ROW()-1,FALSE))</f>
        <v>408</v>
      </c>
      <c r="O241">
        <f ca="1">IF(AND(ISNUMBER($O$335),$B$294=1),$O$335,HLOOKUP(INDIRECT(ADDRESS(2,COLUMN())),OFFSET($AT$2,0,0,ROW()-1,40),ROW()-1,FALSE))</f>
        <v>358</v>
      </c>
      <c r="P241">
        <f ca="1">IF(AND(ISNUMBER($P$335),$B$294=1),$P$335,HLOOKUP(INDIRECT(ADDRESS(2,COLUMN())),OFFSET($AT$2,0,0,ROW()-1,40),ROW()-1,FALSE))</f>
        <v>735</v>
      </c>
      <c r="Q241">
        <f ca="1">IF(AND(ISNUMBER($Q$335),$B$294=1),$Q$335,HLOOKUP(INDIRECT(ADDRESS(2,COLUMN())),OFFSET($AT$2,0,0,ROW()-1,40),ROW()-1,FALSE))</f>
        <v>444</v>
      </c>
      <c r="R241">
        <f ca="1">IF(AND(ISNUMBER($R$335),$B$294=1),$R$335,HLOOKUP(INDIRECT(ADDRESS(2,COLUMN())),OFFSET($AT$2,0,0,ROW()-1,40),ROW()-1,FALSE))</f>
        <v>553</v>
      </c>
      <c r="S241">
        <f ca="1">IF(AND(ISNUMBER($S$335),$B$294=1),$S$335,HLOOKUP(INDIRECT(ADDRESS(2,COLUMN())),OFFSET($AT$2,0,0,ROW()-1,40),ROW()-1,FALSE))</f>
        <v>540</v>
      </c>
      <c r="T241">
        <f ca="1">IF(AND(ISNUMBER($T$335),$B$294=1),$T$335,HLOOKUP(INDIRECT(ADDRESS(2,COLUMN())),OFFSET($AT$2,0,0,ROW()-1,40),ROW()-1,FALSE))</f>
        <v>474</v>
      </c>
      <c r="U241">
        <f ca="1">IF(AND(ISNUMBER($U$335),$B$294=1),$U$335,HLOOKUP(INDIRECT(ADDRESS(2,COLUMN())),OFFSET($AT$2,0,0,ROW()-1,40),ROW()-1,FALSE))</f>
        <v>513</v>
      </c>
      <c r="V241">
        <f ca="1">IF(AND(ISNUMBER($V$335),$B$294=1),$V$335,HLOOKUP(INDIRECT(ADDRESS(2,COLUMN())),OFFSET($AT$2,0,0,ROW()-1,40),ROW()-1,FALSE))</f>
        <v>549</v>
      </c>
      <c r="W241">
        <f ca="1">IF(AND(ISNUMBER($W$335),$B$294=1),$W$335,HLOOKUP(INDIRECT(ADDRESS(2,COLUMN())),OFFSET($AT$2,0,0,ROW()-1,40),ROW()-1,FALSE))</f>
        <v>444</v>
      </c>
      <c r="X241">
        <f ca="1">IF(AND(ISNUMBER($X$335),$B$294=1),$X$335,HLOOKUP(INDIRECT(ADDRESS(2,COLUMN())),OFFSET($AT$2,0,0,ROW()-1,40),ROW()-1,FALSE))</f>
        <v>504</v>
      </c>
      <c r="Y241">
        <f ca="1">IF(AND(ISNUMBER($Y$335),$B$294=1),$Y$335,HLOOKUP(INDIRECT(ADDRESS(2,COLUMN())),OFFSET($AT$2,0,0,ROW()-1,40),ROW()-1,FALSE))</f>
        <v>534</v>
      </c>
      <c r="Z241">
        <f ca="1">IF(AND(ISNUMBER($Z$335),$B$294=1),$Z$335,HLOOKUP(INDIRECT(ADDRESS(2,COLUMN())),OFFSET($AT$2,0,0,ROW()-1,40),ROW()-1,FALSE))</f>
        <v>462</v>
      </c>
      <c r="AA241">
        <f ca="1">IF(AND(ISNUMBER($AA$335),$B$294=1),$AA$335,HLOOKUP(INDIRECT(ADDRESS(2,COLUMN())),OFFSET($AT$2,0,0,ROW()-1,40),ROW()-1,FALSE))</f>
        <v>455</v>
      </c>
      <c r="AB241">
        <f ca="1">IF(AND(ISNUMBER($AB$335),$B$294=1),$AB$335,HLOOKUP(INDIRECT(ADDRESS(2,COLUMN())),OFFSET($AT$2,0,0,ROW()-1,40),ROW()-1,FALSE))</f>
        <v>669</v>
      </c>
      <c r="AC241">
        <f ca="1">IF(AND(ISNUMBER($AC$335),$B$294=1),$AC$335,HLOOKUP(INDIRECT(ADDRESS(2,COLUMN())),OFFSET($AT$2,0,0,ROW()-1,40),ROW()-1,FALSE))</f>
        <v>483</v>
      </c>
      <c r="AD241">
        <f ca="1">IF(AND(ISNUMBER($AD$335),$B$294=1),$AD$335,HLOOKUP(INDIRECT(ADDRESS(2,COLUMN())),OFFSET($AT$2,0,0,ROW()-1,40),ROW()-1,FALSE))</f>
        <v>516</v>
      </c>
      <c r="AE241">
        <f ca="1">IF(AND(ISNUMBER($AE$335),$B$294=1),$AE$335,HLOOKUP(INDIRECT(ADDRESS(2,COLUMN())),OFFSET($AT$2,0,0,ROW()-1,40),ROW()-1,FALSE))</f>
        <v>691</v>
      </c>
      <c r="AF241">
        <f ca="1">IF(AND(ISNUMBER($AF$335),$B$294=1),$AF$335,HLOOKUP(INDIRECT(ADDRESS(2,COLUMN())),OFFSET($AT$2,0,0,ROW()-1,40),ROW()-1,FALSE))</f>
        <v>551</v>
      </c>
      <c r="AG241">
        <f ca="1">IF(AND(ISNUMBER($AG$335),$B$294=1),$AG$335,HLOOKUP(INDIRECT(ADDRESS(2,COLUMN())),OFFSET($AT$2,0,0,ROW()-1,40),ROW()-1,FALSE))</f>
        <v>583</v>
      </c>
      <c r="AH241">
        <f ca="1">IF(AND(ISNUMBER($AH$335),$B$294=1),$AH$335,HLOOKUP(INDIRECT(ADDRESS(2,COLUMN())),OFFSET($AT$2,0,0,ROW()-1,40),ROW()-1,FALSE))</f>
        <v>561</v>
      </c>
      <c r="AI241">
        <f ca="1">IF(AND(ISNUMBER($AI$335),$B$294=1),$AI$335,HLOOKUP(INDIRECT(ADDRESS(2,COLUMN())),OFFSET($AT$2,0,0,ROW()-1,40),ROW()-1,FALSE))</f>
        <v>440</v>
      </c>
      <c r="AJ241">
        <f ca="1">IF(AND(ISNUMBER($AJ$335),$B$294=1),$AJ$335,HLOOKUP(INDIRECT(ADDRESS(2,COLUMN())),OFFSET($AT$2,0,0,ROW()-1,40),ROW()-1,FALSE))</f>
        <v>497</v>
      </c>
      <c r="AK241">
        <f ca="1">IF(AND(ISNUMBER($AK$335),$B$294=1),$AK$335,HLOOKUP(INDIRECT(ADDRESS(2,COLUMN())),OFFSET($AT$2,0,0,ROW()-1,40),ROW()-1,FALSE))</f>
        <v>474</v>
      </c>
      <c r="AL241">
        <f ca="1">IF(AND(ISNUMBER($AL$335),$B$294=1),$AL$335,HLOOKUP(INDIRECT(ADDRESS(2,COLUMN())),OFFSET($AT$2,0,0,ROW()-1,40),ROW()-1,FALSE))</f>
        <v>333</v>
      </c>
      <c r="AM241">
        <f ca="1">IF(AND(ISNUMBER($AM$335),$B$294=1),$AM$335,HLOOKUP(INDIRECT(ADDRESS(2,COLUMN())),OFFSET($AT$2,0,0,ROW()-1,40),ROW()-1,FALSE))</f>
        <v>382</v>
      </c>
      <c r="AN241">
        <f ca="1">IF(AND(ISNUMBER($AN$335),$B$294=1),$AN$335,HLOOKUP(INDIRECT(ADDRESS(2,COLUMN())),OFFSET($AT$2,0,0,ROW()-1,40),ROW()-1,FALSE))</f>
        <v>537</v>
      </c>
      <c r="AO241">
        <f ca="1">IF(AND(ISNUMBER($AO$335),$B$294=1),$AO$335,HLOOKUP(INDIRECT(ADDRESS(2,COLUMN())),OFFSET($AT$2,0,0,ROW()-1,40),ROW()-1,FALSE))</f>
        <v>470</v>
      </c>
      <c r="AP241">
        <f ca="1">IF(AND(ISNUMBER($AP$335),$B$294=1),$AP$335,HLOOKUP(INDIRECT(ADDRESS(2,COLUMN())),OFFSET($AT$2,0,0,ROW()-1,40),ROW()-1,FALSE))</f>
        <v>458</v>
      </c>
      <c r="AQ241">
        <f ca="1">IF(AND(ISNUMBER($AQ$335),$B$294=1),$AQ$335,HLOOKUP(INDIRECT(ADDRESS(2,COLUMN())),OFFSET($AT$2,0,0,ROW()-1,40),ROW()-1,FALSE))</f>
        <v>415</v>
      </c>
      <c r="AR241">
        <f ca="1">IF(AND(ISNUMBER($AR$335),$B$294=1),$AR$335,HLOOKUP(INDIRECT(ADDRESS(2,COLUMN())),OFFSET($AT$2,0,0,ROW()-1,40),ROW()-1,FALSE))</f>
        <v>410</v>
      </c>
      <c r="AS241">
        <f ca="1">IF(AND(ISNUMBER($AS$335),$B$294=1),$AS$335,HLOOKUP(INDIRECT(ADDRESS(2,COLUMN())),OFFSET($AT$2,0,0,ROW()-1,40),ROW()-1,FALSE))</f>
        <v>429</v>
      </c>
      <c r="AT241">
        <f>665</f>
        <v>665</v>
      </c>
      <c r="AU241">
        <f>521</f>
        <v>521</v>
      </c>
      <c r="AV241">
        <f>511</f>
        <v>511</v>
      </c>
      <c r="AW241">
        <f>516</f>
        <v>516</v>
      </c>
      <c r="AX241">
        <f>479</f>
        <v>479</v>
      </c>
      <c r="AY241">
        <f>527</f>
        <v>527</v>
      </c>
      <c r="AZ241">
        <f>422</f>
        <v>422</v>
      </c>
      <c r="BA241">
        <f>574</f>
        <v>574</v>
      </c>
      <c r="BB241">
        <f>408</f>
        <v>408</v>
      </c>
      <c r="BC241">
        <f>358</f>
        <v>358</v>
      </c>
      <c r="BD241">
        <f>735</f>
        <v>735</v>
      </c>
      <c r="BE241">
        <f>444</f>
        <v>444</v>
      </c>
      <c r="BF241">
        <f>553</f>
        <v>553</v>
      </c>
      <c r="BG241">
        <f>540</f>
        <v>540</v>
      </c>
      <c r="BH241">
        <f>474</f>
        <v>474</v>
      </c>
      <c r="BI241">
        <f>513</f>
        <v>513</v>
      </c>
      <c r="BJ241">
        <f>549</f>
        <v>549</v>
      </c>
      <c r="BK241">
        <f>444</f>
        <v>444</v>
      </c>
      <c r="BL241">
        <f>504</f>
        <v>504</v>
      </c>
      <c r="BM241">
        <f>534</f>
        <v>534</v>
      </c>
      <c r="BN241">
        <f>462</f>
        <v>462</v>
      </c>
      <c r="BO241">
        <f>455</f>
        <v>455</v>
      </c>
      <c r="BP241">
        <f>669</f>
        <v>669</v>
      </c>
      <c r="BQ241">
        <f>483</f>
        <v>483</v>
      </c>
      <c r="BR241">
        <f>516</f>
        <v>516</v>
      </c>
      <c r="BS241">
        <f>691</f>
        <v>691</v>
      </c>
      <c r="BT241">
        <f>551</f>
        <v>551</v>
      </c>
      <c r="BU241">
        <f>583</f>
        <v>583</v>
      </c>
      <c r="BV241">
        <f>561</f>
        <v>561</v>
      </c>
      <c r="BW241">
        <f>440</f>
        <v>440</v>
      </c>
      <c r="BX241">
        <f>497</f>
        <v>497</v>
      </c>
      <c r="BY241">
        <f>474</f>
        <v>474</v>
      </c>
      <c r="BZ241">
        <f>333</f>
        <v>333</v>
      </c>
      <c r="CA241">
        <f>382</f>
        <v>382</v>
      </c>
      <c r="CB241">
        <f>537</f>
        <v>537</v>
      </c>
      <c r="CC241">
        <f>470</f>
        <v>470</v>
      </c>
      <c r="CD241">
        <f>458</f>
        <v>458</v>
      </c>
      <c r="CE241">
        <f>415</f>
        <v>415</v>
      </c>
      <c r="CF241">
        <f>410</f>
        <v>410</v>
      </c>
      <c r="CG241">
        <f>429</f>
        <v>429</v>
      </c>
    </row>
    <row r="242" spans="1:85" x14ac:dyDescent="0.25">
      <c r="A242" t="str">
        <f>"    Ford"</f>
        <v xml:space="preserve">    Ford</v>
      </c>
      <c r="B242" t="str">
        <f>"F US Equity"</f>
        <v>F US Equity</v>
      </c>
      <c r="C242" t="str">
        <f t="shared" si="19"/>
        <v>X1701</v>
      </c>
      <c r="D242" t="str">
        <f t="shared" si="20"/>
        <v>WARDS_RETAIL_SALES_UNITS</v>
      </c>
      <c r="E242" t="str">
        <f t="shared" si="18"/>
        <v>Dynamic</v>
      </c>
      <c r="F242">
        <f ca="1">IF(AND(ISNUMBER($F$336),$B$294=1),$F$336,HLOOKUP(INDIRECT(ADDRESS(2,COLUMN())),OFFSET($AT$2,0,0,ROW()-1,40),ROW()-1,FALSE))</f>
        <v>1572</v>
      </c>
      <c r="G242">
        <f ca="1">IF(AND(ISNUMBER($G$336),$B$294=1),$G$336,HLOOKUP(INDIRECT(ADDRESS(2,COLUMN())),OFFSET($AT$2,0,0,ROW()-1,40),ROW()-1,FALSE))</f>
        <v>1384</v>
      </c>
      <c r="H242">
        <f ca="1">IF(AND(ISNUMBER($H$336),$B$294=1),$H$336,HLOOKUP(INDIRECT(ADDRESS(2,COLUMN())),OFFSET($AT$2,0,0,ROW()-1,40),ROW()-1,FALSE))</f>
        <v>1808</v>
      </c>
      <c r="I242">
        <f ca="1">IF(AND(ISNUMBER($I$336),$B$294=1),$I$336,HLOOKUP(INDIRECT(ADDRESS(2,COLUMN())),OFFSET($AT$2,0,0,ROW()-1,40),ROW()-1,FALSE))</f>
        <v>1470</v>
      </c>
      <c r="J242">
        <f ca="1">IF(AND(ISNUMBER($J$336),$B$294=1),$J$336,HLOOKUP(INDIRECT(ADDRESS(2,COLUMN())),OFFSET($AT$2,0,0,ROW()-1,40),ROW()-1,FALSE))</f>
        <v>1888</v>
      </c>
      <c r="K242">
        <f ca="1">IF(AND(ISNUMBER($K$336),$B$294=1),$K$336,HLOOKUP(INDIRECT(ADDRESS(2,COLUMN())),OFFSET($AT$2,0,0,ROW()-1,40),ROW()-1,FALSE))</f>
        <v>1268</v>
      </c>
      <c r="L242">
        <f ca="1">IF(AND(ISNUMBER($L$336),$B$294=1),$L$336,HLOOKUP(INDIRECT(ADDRESS(2,COLUMN())),OFFSET($AT$2,0,0,ROW()-1,40),ROW()-1,FALSE))</f>
        <v>2075</v>
      </c>
      <c r="M242">
        <f ca="1">IF(AND(ISNUMBER($M$336),$B$294=1),$M$336,HLOOKUP(INDIRECT(ADDRESS(2,COLUMN())),OFFSET($AT$2,0,0,ROW()-1,40),ROW()-1,FALSE))</f>
        <v>2396</v>
      </c>
      <c r="N242">
        <f ca="1">IF(AND(ISNUMBER($N$336),$B$294=1),$N$336,HLOOKUP(INDIRECT(ADDRESS(2,COLUMN())),OFFSET($AT$2,0,0,ROW()-1,40),ROW()-1,FALSE))</f>
        <v>1810</v>
      </c>
      <c r="O242">
        <f ca="1">IF(AND(ISNUMBER($O$336),$B$294=1),$O$336,HLOOKUP(INDIRECT(ADDRESS(2,COLUMN())),OFFSET($AT$2,0,0,ROW()-1,40),ROW()-1,FALSE))</f>
        <v>2215</v>
      </c>
      <c r="P242">
        <f ca="1">IF(AND(ISNUMBER($P$336),$B$294=1),$P$336,HLOOKUP(INDIRECT(ADDRESS(2,COLUMN())),OFFSET($AT$2,0,0,ROW()-1,40),ROW()-1,FALSE))</f>
        <v>3049</v>
      </c>
      <c r="Q242">
        <f ca="1">IF(AND(ISNUMBER($Q$336),$B$294=1),$Q$336,HLOOKUP(INDIRECT(ADDRESS(2,COLUMN())),OFFSET($AT$2,0,0,ROW()-1,40),ROW()-1,FALSE))</f>
        <v>2174</v>
      </c>
      <c r="R242">
        <f ca="1">IF(AND(ISNUMBER($R$336),$B$294=1),$R$336,HLOOKUP(INDIRECT(ADDRESS(2,COLUMN())),OFFSET($AT$2,0,0,ROW()-1,40),ROW()-1,FALSE))</f>
        <v>1831</v>
      </c>
      <c r="S242">
        <f ca="1">IF(AND(ISNUMBER($S$336),$B$294=1),$S$336,HLOOKUP(INDIRECT(ADDRESS(2,COLUMN())),OFFSET($AT$2,0,0,ROW()-1,40),ROW()-1,FALSE))</f>
        <v>1681</v>
      </c>
      <c r="T242">
        <f ca="1">IF(AND(ISNUMBER($T$336),$B$294=1),$T$336,HLOOKUP(INDIRECT(ADDRESS(2,COLUMN())),OFFSET($AT$2,0,0,ROW()-1,40),ROW()-1,FALSE))</f>
        <v>1649</v>
      </c>
      <c r="U242">
        <f ca="1">IF(AND(ISNUMBER($U$336),$B$294=1),$U$336,HLOOKUP(INDIRECT(ADDRESS(2,COLUMN())),OFFSET($AT$2,0,0,ROW()-1,40),ROW()-1,FALSE))</f>
        <v>1756</v>
      </c>
      <c r="V242">
        <f ca="1">IF(AND(ISNUMBER($V$336),$B$294=1),$V$336,HLOOKUP(INDIRECT(ADDRESS(2,COLUMN())),OFFSET($AT$2,0,0,ROW()-1,40),ROW()-1,FALSE))</f>
        <v>1781</v>
      </c>
      <c r="W242">
        <f ca="1">IF(AND(ISNUMBER($W$336),$B$294=1),$W$336,HLOOKUP(INDIRECT(ADDRESS(2,COLUMN())),OFFSET($AT$2,0,0,ROW()-1,40),ROW()-1,FALSE))</f>
        <v>1915</v>
      </c>
      <c r="X242">
        <f ca="1">IF(AND(ISNUMBER($X$336),$B$294=1),$X$336,HLOOKUP(INDIRECT(ADDRESS(2,COLUMN())),OFFSET($AT$2,0,0,ROW()-1,40),ROW()-1,FALSE))</f>
        <v>2582</v>
      </c>
      <c r="Y242">
        <f ca="1">IF(AND(ISNUMBER($Y$336),$B$294=1),$Y$336,HLOOKUP(INDIRECT(ADDRESS(2,COLUMN())),OFFSET($AT$2,0,0,ROW()-1,40),ROW()-1,FALSE))</f>
        <v>2791</v>
      </c>
      <c r="Z242">
        <f ca="1">IF(AND(ISNUMBER($Z$336),$B$294=1),$Z$336,HLOOKUP(INDIRECT(ADDRESS(2,COLUMN())),OFFSET($AT$2,0,0,ROW()-1,40),ROW()-1,FALSE))</f>
        <v>1781</v>
      </c>
      <c r="AA242">
        <f ca="1">IF(AND(ISNUMBER($AA$336),$B$294=1),$AA$336,HLOOKUP(INDIRECT(ADDRESS(2,COLUMN())),OFFSET($AT$2,0,0,ROW()-1,40),ROW()-1,FALSE))</f>
        <v>1801</v>
      </c>
      <c r="AB242">
        <f ca="1">IF(AND(ISNUMBER($AB$336),$B$294=1),$AB$336,HLOOKUP(INDIRECT(ADDRESS(2,COLUMN())),OFFSET($AT$2,0,0,ROW()-1,40),ROW()-1,FALSE))</f>
        <v>2482</v>
      </c>
      <c r="AC242">
        <f ca="1">IF(AND(ISNUMBER($AC$336),$B$294=1),$AC$336,HLOOKUP(INDIRECT(ADDRESS(2,COLUMN())),OFFSET($AT$2,0,0,ROW()-1,40),ROW()-1,FALSE))</f>
        <v>1638</v>
      </c>
      <c r="AD242">
        <f ca="1">IF(AND(ISNUMBER($AD$336),$B$294=1),$AD$336,HLOOKUP(INDIRECT(ADDRESS(2,COLUMN())),OFFSET($AT$2,0,0,ROW()-1,40),ROW()-1,FALSE))</f>
        <v>1749</v>
      </c>
      <c r="AE242">
        <f ca="1">IF(AND(ISNUMBER($AE$336),$B$294=1),$AE$336,HLOOKUP(INDIRECT(ADDRESS(2,COLUMN())),OFFSET($AT$2,0,0,ROW()-1,40),ROW()-1,FALSE))</f>
        <v>958</v>
      </c>
      <c r="AF242">
        <f ca="1">IF(AND(ISNUMBER($AF$336),$B$294=1),$AF$336,HLOOKUP(INDIRECT(ADDRESS(2,COLUMN())),OFFSET($AT$2,0,0,ROW()-1,40),ROW()-1,FALSE))</f>
        <v>971</v>
      </c>
      <c r="AG242">
        <f ca="1">IF(AND(ISNUMBER($AG$336),$B$294=1),$AG$336,HLOOKUP(INDIRECT(ADDRESS(2,COLUMN())),OFFSET($AT$2,0,0,ROW()-1,40),ROW()-1,FALSE))</f>
        <v>1299</v>
      </c>
      <c r="AH242">
        <f ca="1">IF(AND(ISNUMBER($AH$336),$B$294=1),$AH$336,HLOOKUP(INDIRECT(ADDRESS(2,COLUMN())),OFFSET($AT$2,0,0,ROW()-1,40),ROW()-1,FALSE))</f>
        <v>1463</v>
      </c>
      <c r="AI242">
        <f ca="1">IF(AND(ISNUMBER($AI$336),$B$294=1),$AI$336,HLOOKUP(INDIRECT(ADDRESS(2,COLUMN())),OFFSET($AT$2,0,0,ROW()-1,40),ROW()-1,FALSE))</f>
        <v>1253</v>
      </c>
      <c r="AJ242">
        <f ca="1">IF(AND(ISNUMBER($AJ$336),$B$294=1),$AJ$336,HLOOKUP(INDIRECT(ADDRESS(2,COLUMN())),OFFSET($AT$2,0,0,ROW()-1,40),ROW()-1,FALSE))</f>
        <v>1384</v>
      </c>
      <c r="AK242">
        <f ca="1">IF(AND(ISNUMBER($AK$336),$B$294=1),$AK$336,HLOOKUP(INDIRECT(ADDRESS(2,COLUMN())),OFFSET($AT$2,0,0,ROW()-1,40),ROW()-1,FALSE))</f>
        <v>1643</v>
      </c>
      <c r="AL242">
        <f ca="1">IF(AND(ISNUMBER($AL$336),$B$294=1),$AL$336,HLOOKUP(INDIRECT(ADDRESS(2,COLUMN())),OFFSET($AT$2,0,0,ROW()-1,40),ROW()-1,FALSE))</f>
        <v>1353</v>
      </c>
      <c r="AM242">
        <f ca="1">IF(AND(ISNUMBER($AM$336),$B$294=1),$AM$336,HLOOKUP(INDIRECT(ADDRESS(2,COLUMN())),OFFSET($AT$2,0,0,ROW()-1,40),ROW()-1,FALSE))</f>
        <v>1468</v>
      </c>
      <c r="AN242">
        <f ca="1">IF(AND(ISNUMBER($AN$336),$B$294=1),$AN$336,HLOOKUP(INDIRECT(ADDRESS(2,COLUMN())),OFFSET($AT$2,0,0,ROW()-1,40),ROW()-1,FALSE))</f>
        <v>2104</v>
      </c>
      <c r="AO242">
        <f ca="1">IF(AND(ISNUMBER($AO$336),$B$294=1),$AO$336,HLOOKUP(INDIRECT(ADDRESS(2,COLUMN())),OFFSET($AT$2,0,0,ROW()-1,40),ROW()-1,FALSE))</f>
        <v>1306</v>
      </c>
      <c r="AP242">
        <f ca="1">IF(AND(ISNUMBER($AP$336),$B$294=1),$AP$336,HLOOKUP(INDIRECT(ADDRESS(2,COLUMN())),OFFSET($AT$2,0,0,ROW()-1,40),ROW()-1,FALSE))</f>
        <v>1625</v>
      </c>
      <c r="AQ242">
        <f ca="1">IF(AND(ISNUMBER($AQ$336),$B$294=1),$AQ$336,HLOOKUP(INDIRECT(ADDRESS(2,COLUMN())),OFFSET($AT$2,0,0,ROW()-1,40),ROW()-1,FALSE))</f>
        <v>1454</v>
      </c>
      <c r="AR242">
        <f ca="1">IF(AND(ISNUMBER($AR$336),$B$294=1),$AR$336,HLOOKUP(INDIRECT(ADDRESS(2,COLUMN())),OFFSET($AT$2,0,0,ROW()-1,40),ROW()-1,FALSE))</f>
        <v>1293</v>
      </c>
      <c r="AS242">
        <f ca="1">IF(AND(ISNUMBER($AS$336),$B$294=1),$AS$336,HLOOKUP(INDIRECT(ADDRESS(2,COLUMN())),OFFSET($AT$2,0,0,ROW()-1,40),ROW()-1,FALSE))</f>
        <v>1203</v>
      </c>
      <c r="AT242">
        <f>1572</f>
        <v>1572</v>
      </c>
      <c r="AU242">
        <f>1384</f>
        <v>1384</v>
      </c>
      <c r="AV242">
        <f>1808</f>
        <v>1808</v>
      </c>
      <c r="AW242">
        <f>1470</f>
        <v>1470</v>
      </c>
      <c r="AX242">
        <f>1888</f>
        <v>1888</v>
      </c>
      <c r="AY242">
        <f>1268</f>
        <v>1268</v>
      </c>
      <c r="AZ242">
        <f>2075</f>
        <v>2075</v>
      </c>
      <c r="BA242">
        <f>2396</f>
        <v>2396</v>
      </c>
      <c r="BB242">
        <f>1810</f>
        <v>1810</v>
      </c>
      <c r="BC242">
        <f>2215</f>
        <v>2215</v>
      </c>
      <c r="BD242">
        <f>3049</f>
        <v>3049</v>
      </c>
      <c r="BE242">
        <f>2174</f>
        <v>2174</v>
      </c>
      <c r="BF242">
        <f>1831</f>
        <v>1831</v>
      </c>
      <c r="BG242">
        <f>1681</f>
        <v>1681</v>
      </c>
      <c r="BH242">
        <f>1649</f>
        <v>1649</v>
      </c>
      <c r="BI242">
        <f>1756</f>
        <v>1756</v>
      </c>
      <c r="BJ242">
        <f>1781</f>
        <v>1781</v>
      </c>
      <c r="BK242">
        <f>1915</f>
        <v>1915</v>
      </c>
      <c r="BL242">
        <f>2582</f>
        <v>2582</v>
      </c>
      <c r="BM242">
        <f>2791</f>
        <v>2791</v>
      </c>
      <c r="BN242">
        <f>1781</f>
        <v>1781</v>
      </c>
      <c r="BO242">
        <f>1801</f>
        <v>1801</v>
      </c>
      <c r="BP242">
        <f>2482</f>
        <v>2482</v>
      </c>
      <c r="BQ242">
        <f>1638</f>
        <v>1638</v>
      </c>
      <c r="BR242">
        <f>1749</f>
        <v>1749</v>
      </c>
      <c r="BS242">
        <f>958</f>
        <v>958</v>
      </c>
      <c r="BT242">
        <f>971</f>
        <v>971</v>
      </c>
      <c r="BU242">
        <f>1299</f>
        <v>1299</v>
      </c>
      <c r="BV242">
        <f>1463</f>
        <v>1463</v>
      </c>
      <c r="BW242">
        <f>1253</f>
        <v>1253</v>
      </c>
      <c r="BX242">
        <f>1384</f>
        <v>1384</v>
      </c>
      <c r="BY242">
        <f>1643</f>
        <v>1643</v>
      </c>
      <c r="BZ242">
        <f>1353</f>
        <v>1353</v>
      </c>
      <c r="CA242">
        <f>1468</f>
        <v>1468</v>
      </c>
      <c r="CB242">
        <f>2104</f>
        <v>2104</v>
      </c>
      <c r="CC242">
        <f>1306</f>
        <v>1306</v>
      </c>
      <c r="CD242">
        <f>1625</f>
        <v>1625</v>
      </c>
      <c r="CE242">
        <f>1454</f>
        <v>1454</v>
      </c>
      <c r="CF242">
        <f>1293</f>
        <v>1293</v>
      </c>
      <c r="CG242">
        <f>1203</f>
        <v>1203</v>
      </c>
    </row>
    <row r="243" spans="1:85" x14ac:dyDescent="0.25">
      <c r="A243" t="str">
        <f>"    Hino"</f>
        <v xml:space="preserve">    Hino</v>
      </c>
      <c r="B243" t="str">
        <f>"7205 JP Equity"</f>
        <v>7205 JP Equity</v>
      </c>
      <c r="C243" t="str">
        <f t="shared" si="19"/>
        <v>X1701</v>
      </c>
      <c r="D243" t="str">
        <f t="shared" si="20"/>
        <v>WARDS_RETAIL_SALES_UNITS</v>
      </c>
      <c r="E243" t="str">
        <f t="shared" si="18"/>
        <v>Dynamic</v>
      </c>
      <c r="F243">
        <f ca="1">IF(AND(ISNUMBER($F$337),$B$294=1),$F$337,HLOOKUP(INDIRECT(ADDRESS(2,COLUMN())),OFFSET($AT$2,0,0,ROW()-1,40),ROW()-1,FALSE))</f>
        <v>716</v>
      </c>
      <c r="G243">
        <f ca="1">IF(AND(ISNUMBER($G$337),$B$294=1),$G$337,HLOOKUP(INDIRECT(ADDRESS(2,COLUMN())),OFFSET($AT$2,0,0,ROW()-1,40),ROW()-1,FALSE))</f>
        <v>711</v>
      </c>
      <c r="H243">
        <f ca="1">IF(AND(ISNUMBER($H$337),$B$294=1),$H$337,HLOOKUP(INDIRECT(ADDRESS(2,COLUMN())),OFFSET($AT$2,0,0,ROW()-1,40),ROW()-1,FALSE))</f>
        <v>756</v>
      </c>
      <c r="I243">
        <f ca="1">IF(AND(ISNUMBER($I$337),$B$294=1),$I$337,HLOOKUP(INDIRECT(ADDRESS(2,COLUMN())),OFFSET($AT$2,0,0,ROW()-1,40),ROW()-1,FALSE))</f>
        <v>641</v>
      </c>
      <c r="J243">
        <f ca="1">IF(AND(ISNUMBER($J$337),$B$294=1),$J$337,HLOOKUP(INDIRECT(ADDRESS(2,COLUMN())),OFFSET($AT$2,0,0,ROW()-1,40),ROW()-1,FALSE))</f>
        <v>840</v>
      </c>
      <c r="K243">
        <f ca="1">IF(AND(ISNUMBER($K$337),$B$294=1),$K$337,HLOOKUP(INDIRECT(ADDRESS(2,COLUMN())),OFFSET($AT$2,0,0,ROW()-1,40),ROW()-1,FALSE))</f>
        <v>684</v>
      </c>
      <c r="L243">
        <f ca="1">IF(AND(ISNUMBER($L$337),$B$294=1),$L$337,HLOOKUP(INDIRECT(ADDRESS(2,COLUMN())),OFFSET($AT$2,0,0,ROW()-1,40),ROW()-1,FALSE))</f>
        <v>582</v>
      </c>
      <c r="M243">
        <f ca="1">IF(AND(ISNUMBER($M$337),$B$294=1),$M$337,HLOOKUP(INDIRECT(ADDRESS(2,COLUMN())),OFFSET($AT$2,0,0,ROW()-1,40),ROW()-1,FALSE))</f>
        <v>929</v>
      </c>
      <c r="N243">
        <f ca="1">IF(AND(ISNUMBER($N$337),$B$294=1),$N$337,HLOOKUP(INDIRECT(ADDRESS(2,COLUMN())),OFFSET($AT$2,0,0,ROW()-1,40),ROW()-1,FALSE))</f>
        <v>639</v>
      </c>
      <c r="O243">
        <f ca="1">IF(AND(ISNUMBER($O$337),$B$294=1),$O$337,HLOOKUP(INDIRECT(ADDRESS(2,COLUMN())),OFFSET($AT$2,0,0,ROW()-1,40),ROW()-1,FALSE))</f>
        <v>586</v>
      </c>
      <c r="P243">
        <f ca="1">IF(AND(ISNUMBER($P$337),$B$294=1),$P$337,HLOOKUP(INDIRECT(ADDRESS(2,COLUMN())),OFFSET($AT$2,0,0,ROW()-1,40),ROW()-1,FALSE))</f>
        <v>738</v>
      </c>
      <c r="Q243">
        <f ca="1">IF(AND(ISNUMBER($Q$337),$B$294=1),$Q$337,HLOOKUP(INDIRECT(ADDRESS(2,COLUMN())),OFFSET($AT$2,0,0,ROW()-1,40),ROW()-1,FALSE))</f>
        <v>738</v>
      </c>
      <c r="R243">
        <f ca="1">IF(AND(ISNUMBER($R$337),$B$294=1),$R$337,HLOOKUP(INDIRECT(ADDRESS(2,COLUMN())),OFFSET($AT$2,0,0,ROW()-1,40),ROW()-1,FALSE))</f>
        <v>621</v>
      </c>
      <c r="S243">
        <f ca="1">IF(AND(ISNUMBER($S$337),$B$294=1),$S$337,HLOOKUP(INDIRECT(ADDRESS(2,COLUMN())),OFFSET($AT$2,0,0,ROW()-1,40),ROW()-1,FALSE))</f>
        <v>651</v>
      </c>
      <c r="T243">
        <f ca="1">IF(AND(ISNUMBER($T$337),$B$294=1),$T$337,HLOOKUP(INDIRECT(ADDRESS(2,COLUMN())),OFFSET($AT$2,0,0,ROW()-1,40),ROW()-1,FALSE))</f>
        <v>630</v>
      </c>
      <c r="U243">
        <f ca="1">IF(AND(ISNUMBER($U$337),$B$294=1),$U$337,HLOOKUP(INDIRECT(ADDRESS(2,COLUMN())),OFFSET($AT$2,0,0,ROW()-1,40),ROW()-1,FALSE))</f>
        <v>577</v>
      </c>
      <c r="V243">
        <f ca="1">IF(AND(ISNUMBER($V$337),$B$294=1),$V$337,HLOOKUP(INDIRECT(ADDRESS(2,COLUMN())),OFFSET($AT$2,0,0,ROW()-1,40),ROW()-1,FALSE))</f>
        <v>758</v>
      </c>
      <c r="W243">
        <f ca="1">IF(AND(ISNUMBER($W$337),$B$294=1),$W$337,HLOOKUP(INDIRECT(ADDRESS(2,COLUMN())),OFFSET($AT$2,0,0,ROW()-1,40),ROW()-1,FALSE))</f>
        <v>699</v>
      </c>
      <c r="X243">
        <f ca="1">IF(AND(ISNUMBER($X$337),$B$294=1),$X$337,HLOOKUP(INDIRECT(ADDRESS(2,COLUMN())),OFFSET($AT$2,0,0,ROW()-1,40),ROW()-1,FALSE))</f>
        <v>506</v>
      </c>
      <c r="Y243">
        <f ca="1">IF(AND(ISNUMBER($Y$337),$B$294=1),$Y$337,HLOOKUP(INDIRECT(ADDRESS(2,COLUMN())),OFFSET($AT$2,0,0,ROW()-1,40),ROW()-1,FALSE))</f>
        <v>1330</v>
      </c>
      <c r="Z243">
        <f ca="1">IF(AND(ISNUMBER($Z$337),$B$294=1),$Z$337,HLOOKUP(INDIRECT(ADDRESS(2,COLUMN())),OFFSET($AT$2,0,0,ROW()-1,40),ROW()-1,FALSE))</f>
        <v>709</v>
      </c>
      <c r="AA243">
        <f ca="1">IF(AND(ISNUMBER($AA$337),$B$294=1),$AA$337,HLOOKUP(INDIRECT(ADDRESS(2,COLUMN())),OFFSET($AT$2,0,0,ROW()-1,40),ROW()-1,FALSE))</f>
        <v>552</v>
      </c>
      <c r="AB243">
        <f ca="1">IF(AND(ISNUMBER($AB$337),$B$294=1),$AB$337,HLOOKUP(INDIRECT(ADDRESS(2,COLUMN())),OFFSET($AT$2,0,0,ROW()-1,40),ROW()-1,FALSE))</f>
        <v>1075</v>
      </c>
      <c r="AC243">
        <f ca="1">IF(AND(ISNUMBER($AC$337),$B$294=1),$AC$337,HLOOKUP(INDIRECT(ADDRESS(2,COLUMN())),OFFSET($AT$2,0,0,ROW()-1,40),ROW()-1,FALSE))</f>
        <v>736</v>
      </c>
      <c r="AD243">
        <f ca="1">IF(AND(ISNUMBER($AD$337),$B$294=1),$AD$337,HLOOKUP(INDIRECT(ADDRESS(2,COLUMN())),OFFSET($AT$2,0,0,ROW()-1,40),ROW()-1,FALSE))</f>
        <v>833</v>
      </c>
      <c r="AE243">
        <f ca="1">IF(AND(ISNUMBER($AE$337),$B$294=1),$AE$337,HLOOKUP(INDIRECT(ADDRESS(2,COLUMN())),OFFSET($AT$2,0,0,ROW()-1,40),ROW()-1,FALSE))</f>
        <v>795</v>
      </c>
      <c r="AF243">
        <f ca="1">IF(AND(ISNUMBER($AF$337),$B$294=1),$AF$337,HLOOKUP(INDIRECT(ADDRESS(2,COLUMN())),OFFSET($AT$2,0,0,ROW()-1,40),ROW()-1,FALSE))</f>
        <v>779</v>
      </c>
      <c r="AG243">
        <f ca="1">IF(AND(ISNUMBER($AG$337),$B$294=1),$AG$337,HLOOKUP(INDIRECT(ADDRESS(2,COLUMN())),OFFSET($AT$2,0,0,ROW()-1,40),ROW()-1,FALSE))</f>
        <v>746</v>
      </c>
      <c r="AH243">
        <f ca="1">IF(AND(ISNUMBER($AH$337),$B$294=1),$AH$337,HLOOKUP(INDIRECT(ADDRESS(2,COLUMN())),OFFSET($AT$2,0,0,ROW()-1,40),ROW()-1,FALSE))</f>
        <v>747</v>
      </c>
      <c r="AI243">
        <f ca="1">IF(AND(ISNUMBER($AI$337),$B$294=1),$AI$337,HLOOKUP(INDIRECT(ADDRESS(2,COLUMN())),OFFSET($AT$2,0,0,ROW()-1,40),ROW()-1,FALSE))</f>
        <v>579</v>
      </c>
      <c r="AJ243">
        <f ca="1">IF(AND(ISNUMBER($AJ$337),$B$294=1),$AJ$337,HLOOKUP(INDIRECT(ADDRESS(2,COLUMN())),OFFSET($AT$2,0,0,ROW()-1,40),ROW()-1,FALSE))</f>
        <v>665</v>
      </c>
      <c r="AK243">
        <f ca="1">IF(AND(ISNUMBER($AK$337),$B$294=1),$AK$337,HLOOKUP(INDIRECT(ADDRESS(2,COLUMN())),OFFSET($AT$2,0,0,ROW()-1,40),ROW()-1,FALSE))</f>
        <v>1258</v>
      </c>
      <c r="AL243">
        <f ca="1">IF(AND(ISNUMBER($AL$337),$B$294=1),$AL$337,HLOOKUP(INDIRECT(ADDRESS(2,COLUMN())),OFFSET($AT$2,0,0,ROW()-1,40),ROW()-1,FALSE))</f>
        <v>664</v>
      </c>
      <c r="AM243">
        <f ca="1">IF(AND(ISNUMBER($AM$337),$B$294=1),$AM$337,HLOOKUP(INDIRECT(ADDRESS(2,COLUMN())),OFFSET($AT$2,0,0,ROW()-1,40),ROW()-1,FALSE))</f>
        <v>494</v>
      </c>
      <c r="AN243">
        <f ca="1">IF(AND(ISNUMBER($AN$337),$B$294=1),$AN$337,HLOOKUP(INDIRECT(ADDRESS(2,COLUMN())),OFFSET($AT$2,0,0,ROW()-1,40),ROW()-1,FALSE))</f>
        <v>1208</v>
      </c>
      <c r="AO243">
        <f ca="1">IF(AND(ISNUMBER($AO$337),$B$294=1),$AO$337,HLOOKUP(INDIRECT(ADDRESS(2,COLUMN())),OFFSET($AT$2,0,0,ROW()-1,40),ROW()-1,FALSE))</f>
        <v>701</v>
      </c>
      <c r="AP243">
        <f ca="1">IF(AND(ISNUMBER($AP$337),$B$294=1),$AP$337,HLOOKUP(INDIRECT(ADDRESS(2,COLUMN())),OFFSET($AT$2,0,0,ROW()-1,40),ROW()-1,FALSE))</f>
        <v>618</v>
      </c>
      <c r="AQ243">
        <f ca="1">IF(AND(ISNUMBER($AQ$337),$B$294=1),$AQ$337,HLOOKUP(INDIRECT(ADDRESS(2,COLUMN())),OFFSET($AT$2,0,0,ROW()-1,40),ROW()-1,FALSE))</f>
        <v>637</v>
      </c>
      <c r="AR243">
        <f ca="1">IF(AND(ISNUMBER($AR$337),$B$294=1),$AR$337,HLOOKUP(INDIRECT(ADDRESS(2,COLUMN())),OFFSET($AT$2,0,0,ROW()-1,40),ROW()-1,FALSE))</f>
        <v>645</v>
      </c>
      <c r="AS243">
        <f ca="1">IF(AND(ISNUMBER($AS$337),$B$294=1),$AS$337,HLOOKUP(INDIRECT(ADDRESS(2,COLUMN())),OFFSET($AT$2,0,0,ROW()-1,40),ROW()-1,FALSE))</f>
        <v>598</v>
      </c>
      <c r="AT243">
        <f>716</f>
        <v>716</v>
      </c>
      <c r="AU243">
        <f>711</f>
        <v>711</v>
      </c>
      <c r="AV243">
        <f>756</f>
        <v>756</v>
      </c>
      <c r="AW243">
        <f>641</f>
        <v>641</v>
      </c>
      <c r="AX243">
        <f>840</f>
        <v>840</v>
      </c>
      <c r="AY243">
        <f>684</f>
        <v>684</v>
      </c>
      <c r="AZ243">
        <f>582</f>
        <v>582</v>
      </c>
      <c r="BA243">
        <f>929</f>
        <v>929</v>
      </c>
      <c r="BB243">
        <f>639</f>
        <v>639</v>
      </c>
      <c r="BC243">
        <f>586</f>
        <v>586</v>
      </c>
      <c r="BD243">
        <f>738</f>
        <v>738</v>
      </c>
      <c r="BE243">
        <f>738</f>
        <v>738</v>
      </c>
      <c r="BF243">
        <f>621</f>
        <v>621</v>
      </c>
      <c r="BG243">
        <f>651</f>
        <v>651</v>
      </c>
      <c r="BH243">
        <f>630</f>
        <v>630</v>
      </c>
      <c r="BI243">
        <f>577</f>
        <v>577</v>
      </c>
      <c r="BJ243">
        <f>758</f>
        <v>758</v>
      </c>
      <c r="BK243">
        <f>699</f>
        <v>699</v>
      </c>
      <c r="BL243">
        <f>506</f>
        <v>506</v>
      </c>
      <c r="BM243">
        <f>1330</f>
        <v>1330</v>
      </c>
      <c r="BN243">
        <f>709</f>
        <v>709</v>
      </c>
      <c r="BO243">
        <f>552</f>
        <v>552</v>
      </c>
      <c r="BP243">
        <f>1075</f>
        <v>1075</v>
      </c>
      <c r="BQ243">
        <f>736</f>
        <v>736</v>
      </c>
      <c r="BR243">
        <f>833</f>
        <v>833</v>
      </c>
      <c r="BS243">
        <f>795</f>
        <v>795</v>
      </c>
      <c r="BT243">
        <f>779</f>
        <v>779</v>
      </c>
      <c r="BU243">
        <f>746</f>
        <v>746</v>
      </c>
      <c r="BV243">
        <f>747</f>
        <v>747</v>
      </c>
      <c r="BW243">
        <f>579</f>
        <v>579</v>
      </c>
      <c r="BX243">
        <f>665</f>
        <v>665</v>
      </c>
      <c r="BY243">
        <f>1258</f>
        <v>1258</v>
      </c>
      <c r="BZ243">
        <f>664</f>
        <v>664</v>
      </c>
      <c r="CA243">
        <f>494</f>
        <v>494</v>
      </c>
      <c r="CB243">
        <f>1208</f>
        <v>1208</v>
      </c>
      <c r="CC243">
        <f>701</f>
        <v>701</v>
      </c>
      <c r="CD243">
        <f>618</f>
        <v>618</v>
      </c>
      <c r="CE243">
        <f>637</f>
        <v>637</v>
      </c>
      <c r="CF243">
        <f>645</f>
        <v>645</v>
      </c>
      <c r="CG243">
        <f>598</f>
        <v>598</v>
      </c>
    </row>
    <row r="244" spans="1:85" x14ac:dyDescent="0.25">
      <c r="A244" t="str">
        <f>"    Volvo - Mack"</f>
        <v xml:space="preserve">    Volvo - Mack</v>
      </c>
      <c r="B244" t="str">
        <f>"VOLVB SS Equity"</f>
        <v>VOLVB SS Equity</v>
      </c>
      <c r="C244" t="str">
        <f t="shared" si="19"/>
        <v>X1701</v>
      </c>
      <c r="D244" t="str">
        <f t="shared" si="20"/>
        <v>WARDS_RETAIL_SALES_UNITS</v>
      </c>
      <c r="E244" t="str">
        <f t="shared" si="18"/>
        <v>Dynamic</v>
      </c>
      <c r="F244" t="str">
        <f ca="1">IF(AND(ISNUMBER($F$338),$B$294=1),$F$338,HLOOKUP(INDIRECT(ADDRESS(2,COLUMN())),OFFSET($AT$2,0,0,ROW()-1,40),ROW()-1,FALSE))</f>
        <v/>
      </c>
      <c r="G244" t="str">
        <f ca="1">IF(AND(ISNUMBER($G$338),$B$294=1),$G$338,HLOOKUP(INDIRECT(ADDRESS(2,COLUMN())),OFFSET($AT$2,0,0,ROW()-1,40),ROW()-1,FALSE))</f>
        <v/>
      </c>
      <c r="H244" t="str">
        <f ca="1">IF(AND(ISNUMBER($H$338),$B$294=1),$H$338,HLOOKUP(INDIRECT(ADDRESS(2,COLUMN())),OFFSET($AT$2,0,0,ROW()-1,40),ROW()-1,FALSE))</f>
        <v/>
      </c>
      <c r="I244" t="str">
        <f ca="1">IF(AND(ISNUMBER($I$338),$B$294=1),$I$338,HLOOKUP(INDIRECT(ADDRESS(2,COLUMN())),OFFSET($AT$2,0,0,ROW()-1,40),ROW()-1,FALSE))</f>
        <v/>
      </c>
      <c r="J244" t="str">
        <f ca="1">IF(AND(ISNUMBER($J$338),$B$294=1),$J$338,HLOOKUP(INDIRECT(ADDRESS(2,COLUMN())),OFFSET($AT$2,0,0,ROW()-1,40),ROW()-1,FALSE))</f>
        <v/>
      </c>
      <c r="K244" t="str">
        <f ca="1">IF(AND(ISNUMBER($K$338),$B$294=1),$K$338,HLOOKUP(INDIRECT(ADDRESS(2,COLUMN())),OFFSET($AT$2,0,0,ROW()-1,40),ROW()-1,FALSE))</f>
        <v/>
      </c>
      <c r="L244" t="str">
        <f ca="1">IF(AND(ISNUMBER($L$338),$B$294=1),$L$338,HLOOKUP(INDIRECT(ADDRESS(2,COLUMN())),OFFSET($AT$2,0,0,ROW()-1,40),ROW()-1,FALSE))</f>
        <v/>
      </c>
      <c r="M244" t="str">
        <f ca="1">IF(AND(ISNUMBER($M$338),$B$294=1),$M$338,HLOOKUP(INDIRECT(ADDRESS(2,COLUMN())),OFFSET($AT$2,0,0,ROW()-1,40),ROW()-1,FALSE))</f>
        <v/>
      </c>
      <c r="N244" t="str">
        <f ca="1">IF(AND(ISNUMBER($N$338),$B$294=1),$N$338,HLOOKUP(INDIRECT(ADDRESS(2,COLUMN())),OFFSET($AT$2,0,0,ROW()-1,40),ROW()-1,FALSE))</f>
        <v/>
      </c>
      <c r="O244" t="str">
        <f ca="1">IF(AND(ISNUMBER($O$338),$B$294=1),$O$338,HLOOKUP(INDIRECT(ADDRESS(2,COLUMN())),OFFSET($AT$2,0,0,ROW()-1,40),ROW()-1,FALSE))</f>
        <v/>
      </c>
      <c r="P244" t="str">
        <f ca="1">IF(AND(ISNUMBER($P$338),$B$294=1),$P$338,HLOOKUP(INDIRECT(ADDRESS(2,COLUMN())),OFFSET($AT$2,0,0,ROW()-1,40),ROW()-1,FALSE))</f>
        <v/>
      </c>
      <c r="Q244" t="str">
        <f ca="1">IF(AND(ISNUMBER($Q$338),$B$294=1),$Q$338,HLOOKUP(INDIRECT(ADDRESS(2,COLUMN())),OFFSET($AT$2,0,0,ROW()-1,40),ROW()-1,FALSE))</f>
        <v/>
      </c>
      <c r="R244" t="str">
        <f ca="1">IF(AND(ISNUMBER($R$338),$B$294=1),$R$338,HLOOKUP(INDIRECT(ADDRESS(2,COLUMN())),OFFSET($AT$2,0,0,ROW()-1,40),ROW()-1,FALSE))</f>
        <v/>
      </c>
      <c r="S244" t="str">
        <f ca="1">IF(AND(ISNUMBER($S$338),$B$294=1),$S$338,HLOOKUP(INDIRECT(ADDRESS(2,COLUMN())),OFFSET($AT$2,0,0,ROW()-1,40),ROW()-1,FALSE))</f>
        <v/>
      </c>
      <c r="T244" t="str">
        <f ca="1">IF(AND(ISNUMBER($T$338),$B$294=1),$T$338,HLOOKUP(INDIRECT(ADDRESS(2,COLUMN())),OFFSET($AT$2,0,0,ROW()-1,40),ROW()-1,FALSE))</f>
        <v/>
      </c>
      <c r="U244" t="str">
        <f ca="1">IF(AND(ISNUMBER($U$338),$B$294=1),$U$338,HLOOKUP(INDIRECT(ADDRESS(2,COLUMN())),OFFSET($AT$2,0,0,ROW()-1,40),ROW()-1,FALSE))</f>
        <v/>
      </c>
      <c r="V244" t="str">
        <f ca="1">IF(AND(ISNUMBER($V$338),$B$294=1),$V$338,HLOOKUP(INDIRECT(ADDRESS(2,COLUMN())),OFFSET($AT$2,0,0,ROW()-1,40),ROW()-1,FALSE))</f>
        <v/>
      </c>
      <c r="W244" t="str">
        <f ca="1">IF(AND(ISNUMBER($W$338),$B$294=1),$W$338,HLOOKUP(INDIRECT(ADDRESS(2,COLUMN())),OFFSET($AT$2,0,0,ROW()-1,40),ROW()-1,FALSE))</f>
        <v/>
      </c>
      <c r="X244" t="str">
        <f ca="1">IF(AND(ISNUMBER($X$338),$B$294=1),$X$338,HLOOKUP(INDIRECT(ADDRESS(2,COLUMN())),OFFSET($AT$2,0,0,ROW()-1,40),ROW()-1,FALSE))</f>
        <v/>
      </c>
      <c r="Y244" t="str">
        <f ca="1">IF(AND(ISNUMBER($Y$338),$B$294=1),$Y$338,HLOOKUP(INDIRECT(ADDRESS(2,COLUMN())),OFFSET($AT$2,0,0,ROW()-1,40),ROW()-1,FALSE))</f>
        <v/>
      </c>
      <c r="Z244" t="str">
        <f ca="1">IF(AND(ISNUMBER($Z$338),$B$294=1),$Z$338,HLOOKUP(INDIRECT(ADDRESS(2,COLUMN())),OFFSET($AT$2,0,0,ROW()-1,40),ROW()-1,FALSE))</f>
        <v/>
      </c>
      <c r="AA244" t="str">
        <f ca="1">IF(AND(ISNUMBER($AA$338),$B$294=1),$AA$338,HLOOKUP(INDIRECT(ADDRESS(2,COLUMN())),OFFSET($AT$2,0,0,ROW()-1,40),ROW()-1,FALSE))</f>
        <v/>
      </c>
      <c r="AB244" t="str">
        <f ca="1">IF(AND(ISNUMBER($AB$338),$B$294=1),$AB$338,HLOOKUP(INDIRECT(ADDRESS(2,COLUMN())),OFFSET($AT$2,0,0,ROW()-1,40),ROW()-1,FALSE))</f>
        <v/>
      </c>
      <c r="AC244" t="str">
        <f ca="1">IF(AND(ISNUMBER($AC$338),$B$294=1),$AC$338,HLOOKUP(INDIRECT(ADDRESS(2,COLUMN())),OFFSET($AT$2,0,0,ROW()-1,40),ROW()-1,FALSE))</f>
        <v/>
      </c>
      <c r="AD244" t="str">
        <f ca="1">IF(AND(ISNUMBER($AD$338),$B$294=1),$AD$338,HLOOKUP(INDIRECT(ADDRESS(2,COLUMN())),OFFSET($AT$2,0,0,ROW()-1,40),ROW()-1,FALSE))</f>
        <v/>
      </c>
      <c r="AE244" t="str">
        <f ca="1">IF(AND(ISNUMBER($AE$338),$B$294=1),$AE$338,HLOOKUP(INDIRECT(ADDRESS(2,COLUMN())),OFFSET($AT$2,0,0,ROW()-1,40),ROW()-1,FALSE))</f>
        <v/>
      </c>
      <c r="AF244" t="str">
        <f ca="1">IF(AND(ISNUMBER($AF$338),$B$294=1),$AF$338,HLOOKUP(INDIRECT(ADDRESS(2,COLUMN())),OFFSET($AT$2,0,0,ROW()-1,40),ROW()-1,FALSE))</f>
        <v/>
      </c>
      <c r="AG244" t="str">
        <f ca="1">IF(AND(ISNUMBER($AG$338),$B$294=1),$AG$338,HLOOKUP(INDIRECT(ADDRESS(2,COLUMN())),OFFSET($AT$2,0,0,ROW()-1,40),ROW()-1,FALSE))</f>
        <v/>
      </c>
      <c r="AH244" t="str">
        <f ca="1">IF(AND(ISNUMBER($AH$338),$B$294=1),$AH$338,HLOOKUP(INDIRECT(ADDRESS(2,COLUMN())),OFFSET($AT$2,0,0,ROW()-1,40),ROW()-1,FALSE))</f>
        <v/>
      </c>
      <c r="AI244" t="str">
        <f ca="1">IF(AND(ISNUMBER($AI$338),$B$294=1),$AI$338,HLOOKUP(INDIRECT(ADDRESS(2,COLUMN())),OFFSET($AT$2,0,0,ROW()-1,40),ROW()-1,FALSE))</f>
        <v/>
      </c>
      <c r="AJ244" t="str">
        <f ca="1">IF(AND(ISNUMBER($AJ$338),$B$294=1),$AJ$338,HLOOKUP(INDIRECT(ADDRESS(2,COLUMN())),OFFSET($AT$2,0,0,ROW()-1,40),ROW()-1,FALSE))</f>
        <v/>
      </c>
      <c r="AK244" t="str">
        <f ca="1">IF(AND(ISNUMBER($AK$338),$B$294=1),$AK$338,HLOOKUP(INDIRECT(ADDRESS(2,COLUMN())),OFFSET($AT$2,0,0,ROW()-1,40),ROW()-1,FALSE))</f>
        <v/>
      </c>
      <c r="AL244" t="str">
        <f ca="1">IF(AND(ISNUMBER($AL$338),$B$294=1),$AL$338,HLOOKUP(INDIRECT(ADDRESS(2,COLUMN())),OFFSET($AT$2,0,0,ROW()-1,40),ROW()-1,FALSE))</f>
        <v/>
      </c>
      <c r="AM244" t="str">
        <f ca="1">IF(AND(ISNUMBER($AM$338),$B$294=1),$AM$338,HLOOKUP(INDIRECT(ADDRESS(2,COLUMN())),OFFSET($AT$2,0,0,ROW()-1,40),ROW()-1,FALSE))</f>
        <v/>
      </c>
      <c r="AN244" t="str">
        <f ca="1">IF(AND(ISNUMBER($AN$338),$B$294=1),$AN$338,HLOOKUP(INDIRECT(ADDRESS(2,COLUMN())),OFFSET($AT$2,0,0,ROW()-1,40),ROW()-1,FALSE))</f>
        <v/>
      </c>
      <c r="AO244" t="str">
        <f ca="1">IF(AND(ISNUMBER($AO$338),$B$294=1),$AO$338,HLOOKUP(INDIRECT(ADDRESS(2,COLUMN())),OFFSET($AT$2,0,0,ROW()-1,40),ROW()-1,FALSE))</f>
        <v/>
      </c>
      <c r="AP244" t="str">
        <f ca="1">IF(AND(ISNUMBER($AP$338),$B$294=1),$AP$338,HLOOKUP(INDIRECT(ADDRESS(2,COLUMN())),OFFSET($AT$2,0,0,ROW()-1,40),ROW()-1,FALSE))</f>
        <v/>
      </c>
      <c r="AQ244" t="str">
        <f ca="1">IF(AND(ISNUMBER($AQ$338),$B$294=1),$AQ$338,HLOOKUP(INDIRECT(ADDRESS(2,COLUMN())),OFFSET($AT$2,0,0,ROW()-1,40),ROW()-1,FALSE))</f>
        <v/>
      </c>
      <c r="AR244" t="str">
        <f ca="1">IF(AND(ISNUMBER($AR$338),$B$294=1),$AR$338,HLOOKUP(INDIRECT(ADDRESS(2,COLUMN())),OFFSET($AT$2,0,0,ROW()-1,40),ROW()-1,FALSE))</f>
        <v/>
      </c>
      <c r="AS244" t="str">
        <f ca="1">IF(AND(ISNUMBER($AS$338),$B$294=1),$AS$338,HLOOKUP(INDIRECT(ADDRESS(2,COLUMN())),OFFSET($AT$2,0,0,ROW()-1,40),ROW()-1,FALSE))</f>
        <v/>
      </c>
      <c r="AT244" t="str">
        <f>""</f>
        <v/>
      </c>
      <c r="AU244" t="str">
        <f>""</f>
        <v/>
      </c>
      <c r="AV244" t="str">
        <f>""</f>
        <v/>
      </c>
      <c r="AW244" t="str">
        <f>""</f>
        <v/>
      </c>
      <c r="AX244" t="str">
        <f>""</f>
        <v/>
      </c>
      <c r="AY244" t="str">
        <f>""</f>
        <v/>
      </c>
      <c r="AZ244" t="str">
        <f>""</f>
        <v/>
      </c>
      <c r="BA244" t="str">
        <f>""</f>
        <v/>
      </c>
      <c r="BB244" t="str">
        <f>""</f>
        <v/>
      </c>
      <c r="BC244" t="str">
        <f>""</f>
        <v/>
      </c>
      <c r="BD244" t="str">
        <f>""</f>
        <v/>
      </c>
      <c r="BE244" t="str">
        <f>""</f>
        <v/>
      </c>
      <c r="BF244" t="str">
        <f>""</f>
        <v/>
      </c>
      <c r="BG244" t="str">
        <f>""</f>
        <v/>
      </c>
      <c r="BH244" t="str">
        <f>""</f>
        <v/>
      </c>
      <c r="BI244" t="str">
        <f>""</f>
        <v/>
      </c>
      <c r="BJ244" t="str">
        <f>""</f>
        <v/>
      </c>
      <c r="BK244" t="str">
        <f>""</f>
        <v/>
      </c>
      <c r="BL244" t="str">
        <f>""</f>
        <v/>
      </c>
      <c r="BM244" t="str">
        <f>""</f>
        <v/>
      </c>
      <c r="BN244" t="str">
        <f>""</f>
        <v/>
      </c>
      <c r="BO244" t="str">
        <f>""</f>
        <v/>
      </c>
      <c r="BP244" t="str">
        <f>""</f>
        <v/>
      </c>
      <c r="BQ244" t="str">
        <f>""</f>
        <v/>
      </c>
      <c r="BR244" t="str">
        <f>""</f>
        <v/>
      </c>
      <c r="BS244" t="str">
        <f>""</f>
        <v/>
      </c>
      <c r="BT244" t="str">
        <f>""</f>
        <v/>
      </c>
      <c r="BU244" t="str">
        <f>""</f>
        <v/>
      </c>
      <c r="BV244" t="str">
        <f>""</f>
        <v/>
      </c>
      <c r="BW244" t="str">
        <f>""</f>
        <v/>
      </c>
      <c r="BX244" t="str">
        <f>""</f>
        <v/>
      </c>
      <c r="BY244" t="str">
        <f>""</f>
        <v/>
      </c>
      <c r="BZ244" t="str">
        <f>""</f>
        <v/>
      </c>
      <c r="CA244" t="str">
        <f>""</f>
        <v/>
      </c>
      <c r="CB244" t="str">
        <f>""</f>
        <v/>
      </c>
      <c r="CC244" t="str">
        <f>""</f>
        <v/>
      </c>
      <c r="CD244" t="str">
        <f>""</f>
        <v/>
      </c>
      <c r="CE244" t="str">
        <f>""</f>
        <v/>
      </c>
      <c r="CF244" t="str">
        <f>""</f>
        <v/>
      </c>
      <c r="CG244" t="str">
        <f>""</f>
        <v/>
      </c>
    </row>
    <row r="245" spans="1:85" x14ac:dyDescent="0.25">
      <c r="A245" t="str">
        <f>"    Volvo - UD Truck"</f>
        <v xml:space="preserve">    Volvo - UD Truck</v>
      </c>
      <c r="B245" t="str">
        <f>"VOLVB SS Equity"</f>
        <v>VOLVB SS Equity</v>
      </c>
      <c r="C245" t="str">
        <f t="shared" si="19"/>
        <v>X1701</v>
      </c>
      <c r="D245" t="str">
        <f t="shared" si="20"/>
        <v>WARDS_RETAIL_SALES_UNITS</v>
      </c>
      <c r="E245" t="str">
        <f t="shared" si="18"/>
        <v>Dynamic</v>
      </c>
      <c r="F245" t="str">
        <f ca="1">IF(AND(ISNUMBER($F$339),$B$294=1),$F$339,HLOOKUP(INDIRECT(ADDRESS(2,COLUMN())),OFFSET($AT$2,0,0,ROW()-1,40),ROW()-1,FALSE))</f>
        <v/>
      </c>
      <c r="G245" t="str">
        <f ca="1">IF(AND(ISNUMBER($G$339),$B$294=1),$G$339,HLOOKUP(INDIRECT(ADDRESS(2,COLUMN())),OFFSET($AT$2,0,0,ROW()-1,40),ROW()-1,FALSE))</f>
        <v/>
      </c>
      <c r="H245" t="str">
        <f ca="1">IF(AND(ISNUMBER($H$339),$B$294=1),$H$339,HLOOKUP(INDIRECT(ADDRESS(2,COLUMN())),OFFSET($AT$2,0,0,ROW()-1,40),ROW()-1,FALSE))</f>
        <v/>
      </c>
      <c r="I245" t="str">
        <f ca="1">IF(AND(ISNUMBER($I$339),$B$294=1),$I$339,HLOOKUP(INDIRECT(ADDRESS(2,COLUMN())),OFFSET($AT$2,0,0,ROW()-1,40),ROW()-1,FALSE))</f>
        <v/>
      </c>
      <c r="J245" t="str">
        <f ca="1">IF(AND(ISNUMBER($J$339),$B$294=1),$J$339,HLOOKUP(INDIRECT(ADDRESS(2,COLUMN())),OFFSET($AT$2,0,0,ROW()-1,40),ROW()-1,FALSE))</f>
        <v/>
      </c>
      <c r="K245" t="str">
        <f ca="1">IF(AND(ISNUMBER($K$339),$B$294=1),$K$339,HLOOKUP(INDIRECT(ADDRESS(2,COLUMN())),OFFSET($AT$2,0,0,ROW()-1,40),ROW()-1,FALSE))</f>
        <v/>
      </c>
      <c r="L245" t="str">
        <f ca="1">IF(AND(ISNUMBER($L$339),$B$294=1),$L$339,HLOOKUP(INDIRECT(ADDRESS(2,COLUMN())),OFFSET($AT$2,0,0,ROW()-1,40),ROW()-1,FALSE))</f>
        <v/>
      </c>
      <c r="M245" t="str">
        <f ca="1">IF(AND(ISNUMBER($M$339),$B$294=1),$M$339,HLOOKUP(INDIRECT(ADDRESS(2,COLUMN())),OFFSET($AT$2,0,0,ROW()-1,40),ROW()-1,FALSE))</f>
        <v/>
      </c>
      <c r="N245" t="str">
        <f ca="1">IF(AND(ISNUMBER($N$339),$B$294=1),$N$339,HLOOKUP(INDIRECT(ADDRESS(2,COLUMN())),OFFSET($AT$2,0,0,ROW()-1,40),ROW()-1,FALSE))</f>
        <v/>
      </c>
      <c r="O245" t="str">
        <f ca="1">IF(AND(ISNUMBER($O$339),$B$294=1),$O$339,HLOOKUP(INDIRECT(ADDRESS(2,COLUMN())),OFFSET($AT$2,0,0,ROW()-1,40),ROW()-1,FALSE))</f>
        <v/>
      </c>
      <c r="P245" t="str">
        <f ca="1">IF(AND(ISNUMBER($P$339),$B$294=1),$P$339,HLOOKUP(INDIRECT(ADDRESS(2,COLUMN())),OFFSET($AT$2,0,0,ROW()-1,40),ROW()-1,FALSE))</f>
        <v/>
      </c>
      <c r="Q245" t="str">
        <f ca="1">IF(AND(ISNUMBER($Q$339),$B$294=1),$Q$339,HLOOKUP(INDIRECT(ADDRESS(2,COLUMN())),OFFSET($AT$2,0,0,ROW()-1,40),ROW()-1,FALSE))</f>
        <v/>
      </c>
      <c r="R245" t="str">
        <f ca="1">IF(AND(ISNUMBER($R$339),$B$294=1),$R$339,HLOOKUP(INDIRECT(ADDRESS(2,COLUMN())),OFFSET($AT$2,0,0,ROW()-1,40),ROW()-1,FALSE))</f>
        <v/>
      </c>
      <c r="S245" t="str">
        <f ca="1">IF(AND(ISNUMBER($S$339),$B$294=1),$S$339,HLOOKUP(INDIRECT(ADDRESS(2,COLUMN())),OFFSET($AT$2,0,0,ROW()-1,40),ROW()-1,FALSE))</f>
        <v/>
      </c>
      <c r="T245" t="str">
        <f ca="1">IF(AND(ISNUMBER($T$339),$B$294=1),$T$339,HLOOKUP(INDIRECT(ADDRESS(2,COLUMN())),OFFSET($AT$2,0,0,ROW()-1,40),ROW()-1,FALSE))</f>
        <v/>
      </c>
      <c r="U245" t="str">
        <f ca="1">IF(AND(ISNUMBER($U$339),$B$294=1),$U$339,HLOOKUP(INDIRECT(ADDRESS(2,COLUMN())),OFFSET($AT$2,0,0,ROW()-1,40),ROW()-1,FALSE))</f>
        <v/>
      </c>
      <c r="V245" t="str">
        <f ca="1">IF(AND(ISNUMBER($V$339),$B$294=1),$V$339,HLOOKUP(INDIRECT(ADDRESS(2,COLUMN())),OFFSET($AT$2,0,0,ROW()-1,40),ROW()-1,FALSE))</f>
        <v/>
      </c>
      <c r="W245" t="str">
        <f ca="1">IF(AND(ISNUMBER($W$339),$B$294=1),$W$339,HLOOKUP(INDIRECT(ADDRESS(2,COLUMN())),OFFSET($AT$2,0,0,ROW()-1,40),ROW()-1,FALSE))</f>
        <v/>
      </c>
      <c r="X245" t="str">
        <f ca="1">IF(AND(ISNUMBER($X$339),$B$294=1),$X$339,HLOOKUP(INDIRECT(ADDRESS(2,COLUMN())),OFFSET($AT$2,0,0,ROW()-1,40),ROW()-1,FALSE))</f>
        <v/>
      </c>
      <c r="Y245" t="str">
        <f ca="1">IF(AND(ISNUMBER($Y$339),$B$294=1),$Y$339,HLOOKUP(INDIRECT(ADDRESS(2,COLUMN())),OFFSET($AT$2,0,0,ROW()-1,40),ROW()-1,FALSE))</f>
        <v/>
      </c>
      <c r="Z245" t="str">
        <f ca="1">IF(AND(ISNUMBER($Z$339),$B$294=1),$Z$339,HLOOKUP(INDIRECT(ADDRESS(2,COLUMN())),OFFSET($AT$2,0,0,ROW()-1,40),ROW()-1,FALSE))</f>
        <v/>
      </c>
      <c r="AA245" t="str">
        <f ca="1">IF(AND(ISNUMBER($AA$339),$B$294=1),$AA$339,HLOOKUP(INDIRECT(ADDRESS(2,COLUMN())),OFFSET($AT$2,0,0,ROW()-1,40),ROW()-1,FALSE))</f>
        <v/>
      </c>
      <c r="AB245" t="str">
        <f ca="1">IF(AND(ISNUMBER($AB$339),$B$294=1),$AB$339,HLOOKUP(INDIRECT(ADDRESS(2,COLUMN())),OFFSET($AT$2,0,0,ROW()-1,40),ROW()-1,FALSE))</f>
        <v/>
      </c>
      <c r="AC245" t="str">
        <f ca="1">IF(AND(ISNUMBER($AC$339),$B$294=1),$AC$339,HLOOKUP(INDIRECT(ADDRESS(2,COLUMN())),OFFSET($AT$2,0,0,ROW()-1,40),ROW()-1,FALSE))</f>
        <v/>
      </c>
      <c r="AD245" t="str">
        <f ca="1">IF(AND(ISNUMBER($AD$339),$B$294=1),$AD$339,HLOOKUP(INDIRECT(ADDRESS(2,COLUMN())),OFFSET($AT$2,0,0,ROW()-1,40),ROW()-1,FALSE))</f>
        <v/>
      </c>
      <c r="AE245" t="str">
        <f ca="1">IF(AND(ISNUMBER($AE$339),$B$294=1),$AE$339,HLOOKUP(INDIRECT(ADDRESS(2,COLUMN())),OFFSET($AT$2,0,0,ROW()-1,40),ROW()-1,FALSE))</f>
        <v/>
      </c>
      <c r="AF245" t="str">
        <f ca="1">IF(AND(ISNUMBER($AF$339),$B$294=1),$AF$339,HLOOKUP(INDIRECT(ADDRESS(2,COLUMN())),OFFSET($AT$2,0,0,ROW()-1,40),ROW()-1,FALSE))</f>
        <v/>
      </c>
      <c r="AG245" t="str">
        <f ca="1">IF(AND(ISNUMBER($AG$339),$B$294=1),$AG$339,HLOOKUP(INDIRECT(ADDRESS(2,COLUMN())),OFFSET($AT$2,0,0,ROW()-1,40),ROW()-1,FALSE))</f>
        <v/>
      </c>
      <c r="AH245" t="str">
        <f ca="1">IF(AND(ISNUMBER($AH$339),$B$294=1),$AH$339,HLOOKUP(INDIRECT(ADDRESS(2,COLUMN())),OFFSET($AT$2,0,0,ROW()-1,40),ROW()-1,FALSE))</f>
        <v/>
      </c>
      <c r="AI245" t="str">
        <f ca="1">IF(AND(ISNUMBER($AI$339),$B$294=1),$AI$339,HLOOKUP(INDIRECT(ADDRESS(2,COLUMN())),OFFSET($AT$2,0,0,ROW()-1,40),ROW()-1,FALSE))</f>
        <v/>
      </c>
      <c r="AJ245" t="str">
        <f ca="1">IF(AND(ISNUMBER($AJ$339),$B$294=1),$AJ$339,HLOOKUP(INDIRECT(ADDRESS(2,COLUMN())),OFFSET($AT$2,0,0,ROW()-1,40),ROW()-1,FALSE))</f>
        <v/>
      </c>
      <c r="AK245" t="str">
        <f ca="1">IF(AND(ISNUMBER($AK$339),$B$294=1),$AK$339,HLOOKUP(INDIRECT(ADDRESS(2,COLUMN())),OFFSET($AT$2,0,0,ROW()-1,40),ROW()-1,FALSE))</f>
        <v/>
      </c>
      <c r="AL245" t="str">
        <f ca="1">IF(AND(ISNUMBER($AL$339),$B$294=1),$AL$339,HLOOKUP(INDIRECT(ADDRESS(2,COLUMN())),OFFSET($AT$2,0,0,ROW()-1,40),ROW()-1,FALSE))</f>
        <v/>
      </c>
      <c r="AM245" t="str">
        <f ca="1">IF(AND(ISNUMBER($AM$339),$B$294=1),$AM$339,HLOOKUP(INDIRECT(ADDRESS(2,COLUMN())),OFFSET($AT$2,0,0,ROW()-1,40),ROW()-1,FALSE))</f>
        <v/>
      </c>
      <c r="AN245" t="str">
        <f ca="1">IF(AND(ISNUMBER($AN$339),$B$294=1),$AN$339,HLOOKUP(INDIRECT(ADDRESS(2,COLUMN())),OFFSET($AT$2,0,0,ROW()-1,40),ROW()-1,FALSE))</f>
        <v/>
      </c>
      <c r="AO245" t="str">
        <f ca="1">IF(AND(ISNUMBER($AO$339),$B$294=1),$AO$339,HLOOKUP(INDIRECT(ADDRESS(2,COLUMN())),OFFSET($AT$2,0,0,ROW()-1,40),ROW()-1,FALSE))</f>
        <v/>
      </c>
      <c r="AP245" t="str">
        <f ca="1">IF(AND(ISNUMBER($AP$339),$B$294=1),$AP$339,HLOOKUP(INDIRECT(ADDRESS(2,COLUMN())),OFFSET($AT$2,0,0,ROW()-1,40),ROW()-1,FALSE))</f>
        <v/>
      </c>
      <c r="AQ245" t="str">
        <f ca="1">IF(AND(ISNUMBER($AQ$339),$B$294=1),$AQ$339,HLOOKUP(INDIRECT(ADDRESS(2,COLUMN())),OFFSET($AT$2,0,0,ROW()-1,40),ROW()-1,FALSE))</f>
        <v/>
      </c>
      <c r="AR245" t="str">
        <f ca="1">IF(AND(ISNUMBER($AR$339),$B$294=1),$AR$339,HLOOKUP(INDIRECT(ADDRESS(2,COLUMN())),OFFSET($AT$2,0,0,ROW()-1,40),ROW()-1,FALSE))</f>
        <v/>
      </c>
      <c r="AS245" t="str">
        <f ca="1">IF(AND(ISNUMBER($AS$339),$B$294=1),$AS$339,HLOOKUP(INDIRECT(ADDRESS(2,COLUMN())),OFFSET($AT$2,0,0,ROW()-1,40),ROW()-1,FALSE))</f>
        <v/>
      </c>
      <c r="AT245" t="str">
        <f>""</f>
        <v/>
      </c>
      <c r="AU245" t="str">
        <f>""</f>
        <v/>
      </c>
      <c r="AV245" t="str">
        <f>""</f>
        <v/>
      </c>
      <c r="AW245" t="str">
        <f>""</f>
        <v/>
      </c>
      <c r="AX245" t="str">
        <f>""</f>
        <v/>
      </c>
      <c r="AY245" t="str">
        <f>""</f>
        <v/>
      </c>
      <c r="AZ245" t="str">
        <f>""</f>
        <v/>
      </c>
      <c r="BA245" t="str">
        <f>""</f>
        <v/>
      </c>
      <c r="BB245" t="str">
        <f>""</f>
        <v/>
      </c>
      <c r="BC245" t="str">
        <f>""</f>
        <v/>
      </c>
      <c r="BD245" t="str">
        <f>""</f>
        <v/>
      </c>
      <c r="BE245" t="str">
        <f>""</f>
        <v/>
      </c>
      <c r="BF245" t="str">
        <f>""</f>
        <v/>
      </c>
      <c r="BG245" t="str">
        <f>""</f>
        <v/>
      </c>
      <c r="BH245" t="str">
        <f>""</f>
        <v/>
      </c>
      <c r="BI245" t="str">
        <f>""</f>
        <v/>
      </c>
      <c r="BJ245" t="str">
        <f>""</f>
        <v/>
      </c>
      <c r="BK245" t="str">
        <f>""</f>
        <v/>
      </c>
      <c r="BL245" t="str">
        <f>""</f>
        <v/>
      </c>
      <c r="BM245" t="str">
        <f>""</f>
        <v/>
      </c>
      <c r="BN245" t="str">
        <f>""</f>
        <v/>
      </c>
      <c r="BO245" t="str">
        <f>""</f>
        <v/>
      </c>
      <c r="BP245" t="str">
        <f>""</f>
        <v/>
      </c>
      <c r="BQ245" t="str">
        <f>""</f>
        <v/>
      </c>
      <c r="BR245" t="str">
        <f>""</f>
        <v/>
      </c>
      <c r="BS245" t="str">
        <f>""</f>
        <v/>
      </c>
      <c r="BT245" t="str">
        <f>""</f>
        <v/>
      </c>
      <c r="BU245" t="str">
        <f>""</f>
        <v/>
      </c>
      <c r="BV245" t="str">
        <f>""</f>
        <v/>
      </c>
      <c r="BW245" t="str">
        <f>""</f>
        <v/>
      </c>
      <c r="BX245" t="str">
        <f>""</f>
        <v/>
      </c>
      <c r="BY245" t="str">
        <f>""</f>
        <v/>
      </c>
      <c r="BZ245" t="str">
        <f>""</f>
        <v/>
      </c>
      <c r="CA245" t="str">
        <f>""</f>
        <v/>
      </c>
      <c r="CB245" t="str">
        <f>""</f>
        <v/>
      </c>
      <c r="CC245" t="str">
        <f>""</f>
        <v/>
      </c>
      <c r="CD245" t="str">
        <f>""</f>
        <v/>
      </c>
      <c r="CE245" t="str">
        <f>""</f>
        <v/>
      </c>
      <c r="CF245" t="str">
        <f>""</f>
        <v/>
      </c>
      <c r="CG245" t="str">
        <f>""</f>
        <v/>
      </c>
    </row>
    <row r="246" spans="1:85" x14ac:dyDescent="0.25">
      <c r="A246" t="str">
        <f>"    General Motors - GMC"</f>
        <v xml:space="preserve">    General Motors - GMC</v>
      </c>
      <c r="B246" t="str">
        <f>"MTLQQ US Equity"</f>
        <v>MTLQQ US Equity</v>
      </c>
      <c r="C246" t="str">
        <f t="shared" si="19"/>
        <v>X1701</v>
      </c>
      <c r="D246" t="str">
        <f t="shared" si="20"/>
        <v>WARDS_RETAIL_SALES_UNITS</v>
      </c>
      <c r="E246" t="str">
        <f t="shared" si="18"/>
        <v>Dynamic</v>
      </c>
      <c r="F246" t="str">
        <f ca="1">IF(AND(ISNUMBER($F$340),$B$294=1),$F$340,HLOOKUP(INDIRECT(ADDRESS(2,COLUMN())),OFFSET($AT$2,0,0,ROW()-1,40),ROW()-1,FALSE))</f>
        <v/>
      </c>
      <c r="G246" t="str">
        <f ca="1">IF(AND(ISNUMBER($G$340),$B$294=1),$G$340,HLOOKUP(INDIRECT(ADDRESS(2,COLUMN())),OFFSET($AT$2,0,0,ROW()-1,40),ROW()-1,FALSE))</f>
        <v/>
      </c>
      <c r="H246" t="str">
        <f ca="1">IF(AND(ISNUMBER($H$340),$B$294=1),$H$340,HLOOKUP(INDIRECT(ADDRESS(2,COLUMN())),OFFSET($AT$2,0,0,ROW()-1,40),ROW()-1,FALSE))</f>
        <v/>
      </c>
      <c r="I246" t="str">
        <f ca="1">IF(AND(ISNUMBER($I$340),$B$294=1),$I$340,HLOOKUP(INDIRECT(ADDRESS(2,COLUMN())),OFFSET($AT$2,0,0,ROW()-1,40),ROW()-1,FALSE))</f>
        <v/>
      </c>
      <c r="J246" t="str">
        <f ca="1">IF(AND(ISNUMBER($J$340),$B$294=1),$J$340,HLOOKUP(INDIRECT(ADDRESS(2,COLUMN())),OFFSET($AT$2,0,0,ROW()-1,40),ROW()-1,FALSE))</f>
        <v/>
      </c>
      <c r="K246" t="str">
        <f ca="1">IF(AND(ISNUMBER($K$340),$B$294=1),$K$340,HLOOKUP(INDIRECT(ADDRESS(2,COLUMN())),OFFSET($AT$2,0,0,ROW()-1,40),ROW()-1,FALSE))</f>
        <v/>
      </c>
      <c r="L246" t="str">
        <f ca="1">IF(AND(ISNUMBER($L$340),$B$294=1),$L$340,HLOOKUP(INDIRECT(ADDRESS(2,COLUMN())),OFFSET($AT$2,0,0,ROW()-1,40),ROW()-1,FALSE))</f>
        <v/>
      </c>
      <c r="M246" t="str">
        <f ca="1">IF(AND(ISNUMBER($M$340),$B$294=1),$M$340,HLOOKUP(INDIRECT(ADDRESS(2,COLUMN())),OFFSET($AT$2,0,0,ROW()-1,40),ROW()-1,FALSE))</f>
        <v/>
      </c>
      <c r="N246" t="str">
        <f ca="1">IF(AND(ISNUMBER($N$340),$B$294=1),$N$340,HLOOKUP(INDIRECT(ADDRESS(2,COLUMN())),OFFSET($AT$2,0,0,ROW()-1,40),ROW()-1,FALSE))</f>
        <v/>
      </c>
      <c r="O246" t="str">
        <f ca="1">IF(AND(ISNUMBER($O$340),$B$294=1),$O$340,HLOOKUP(INDIRECT(ADDRESS(2,COLUMN())),OFFSET($AT$2,0,0,ROW()-1,40),ROW()-1,FALSE))</f>
        <v/>
      </c>
      <c r="P246" t="str">
        <f ca="1">IF(AND(ISNUMBER($P$340),$B$294=1),$P$340,HLOOKUP(INDIRECT(ADDRESS(2,COLUMN())),OFFSET($AT$2,0,0,ROW()-1,40),ROW()-1,FALSE))</f>
        <v/>
      </c>
      <c r="Q246" t="str">
        <f ca="1">IF(AND(ISNUMBER($Q$340),$B$294=1),$Q$340,HLOOKUP(INDIRECT(ADDRESS(2,COLUMN())),OFFSET($AT$2,0,0,ROW()-1,40),ROW()-1,FALSE))</f>
        <v/>
      </c>
      <c r="R246" t="str">
        <f ca="1">IF(AND(ISNUMBER($R$340),$B$294=1),$R$340,HLOOKUP(INDIRECT(ADDRESS(2,COLUMN())),OFFSET($AT$2,0,0,ROW()-1,40),ROW()-1,FALSE))</f>
        <v/>
      </c>
      <c r="S246" t="str">
        <f ca="1">IF(AND(ISNUMBER($S$340),$B$294=1),$S$340,HLOOKUP(INDIRECT(ADDRESS(2,COLUMN())),OFFSET($AT$2,0,0,ROW()-1,40),ROW()-1,FALSE))</f>
        <v/>
      </c>
      <c r="T246" t="str">
        <f ca="1">IF(AND(ISNUMBER($T$340),$B$294=1),$T$340,HLOOKUP(INDIRECT(ADDRESS(2,COLUMN())),OFFSET($AT$2,0,0,ROW()-1,40),ROW()-1,FALSE))</f>
        <v/>
      </c>
      <c r="U246" t="str">
        <f ca="1">IF(AND(ISNUMBER($U$340),$B$294=1),$U$340,HLOOKUP(INDIRECT(ADDRESS(2,COLUMN())),OFFSET($AT$2,0,0,ROW()-1,40),ROW()-1,FALSE))</f>
        <v/>
      </c>
      <c r="V246" t="str">
        <f ca="1">IF(AND(ISNUMBER($V$340),$B$294=1),$V$340,HLOOKUP(INDIRECT(ADDRESS(2,COLUMN())),OFFSET($AT$2,0,0,ROW()-1,40),ROW()-1,FALSE))</f>
        <v/>
      </c>
      <c r="W246" t="str">
        <f ca="1">IF(AND(ISNUMBER($W$340),$B$294=1),$W$340,HLOOKUP(INDIRECT(ADDRESS(2,COLUMN())),OFFSET($AT$2,0,0,ROW()-1,40),ROW()-1,FALSE))</f>
        <v/>
      </c>
      <c r="X246" t="str">
        <f ca="1">IF(AND(ISNUMBER($X$340),$B$294=1),$X$340,HLOOKUP(INDIRECT(ADDRESS(2,COLUMN())),OFFSET($AT$2,0,0,ROW()-1,40),ROW()-1,FALSE))</f>
        <v/>
      </c>
      <c r="Y246" t="str">
        <f ca="1">IF(AND(ISNUMBER($Y$340),$B$294=1),$Y$340,HLOOKUP(INDIRECT(ADDRESS(2,COLUMN())),OFFSET($AT$2,0,0,ROW()-1,40),ROW()-1,FALSE))</f>
        <v/>
      </c>
      <c r="Z246" t="str">
        <f ca="1">IF(AND(ISNUMBER($Z$340),$B$294=1),$Z$340,HLOOKUP(INDIRECT(ADDRESS(2,COLUMN())),OFFSET($AT$2,0,0,ROW()-1,40),ROW()-1,FALSE))</f>
        <v/>
      </c>
      <c r="AA246" t="str">
        <f ca="1">IF(AND(ISNUMBER($AA$340),$B$294=1),$AA$340,HLOOKUP(INDIRECT(ADDRESS(2,COLUMN())),OFFSET($AT$2,0,0,ROW()-1,40),ROW()-1,FALSE))</f>
        <v/>
      </c>
      <c r="AB246" t="str">
        <f ca="1">IF(AND(ISNUMBER($AB$340),$B$294=1),$AB$340,HLOOKUP(INDIRECT(ADDRESS(2,COLUMN())),OFFSET($AT$2,0,0,ROW()-1,40),ROW()-1,FALSE))</f>
        <v/>
      </c>
      <c r="AC246" t="str">
        <f ca="1">IF(AND(ISNUMBER($AC$340),$B$294=1),$AC$340,HLOOKUP(INDIRECT(ADDRESS(2,COLUMN())),OFFSET($AT$2,0,0,ROW()-1,40),ROW()-1,FALSE))</f>
        <v/>
      </c>
      <c r="AD246" t="str">
        <f ca="1">IF(AND(ISNUMBER($AD$340),$B$294=1),$AD$340,HLOOKUP(INDIRECT(ADDRESS(2,COLUMN())),OFFSET($AT$2,0,0,ROW()-1,40),ROW()-1,FALSE))</f>
        <v/>
      </c>
      <c r="AE246" t="str">
        <f ca="1">IF(AND(ISNUMBER($AE$340),$B$294=1),$AE$340,HLOOKUP(INDIRECT(ADDRESS(2,COLUMN())),OFFSET($AT$2,0,0,ROW()-1,40),ROW()-1,FALSE))</f>
        <v/>
      </c>
      <c r="AF246" t="str">
        <f ca="1">IF(AND(ISNUMBER($AF$340),$B$294=1),$AF$340,HLOOKUP(INDIRECT(ADDRESS(2,COLUMN())),OFFSET($AT$2,0,0,ROW()-1,40),ROW()-1,FALSE))</f>
        <v/>
      </c>
      <c r="AG246" t="str">
        <f ca="1">IF(AND(ISNUMBER($AG$340),$B$294=1),$AG$340,HLOOKUP(INDIRECT(ADDRESS(2,COLUMN())),OFFSET($AT$2,0,0,ROW()-1,40),ROW()-1,FALSE))</f>
        <v/>
      </c>
      <c r="AH246" t="str">
        <f ca="1">IF(AND(ISNUMBER($AH$340),$B$294=1),$AH$340,HLOOKUP(INDIRECT(ADDRESS(2,COLUMN())),OFFSET($AT$2,0,0,ROW()-1,40),ROW()-1,FALSE))</f>
        <v/>
      </c>
      <c r="AI246" t="str">
        <f ca="1">IF(AND(ISNUMBER($AI$340),$B$294=1),$AI$340,HLOOKUP(INDIRECT(ADDRESS(2,COLUMN())),OFFSET($AT$2,0,0,ROW()-1,40),ROW()-1,FALSE))</f>
        <v/>
      </c>
      <c r="AJ246" t="str">
        <f ca="1">IF(AND(ISNUMBER($AJ$340),$B$294=1),$AJ$340,HLOOKUP(INDIRECT(ADDRESS(2,COLUMN())),OFFSET($AT$2,0,0,ROW()-1,40),ROW()-1,FALSE))</f>
        <v/>
      </c>
      <c r="AK246" t="str">
        <f ca="1">IF(AND(ISNUMBER($AK$340),$B$294=1),$AK$340,HLOOKUP(INDIRECT(ADDRESS(2,COLUMN())),OFFSET($AT$2,0,0,ROW()-1,40),ROW()-1,FALSE))</f>
        <v/>
      </c>
      <c r="AL246" t="str">
        <f ca="1">IF(AND(ISNUMBER($AL$340),$B$294=1),$AL$340,HLOOKUP(INDIRECT(ADDRESS(2,COLUMN())),OFFSET($AT$2,0,0,ROW()-1,40),ROW()-1,FALSE))</f>
        <v/>
      </c>
      <c r="AM246" t="str">
        <f ca="1">IF(AND(ISNUMBER($AM$340),$B$294=1),$AM$340,HLOOKUP(INDIRECT(ADDRESS(2,COLUMN())),OFFSET($AT$2,0,0,ROW()-1,40),ROW()-1,FALSE))</f>
        <v/>
      </c>
      <c r="AN246" t="str">
        <f ca="1">IF(AND(ISNUMBER($AN$340),$B$294=1),$AN$340,HLOOKUP(INDIRECT(ADDRESS(2,COLUMN())),OFFSET($AT$2,0,0,ROW()-1,40),ROW()-1,FALSE))</f>
        <v/>
      </c>
      <c r="AO246" t="str">
        <f ca="1">IF(AND(ISNUMBER($AO$340),$B$294=1),$AO$340,HLOOKUP(INDIRECT(ADDRESS(2,COLUMN())),OFFSET($AT$2,0,0,ROW()-1,40),ROW()-1,FALSE))</f>
        <v/>
      </c>
      <c r="AP246" t="str">
        <f ca="1">IF(AND(ISNUMBER($AP$340),$B$294=1),$AP$340,HLOOKUP(INDIRECT(ADDRESS(2,COLUMN())),OFFSET($AT$2,0,0,ROW()-1,40),ROW()-1,FALSE))</f>
        <v/>
      </c>
      <c r="AQ246" t="str">
        <f ca="1">IF(AND(ISNUMBER($AQ$340),$B$294=1),$AQ$340,HLOOKUP(INDIRECT(ADDRESS(2,COLUMN())),OFFSET($AT$2,0,0,ROW()-1,40),ROW()-1,FALSE))</f>
        <v/>
      </c>
      <c r="AR246" t="str">
        <f ca="1">IF(AND(ISNUMBER($AR$340),$B$294=1),$AR$340,HLOOKUP(INDIRECT(ADDRESS(2,COLUMN())),OFFSET($AT$2,0,0,ROW()-1,40),ROW()-1,FALSE))</f>
        <v/>
      </c>
      <c r="AS246" t="str">
        <f ca="1">IF(AND(ISNUMBER($AS$340),$B$294=1),$AS$340,HLOOKUP(INDIRECT(ADDRESS(2,COLUMN())),OFFSET($AT$2,0,0,ROW()-1,40),ROW()-1,FALSE))</f>
        <v/>
      </c>
      <c r="AT246" t="str">
        <f>""</f>
        <v/>
      </c>
      <c r="AU246" t="str">
        <f>""</f>
        <v/>
      </c>
      <c r="AV246" t="str">
        <f>""</f>
        <v/>
      </c>
      <c r="AW246" t="str">
        <f>""</f>
        <v/>
      </c>
      <c r="AX246" t="str">
        <f>""</f>
        <v/>
      </c>
      <c r="AY246" t="str">
        <f>""</f>
        <v/>
      </c>
      <c r="AZ246" t="str">
        <f>""</f>
        <v/>
      </c>
      <c r="BA246" t="str">
        <f>""</f>
        <v/>
      </c>
      <c r="BB246" t="str">
        <f>""</f>
        <v/>
      </c>
      <c r="BC246" t="str">
        <f>""</f>
        <v/>
      </c>
      <c r="BD246" t="str">
        <f>""</f>
        <v/>
      </c>
      <c r="BE246" t="str">
        <f>""</f>
        <v/>
      </c>
      <c r="BF246" t="str">
        <f>""</f>
        <v/>
      </c>
      <c r="BG246" t="str">
        <f>""</f>
        <v/>
      </c>
      <c r="BH246" t="str">
        <f>""</f>
        <v/>
      </c>
      <c r="BI246" t="str">
        <f>""</f>
        <v/>
      </c>
      <c r="BJ246" t="str">
        <f>""</f>
        <v/>
      </c>
      <c r="BK246" t="str">
        <f>""</f>
        <v/>
      </c>
      <c r="BL246" t="str">
        <f>""</f>
        <v/>
      </c>
      <c r="BM246" t="str">
        <f>""</f>
        <v/>
      </c>
      <c r="BN246" t="str">
        <f>""</f>
        <v/>
      </c>
      <c r="BO246" t="str">
        <f>""</f>
        <v/>
      </c>
      <c r="BP246" t="str">
        <f>""</f>
        <v/>
      </c>
      <c r="BQ246" t="str">
        <f>""</f>
        <v/>
      </c>
      <c r="BR246" t="str">
        <f>""</f>
        <v/>
      </c>
      <c r="BS246" t="str">
        <f>""</f>
        <v/>
      </c>
      <c r="BT246" t="str">
        <f>""</f>
        <v/>
      </c>
      <c r="BU246" t="str">
        <f>""</f>
        <v/>
      </c>
      <c r="BV246" t="str">
        <f>""</f>
        <v/>
      </c>
      <c r="BW246" t="str">
        <f>""</f>
        <v/>
      </c>
      <c r="BX246" t="str">
        <f>""</f>
        <v/>
      </c>
      <c r="BY246" t="str">
        <f>""</f>
        <v/>
      </c>
      <c r="BZ246" t="str">
        <f>""</f>
        <v/>
      </c>
      <c r="CA246" t="str">
        <f>""</f>
        <v/>
      </c>
      <c r="CB246" t="str">
        <f>""</f>
        <v/>
      </c>
      <c r="CC246" t="str">
        <f>""</f>
        <v/>
      </c>
      <c r="CD246" t="str">
        <f>""</f>
        <v/>
      </c>
      <c r="CE246" t="str">
        <f>""</f>
        <v/>
      </c>
      <c r="CF246" t="str">
        <f>""</f>
        <v/>
      </c>
      <c r="CG246" t="str">
        <f>""</f>
        <v/>
      </c>
    </row>
    <row r="247" spans="1:85" x14ac:dyDescent="0.25">
      <c r="A247" t="str">
        <f>"    General Motors - Chevrolet"</f>
        <v xml:space="preserve">    General Motors - Chevrolet</v>
      </c>
      <c r="B247" t="str">
        <f>"MTLQQ US Equity"</f>
        <v>MTLQQ US Equity</v>
      </c>
      <c r="C247" t="str">
        <f t="shared" si="19"/>
        <v>X1701</v>
      </c>
      <c r="D247" t="str">
        <f t="shared" si="20"/>
        <v>WARDS_RETAIL_SALES_UNITS</v>
      </c>
      <c r="E247" t="str">
        <f t="shared" si="18"/>
        <v>Dynamic</v>
      </c>
      <c r="F247" t="str">
        <f ca="1">IF(AND(ISNUMBER($F$341),$B$294=1),$F$341,HLOOKUP(INDIRECT(ADDRESS(2,COLUMN())),OFFSET($AT$2,0,0,ROW()-1,40),ROW()-1,FALSE))</f>
        <v/>
      </c>
      <c r="G247" t="str">
        <f ca="1">IF(AND(ISNUMBER($G$341),$B$294=1),$G$341,HLOOKUP(INDIRECT(ADDRESS(2,COLUMN())),OFFSET($AT$2,0,0,ROW()-1,40),ROW()-1,FALSE))</f>
        <v/>
      </c>
      <c r="H247" t="str">
        <f ca="1">IF(AND(ISNUMBER($H$341),$B$294=1),$H$341,HLOOKUP(INDIRECT(ADDRESS(2,COLUMN())),OFFSET($AT$2,0,0,ROW()-1,40),ROW()-1,FALSE))</f>
        <v/>
      </c>
      <c r="I247" t="str">
        <f ca="1">IF(AND(ISNUMBER($I$341),$B$294=1),$I$341,HLOOKUP(INDIRECT(ADDRESS(2,COLUMN())),OFFSET($AT$2,0,0,ROW()-1,40),ROW()-1,FALSE))</f>
        <v/>
      </c>
      <c r="J247" t="str">
        <f ca="1">IF(AND(ISNUMBER($J$341),$B$294=1),$J$341,HLOOKUP(INDIRECT(ADDRESS(2,COLUMN())),OFFSET($AT$2,0,0,ROW()-1,40),ROW()-1,FALSE))</f>
        <v/>
      </c>
      <c r="K247" t="str">
        <f ca="1">IF(AND(ISNUMBER($K$341),$B$294=1),$K$341,HLOOKUP(INDIRECT(ADDRESS(2,COLUMN())),OFFSET($AT$2,0,0,ROW()-1,40),ROW()-1,FALSE))</f>
        <v/>
      </c>
      <c r="L247" t="str">
        <f ca="1">IF(AND(ISNUMBER($L$341),$B$294=1),$L$341,HLOOKUP(INDIRECT(ADDRESS(2,COLUMN())),OFFSET($AT$2,0,0,ROW()-1,40),ROW()-1,FALSE))</f>
        <v/>
      </c>
      <c r="M247" t="str">
        <f ca="1">IF(AND(ISNUMBER($M$341),$B$294=1),$M$341,HLOOKUP(INDIRECT(ADDRESS(2,COLUMN())),OFFSET($AT$2,0,0,ROW()-1,40),ROW()-1,FALSE))</f>
        <v/>
      </c>
      <c r="N247" t="str">
        <f ca="1">IF(AND(ISNUMBER($N$341),$B$294=1),$N$341,HLOOKUP(INDIRECT(ADDRESS(2,COLUMN())),OFFSET($AT$2,0,0,ROW()-1,40),ROW()-1,FALSE))</f>
        <v/>
      </c>
      <c r="O247" t="str">
        <f ca="1">IF(AND(ISNUMBER($O$341),$B$294=1),$O$341,HLOOKUP(INDIRECT(ADDRESS(2,COLUMN())),OFFSET($AT$2,0,0,ROW()-1,40),ROW()-1,FALSE))</f>
        <v/>
      </c>
      <c r="P247" t="str">
        <f ca="1">IF(AND(ISNUMBER($P$341),$B$294=1),$P$341,HLOOKUP(INDIRECT(ADDRESS(2,COLUMN())),OFFSET($AT$2,0,0,ROW()-1,40),ROW()-1,FALSE))</f>
        <v/>
      </c>
      <c r="Q247" t="str">
        <f ca="1">IF(AND(ISNUMBER($Q$341),$B$294=1),$Q$341,HLOOKUP(INDIRECT(ADDRESS(2,COLUMN())),OFFSET($AT$2,0,0,ROW()-1,40),ROW()-1,FALSE))</f>
        <v/>
      </c>
      <c r="R247" t="str">
        <f ca="1">IF(AND(ISNUMBER($R$341),$B$294=1),$R$341,HLOOKUP(INDIRECT(ADDRESS(2,COLUMN())),OFFSET($AT$2,0,0,ROW()-1,40),ROW()-1,FALSE))</f>
        <v/>
      </c>
      <c r="S247" t="str">
        <f ca="1">IF(AND(ISNUMBER($S$341),$B$294=1),$S$341,HLOOKUP(INDIRECT(ADDRESS(2,COLUMN())),OFFSET($AT$2,0,0,ROW()-1,40),ROW()-1,FALSE))</f>
        <v/>
      </c>
      <c r="T247" t="str">
        <f ca="1">IF(AND(ISNUMBER($T$341),$B$294=1),$T$341,HLOOKUP(INDIRECT(ADDRESS(2,COLUMN())),OFFSET($AT$2,0,0,ROW()-1,40),ROW()-1,FALSE))</f>
        <v/>
      </c>
      <c r="U247" t="str">
        <f ca="1">IF(AND(ISNUMBER($U$341),$B$294=1),$U$341,HLOOKUP(INDIRECT(ADDRESS(2,COLUMN())),OFFSET($AT$2,0,0,ROW()-1,40),ROW()-1,FALSE))</f>
        <v/>
      </c>
      <c r="V247" t="str">
        <f ca="1">IF(AND(ISNUMBER($V$341),$B$294=1),$V$341,HLOOKUP(INDIRECT(ADDRESS(2,COLUMN())),OFFSET($AT$2,0,0,ROW()-1,40),ROW()-1,FALSE))</f>
        <v/>
      </c>
      <c r="W247" t="str">
        <f ca="1">IF(AND(ISNUMBER($W$341),$B$294=1),$W$341,HLOOKUP(INDIRECT(ADDRESS(2,COLUMN())),OFFSET($AT$2,0,0,ROW()-1,40),ROW()-1,FALSE))</f>
        <v/>
      </c>
      <c r="X247" t="str">
        <f ca="1">IF(AND(ISNUMBER($X$341),$B$294=1),$X$341,HLOOKUP(INDIRECT(ADDRESS(2,COLUMN())),OFFSET($AT$2,0,0,ROW()-1,40),ROW()-1,FALSE))</f>
        <v/>
      </c>
      <c r="Y247" t="str">
        <f ca="1">IF(AND(ISNUMBER($Y$341),$B$294=1),$Y$341,HLOOKUP(INDIRECT(ADDRESS(2,COLUMN())),OFFSET($AT$2,0,0,ROW()-1,40),ROW()-1,FALSE))</f>
        <v/>
      </c>
      <c r="Z247" t="str">
        <f ca="1">IF(AND(ISNUMBER($Z$341),$B$294=1),$Z$341,HLOOKUP(INDIRECT(ADDRESS(2,COLUMN())),OFFSET($AT$2,0,0,ROW()-1,40),ROW()-1,FALSE))</f>
        <v/>
      </c>
      <c r="AA247" t="str">
        <f ca="1">IF(AND(ISNUMBER($AA$341),$B$294=1),$AA$341,HLOOKUP(INDIRECT(ADDRESS(2,COLUMN())),OFFSET($AT$2,0,0,ROW()-1,40),ROW()-1,FALSE))</f>
        <v/>
      </c>
      <c r="AB247" t="str">
        <f ca="1">IF(AND(ISNUMBER($AB$341),$B$294=1),$AB$341,HLOOKUP(INDIRECT(ADDRESS(2,COLUMN())),OFFSET($AT$2,0,0,ROW()-1,40),ROW()-1,FALSE))</f>
        <v/>
      </c>
      <c r="AC247" t="str">
        <f ca="1">IF(AND(ISNUMBER($AC$341),$B$294=1),$AC$341,HLOOKUP(INDIRECT(ADDRESS(2,COLUMN())),OFFSET($AT$2,0,0,ROW()-1,40),ROW()-1,FALSE))</f>
        <v/>
      </c>
      <c r="AD247" t="str">
        <f ca="1">IF(AND(ISNUMBER($AD$341),$B$294=1),$AD$341,HLOOKUP(INDIRECT(ADDRESS(2,COLUMN())),OFFSET($AT$2,0,0,ROW()-1,40),ROW()-1,FALSE))</f>
        <v/>
      </c>
      <c r="AE247" t="str">
        <f ca="1">IF(AND(ISNUMBER($AE$341),$B$294=1),$AE$341,HLOOKUP(INDIRECT(ADDRESS(2,COLUMN())),OFFSET($AT$2,0,0,ROW()-1,40),ROW()-1,FALSE))</f>
        <v/>
      </c>
      <c r="AF247" t="str">
        <f ca="1">IF(AND(ISNUMBER($AF$341),$B$294=1),$AF$341,HLOOKUP(INDIRECT(ADDRESS(2,COLUMN())),OFFSET($AT$2,0,0,ROW()-1,40),ROW()-1,FALSE))</f>
        <v/>
      </c>
      <c r="AG247" t="str">
        <f ca="1">IF(AND(ISNUMBER($AG$341),$B$294=1),$AG$341,HLOOKUP(INDIRECT(ADDRESS(2,COLUMN())),OFFSET($AT$2,0,0,ROW()-1,40),ROW()-1,FALSE))</f>
        <v/>
      </c>
      <c r="AH247" t="str">
        <f ca="1">IF(AND(ISNUMBER($AH$341),$B$294=1),$AH$341,HLOOKUP(INDIRECT(ADDRESS(2,COLUMN())),OFFSET($AT$2,0,0,ROW()-1,40),ROW()-1,FALSE))</f>
        <v/>
      </c>
      <c r="AI247" t="str">
        <f ca="1">IF(AND(ISNUMBER($AI$341),$B$294=1),$AI$341,HLOOKUP(INDIRECT(ADDRESS(2,COLUMN())),OFFSET($AT$2,0,0,ROW()-1,40),ROW()-1,FALSE))</f>
        <v/>
      </c>
      <c r="AJ247" t="str">
        <f ca="1">IF(AND(ISNUMBER($AJ$341),$B$294=1),$AJ$341,HLOOKUP(INDIRECT(ADDRESS(2,COLUMN())),OFFSET($AT$2,0,0,ROW()-1,40),ROW()-1,FALSE))</f>
        <v/>
      </c>
      <c r="AK247" t="str">
        <f ca="1">IF(AND(ISNUMBER($AK$341),$B$294=1),$AK$341,HLOOKUP(INDIRECT(ADDRESS(2,COLUMN())),OFFSET($AT$2,0,0,ROW()-1,40),ROW()-1,FALSE))</f>
        <v/>
      </c>
      <c r="AL247" t="str">
        <f ca="1">IF(AND(ISNUMBER($AL$341),$B$294=1),$AL$341,HLOOKUP(INDIRECT(ADDRESS(2,COLUMN())),OFFSET($AT$2,0,0,ROW()-1,40),ROW()-1,FALSE))</f>
        <v/>
      </c>
      <c r="AM247" t="str">
        <f ca="1">IF(AND(ISNUMBER($AM$341),$B$294=1),$AM$341,HLOOKUP(INDIRECT(ADDRESS(2,COLUMN())),OFFSET($AT$2,0,0,ROW()-1,40),ROW()-1,FALSE))</f>
        <v/>
      </c>
      <c r="AN247" t="str">
        <f ca="1">IF(AND(ISNUMBER($AN$341),$B$294=1),$AN$341,HLOOKUP(INDIRECT(ADDRESS(2,COLUMN())),OFFSET($AT$2,0,0,ROW()-1,40),ROW()-1,FALSE))</f>
        <v/>
      </c>
      <c r="AO247" t="str">
        <f ca="1">IF(AND(ISNUMBER($AO$341),$B$294=1),$AO$341,HLOOKUP(INDIRECT(ADDRESS(2,COLUMN())),OFFSET($AT$2,0,0,ROW()-1,40),ROW()-1,FALSE))</f>
        <v/>
      </c>
      <c r="AP247" t="str">
        <f ca="1">IF(AND(ISNUMBER($AP$341),$B$294=1),$AP$341,HLOOKUP(INDIRECT(ADDRESS(2,COLUMN())),OFFSET($AT$2,0,0,ROW()-1,40),ROW()-1,FALSE))</f>
        <v/>
      </c>
      <c r="AQ247" t="str">
        <f ca="1">IF(AND(ISNUMBER($AQ$341),$B$294=1),$AQ$341,HLOOKUP(INDIRECT(ADDRESS(2,COLUMN())),OFFSET($AT$2,0,0,ROW()-1,40),ROW()-1,FALSE))</f>
        <v/>
      </c>
      <c r="AR247" t="str">
        <f ca="1">IF(AND(ISNUMBER($AR$341),$B$294=1),$AR$341,HLOOKUP(INDIRECT(ADDRESS(2,COLUMN())),OFFSET($AT$2,0,0,ROW()-1,40),ROW()-1,FALSE))</f>
        <v/>
      </c>
      <c r="AS247" t="str">
        <f ca="1">IF(AND(ISNUMBER($AS$341),$B$294=1),$AS$341,HLOOKUP(INDIRECT(ADDRESS(2,COLUMN())),OFFSET($AT$2,0,0,ROW()-1,40),ROW()-1,FALSE))</f>
        <v/>
      </c>
      <c r="AT247" t="str">
        <f>""</f>
        <v/>
      </c>
      <c r="AU247" t="str">
        <f>""</f>
        <v/>
      </c>
      <c r="AV247" t="str">
        <f>""</f>
        <v/>
      </c>
      <c r="AW247" t="str">
        <f>""</f>
        <v/>
      </c>
      <c r="AX247" t="str">
        <f>""</f>
        <v/>
      </c>
      <c r="AY247" t="str">
        <f>""</f>
        <v/>
      </c>
      <c r="AZ247" t="str">
        <f>""</f>
        <v/>
      </c>
      <c r="BA247" t="str">
        <f>""</f>
        <v/>
      </c>
      <c r="BB247" t="str">
        <f>""</f>
        <v/>
      </c>
      <c r="BC247" t="str">
        <f>""</f>
        <v/>
      </c>
      <c r="BD247" t="str">
        <f>""</f>
        <v/>
      </c>
      <c r="BE247" t="str">
        <f>""</f>
        <v/>
      </c>
      <c r="BF247" t="str">
        <f>""</f>
        <v/>
      </c>
      <c r="BG247" t="str">
        <f>""</f>
        <v/>
      </c>
      <c r="BH247" t="str">
        <f>""</f>
        <v/>
      </c>
      <c r="BI247" t="str">
        <f>""</f>
        <v/>
      </c>
      <c r="BJ247" t="str">
        <f>""</f>
        <v/>
      </c>
      <c r="BK247" t="str">
        <f>""</f>
        <v/>
      </c>
      <c r="BL247" t="str">
        <f>""</f>
        <v/>
      </c>
      <c r="BM247" t="str">
        <f>""</f>
        <v/>
      </c>
      <c r="BN247" t="str">
        <f>""</f>
        <v/>
      </c>
      <c r="BO247" t="str">
        <f>""</f>
        <v/>
      </c>
      <c r="BP247" t="str">
        <f>""</f>
        <v/>
      </c>
      <c r="BQ247" t="str">
        <f>""</f>
        <v/>
      </c>
      <c r="BR247" t="str">
        <f>""</f>
        <v/>
      </c>
      <c r="BS247" t="str">
        <f>""</f>
        <v/>
      </c>
      <c r="BT247" t="str">
        <f>""</f>
        <v/>
      </c>
      <c r="BU247" t="str">
        <f>""</f>
        <v/>
      </c>
      <c r="BV247" t="str">
        <f>""</f>
        <v/>
      </c>
      <c r="BW247" t="str">
        <f>""</f>
        <v/>
      </c>
      <c r="BX247" t="str">
        <f>""</f>
        <v/>
      </c>
      <c r="BY247" t="str">
        <f>""</f>
        <v/>
      </c>
      <c r="BZ247" t="str">
        <f>""</f>
        <v/>
      </c>
      <c r="CA247" t="str">
        <f>""</f>
        <v/>
      </c>
      <c r="CB247" t="str">
        <f>""</f>
        <v/>
      </c>
      <c r="CC247" t="str">
        <f>""</f>
        <v/>
      </c>
      <c r="CD247" t="str">
        <f>""</f>
        <v/>
      </c>
      <c r="CE247" t="str">
        <f>""</f>
        <v/>
      </c>
      <c r="CF247" t="str">
        <f>""</f>
        <v/>
      </c>
      <c r="CG247" t="str">
        <f>""</f>
        <v/>
      </c>
    </row>
    <row r="248" spans="1:85" x14ac:dyDescent="0.25">
      <c r="A248" t="str">
        <f>"    Isuzu"</f>
        <v xml:space="preserve">    Isuzu</v>
      </c>
      <c r="B248" t="str">
        <f>"7202 JP Equity"</f>
        <v>7202 JP Equity</v>
      </c>
      <c r="C248" t="str">
        <f t="shared" si="19"/>
        <v>X1701</v>
      </c>
      <c r="D248" t="str">
        <f t="shared" si="20"/>
        <v>WARDS_RETAIL_SALES_UNITS</v>
      </c>
      <c r="E248" t="str">
        <f t="shared" si="18"/>
        <v>Dynamic</v>
      </c>
      <c r="F248">
        <f ca="1">IF(AND(ISNUMBER($F$342),$B$294=1),$F$342,HLOOKUP(INDIRECT(ADDRESS(2,COLUMN())),OFFSET($AT$2,0,0,ROW()-1,40),ROW()-1,FALSE))</f>
        <v>57</v>
      </c>
      <c r="G248">
        <f ca="1">IF(AND(ISNUMBER($G$342),$B$294=1),$G$342,HLOOKUP(INDIRECT(ADDRESS(2,COLUMN())),OFFSET($AT$2,0,0,ROW()-1,40),ROW()-1,FALSE))</f>
        <v>38</v>
      </c>
      <c r="H248">
        <f ca="1">IF(AND(ISNUMBER($H$342),$B$294=1),$H$342,HLOOKUP(INDIRECT(ADDRESS(2,COLUMN())),OFFSET($AT$2,0,0,ROW()-1,40),ROW()-1,FALSE))</f>
        <v>25</v>
      </c>
      <c r="I248">
        <f ca="1">IF(AND(ISNUMBER($I$342),$B$294=1),$I$342,HLOOKUP(INDIRECT(ADDRESS(2,COLUMN())),OFFSET($AT$2,0,0,ROW()-1,40),ROW()-1,FALSE))</f>
        <v>4</v>
      </c>
      <c r="J248">
        <f ca="1">IF(AND(ISNUMBER($J$342),$B$294=1),$J$342,HLOOKUP(INDIRECT(ADDRESS(2,COLUMN())),OFFSET($AT$2,0,0,ROW()-1,40),ROW()-1,FALSE))</f>
        <v>0</v>
      </c>
      <c r="K248">
        <f ca="1">IF(AND(ISNUMBER($K$342),$B$294=1),$K$342,HLOOKUP(INDIRECT(ADDRESS(2,COLUMN())),OFFSET($AT$2,0,0,ROW()-1,40),ROW()-1,FALSE))</f>
        <v>0</v>
      </c>
      <c r="L248">
        <f ca="1">IF(AND(ISNUMBER($L$342),$B$294=1),$L$342,HLOOKUP(INDIRECT(ADDRESS(2,COLUMN())),OFFSET($AT$2,0,0,ROW()-1,40),ROW()-1,FALSE))</f>
        <v>0</v>
      </c>
      <c r="M248">
        <f ca="1">IF(AND(ISNUMBER($M$342),$B$294=1),$M$342,HLOOKUP(INDIRECT(ADDRESS(2,COLUMN())),OFFSET($AT$2,0,0,ROW()-1,40),ROW()-1,FALSE))</f>
        <v>0</v>
      </c>
      <c r="N248">
        <f ca="1">IF(AND(ISNUMBER($N$342),$B$294=1),$N$342,HLOOKUP(INDIRECT(ADDRESS(2,COLUMN())),OFFSET($AT$2,0,0,ROW()-1,40),ROW()-1,FALSE))</f>
        <v>0</v>
      </c>
      <c r="O248">
        <f ca="1">IF(AND(ISNUMBER($O$342),$B$294=1),$O$342,HLOOKUP(INDIRECT(ADDRESS(2,COLUMN())),OFFSET($AT$2,0,0,ROW()-1,40),ROW()-1,FALSE))</f>
        <v>0</v>
      </c>
      <c r="P248">
        <f ca="1">IF(AND(ISNUMBER($P$342),$B$294=1),$P$342,HLOOKUP(INDIRECT(ADDRESS(2,COLUMN())),OFFSET($AT$2,0,0,ROW()-1,40),ROW()-1,FALSE))</f>
        <v>0</v>
      </c>
      <c r="Q248">
        <f ca="1">IF(AND(ISNUMBER($Q$342),$B$294=1),$Q$342,HLOOKUP(INDIRECT(ADDRESS(2,COLUMN())),OFFSET($AT$2,0,0,ROW()-1,40),ROW()-1,FALSE))</f>
        <v>0</v>
      </c>
      <c r="R248">
        <f ca="1">IF(AND(ISNUMBER($R$342),$B$294=1),$R$342,HLOOKUP(INDIRECT(ADDRESS(2,COLUMN())),OFFSET($AT$2,0,0,ROW()-1,40),ROW()-1,FALSE))</f>
        <v>0</v>
      </c>
      <c r="S248">
        <f ca="1">IF(AND(ISNUMBER($S$342),$B$294=1),$S$342,HLOOKUP(INDIRECT(ADDRESS(2,COLUMN())),OFFSET($AT$2,0,0,ROW()-1,40),ROW()-1,FALSE))</f>
        <v>0</v>
      </c>
      <c r="T248">
        <f ca="1">IF(AND(ISNUMBER($T$342),$B$294=1),$T$342,HLOOKUP(INDIRECT(ADDRESS(2,COLUMN())),OFFSET($AT$2,0,0,ROW()-1,40),ROW()-1,FALSE))</f>
        <v>0</v>
      </c>
      <c r="U248">
        <f ca="1">IF(AND(ISNUMBER($U$342),$B$294=1),$U$342,HLOOKUP(INDIRECT(ADDRESS(2,COLUMN())),OFFSET($AT$2,0,0,ROW()-1,40),ROW()-1,FALSE))</f>
        <v>0</v>
      </c>
      <c r="V248">
        <f ca="1">IF(AND(ISNUMBER($V$342),$B$294=1),$V$342,HLOOKUP(INDIRECT(ADDRESS(2,COLUMN())),OFFSET($AT$2,0,0,ROW()-1,40),ROW()-1,FALSE))</f>
        <v>0</v>
      </c>
      <c r="W248">
        <f ca="1">IF(AND(ISNUMBER($W$342),$B$294=1),$W$342,HLOOKUP(INDIRECT(ADDRESS(2,COLUMN())),OFFSET($AT$2,0,0,ROW()-1,40),ROW()-1,FALSE))</f>
        <v>0</v>
      </c>
      <c r="X248">
        <f ca="1">IF(AND(ISNUMBER($X$342),$B$294=1),$X$342,HLOOKUP(INDIRECT(ADDRESS(2,COLUMN())),OFFSET($AT$2,0,0,ROW()-1,40),ROW()-1,FALSE))</f>
        <v>0</v>
      </c>
      <c r="Y248">
        <f ca="1">IF(AND(ISNUMBER($Y$342),$B$294=1),$Y$342,HLOOKUP(INDIRECT(ADDRESS(2,COLUMN())),OFFSET($AT$2,0,0,ROW()-1,40),ROW()-1,FALSE))</f>
        <v>0</v>
      </c>
      <c r="Z248">
        <f ca="1">IF(AND(ISNUMBER($Z$342),$B$294=1),$Z$342,HLOOKUP(INDIRECT(ADDRESS(2,COLUMN())),OFFSET($AT$2,0,0,ROW()-1,40),ROW()-1,FALSE))</f>
        <v>0</v>
      </c>
      <c r="AA248">
        <f ca="1">IF(AND(ISNUMBER($AA$342),$B$294=1),$AA$342,HLOOKUP(INDIRECT(ADDRESS(2,COLUMN())),OFFSET($AT$2,0,0,ROW()-1,40),ROW()-1,FALSE))</f>
        <v>0</v>
      </c>
      <c r="AB248" t="str">
        <f ca="1">IF(AND(ISNUMBER($AB$342),$B$294=1),$AB$342,HLOOKUP(INDIRECT(ADDRESS(2,COLUMN())),OFFSET($AT$2,0,0,ROW()-1,40),ROW()-1,FALSE))</f>
        <v/>
      </c>
      <c r="AC248" t="str">
        <f ca="1">IF(AND(ISNUMBER($AC$342),$B$294=1),$AC$342,HLOOKUP(INDIRECT(ADDRESS(2,COLUMN())),OFFSET($AT$2,0,0,ROW()-1,40),ROW()-1,FALSE))</f>
        <v/>
      </c>
      <c r="AD248" t="str">
        <f ca="1">IF(AND(ISNUMBER($AD$342),$B$294=1),$AD$342,HLOOKUP(INDIRECT(ADDRESS(2,COLUMN())),OFFSET($AT$2,0,0,ROW()-1,40),ROW()-1,FALSE))</f>
        <v/>
      </c>
      <c r="AE248" t="str">
        <f ca="1">IF(AND(ISNUMBER($AE$342),$B$294=1),$AE$342,HLOOKUP(INDIRECT(ADDRESS(2,COLUMN())),OFFSET($AT$2,0,0,ROW()-1,40),ROW()-1,FALSE))</f>
        <v/>
      </c>
      <c r="AF248" t="str">
        <f ca="1">IF(AND(ISNUMBER($AF$342),$B$294=1),$AF$342,HLOOKUP(INDIRECT(ADDRESS(2,COLUMN())),OFFSET($AT$2,0,0,ROW()-1,40),ROW()-1,FALSE))</f>
        <v/>
      </c>
      <c r="AG248" t="str">
        <f ca="1">IF(AND(ISNUMBER($AG$342),$B$294=1),$AG$342,HLOOKUP(INDIRECT(ADDRESS(2,COLUMN())),OFFSET($AT$2,0,0,ROW()-1,40),ROW()-1,FALSE))</f>
        <v/>
      </c>
      <c r="AH248" t="str">
        <f ca="1">IF(AND(ISNUMBER($AH$342),$B$294=1),$AH$342,HLOOKUP(INDIRECT(ADDRESS(2,COLUMN())),OFFSET($AT$2,0,0,ROW()-1,40),ROW()-1,FALSE))</f>
        <v/>
      </c>
      <c r="AI248" t="str">
        <f ca="1">IF(AND(ISNUMBER($AI$342),$B$294=1),$AI$342,HLOOKUP(INDIRECT(ADDRESS(2,COLUMN())),OFFSET($AT$2,0,0,ROW()-1,40),ROW()-1,FALSE))</f>
        <v/>
      </c>
      <c r="AJ248" t="str">
        <f ca="1">IF(AND(ISNUMBER($AJ$342),$B$294=1),$AJ$342,HLOOKUP(INDIRECT(ADDRESS(2,COLUMN())),OFFSET($AT$2,0,0,ROW()-1,40),ROW()-1,FALSE))</f>
        <v/>
      </c>
      <c r="AK248" t="str">
        <f ca="1">IF(AND(ISNUMBER($AK$342),$B$294=1),$AK$342,HLOOKUP(INDIRECT(ADDRESS(2,COLUMN())),OFFSET($AT$2,0,0,ROW()-1,40),ROW()-1,FALSE))</f>
        <v/>
      </c>
      <c r="AL248" t="str">
        <f ca="1">IF(AND(ISNUMBER($AL$342),$B$294=1),$AL$342,HLOOKUP(INDIRECT(ADDRESS(2,COLUMN())),OFFSET($AT$2,0,0,ROW()-1,40),ROW()-1,FALSE))</f>
        <v/>
      </c>
      <c r="AM248" t="str">
        <f ca="1">IF(AND(ISNUMBER($AM$342),$B$294=1),$AM$342,HLOOKUP(INDIRECT(ADDRESS(2,COLUMN())),OFFSET($AT$2,0,0,ROW()-1,40),ROW()-1,FALSE))</f>
        <v/>
      </c>
      <c r="AN248" t="str">
        <f ca="1">IF(AND(ISNUMBER($AN$342),$B$294=1),$AN$342,HLOOKUP(INDIRECT(ADDRESS(2,COLUMN())),OFFSET($AT$2,0,0,ROW()-1,40),ROW()-1,FALSE))</f>
        <v/>
      </c>
      <c r="AO248" t="str">
        <f ca="1">IF(AND(ISNUMBER($AO$342),$B$294=1),$AO$342,HLOOKUP(INDIRECT(ADDRESS(2,COLUMN())),OFFSET($AT$2,0,0,ROW()-1,40),ROW()-1,FALSE))</f>
        <v/>
      </c>
      <c r="AP248" t="str">
        <f ca="1">IF(AND(ISNUMBER($AP$342),$B$294=1),$AP$342,HLOOKUP(INDIRECT(ADDRESS(2,COLUMN())),OFFSET($AT$2,0,0,ROW()-1,40),ROW()-1,FALSE))</f>
        <v/>
      </c>
      <c r="AQ248" t="str">
        <f ca="1">IF(AND(ISNUMBER($AQ$342),$B$294=1),$AQ$342,HLOOKUP(INDIRECT(ADDRESS(2,COLUMN())),OFFSET($AT$2,0,0,ROW()-1,40),ROW()-1,FALSE))</f>
        <v/>
      </c>
      <c r="AR248" t="str">
        <f ca="1">IF(AND(ISNUMBER($AR$342),$B$294=1),$AR$342,HLOOKUP(INDIRECT(ADDRESS(2,COLUMN())),OFFSET($AT$2,0,0,ROW()-1,40),ROW()-1,FALSE))</f>
        <v/>
      </c>
      <c r="AS248" t="str">
        <f ca="1">IF(AND(ISNUMBER($AS$342),$B$294=1),$AS$342,HLOOKUP(INDIRECT(ADDRESS(2,COLUMN())),OFFSET($AT$2,0,0,ROW()-1,40),ROW()-1,FALSE))</f>
        <v/>
      </c>
      <c r="AT248">
        <f>57</f>
        <v>57</v>
      </c>
      <c r="AU248">
        <f>38</f>
        <v>38</v>
      </c>
      <c r="AV248">
        <f>25</f>
        <v>25</v>
      </c>
      <c r="AW248">
        <f>4</f>
        <v>4</v>
      </c>
      <c r="AX248">
        <f>0</f>
        <v>0</v>
      </c>
      <c r="AY248">
        <f>0</f>
        <v>0</v>
      </c>
      <c r="AZ248">
        <f>0</f>
        <v>0</v>
      </c>
      <c r="BA248">
        <f>0</f>
        <v>0</v>
      </c>
      <c r="BB248">
        <f>0</f>
        <v>0</v>
      </c>
      <c r="BC248">
        <f>0</f>
        <v>0</v>
      </c>
      <c r="BD248">
        <f>0</f>
        <v>0</v>
      </c>
      <c r="BE248">
        <f>0</f>
        <v>0</v>
      </c>
      <c r="BF248">
        <f>0</f>
        <v>0</v>
      </c>
      <c r="BG248">
        <f>0</f>
        <v>0</v>
      </c>
      <c r="BH248">
        <f>0</f>
        <v>0</v>
      </c>
      <c r="BI248">
        <f>0</f>
        <v>0</v>
      </c>
      <c r="BJ248">
        <f>0</f>
        <v>0</v>
      </c>
      <c r="BK248">
        <f>0</f>
        <v>0</v>
      </c>
      <c r="BL248">
        <f>0</f>
        <v>0</v>
      </c>
      <c r="BM248">
        <f>0</f>
        <v>0</v>
      </c>
      <c r="BN248">
        <f>0</f>
        <v>0</v>
      </c>
      <c r="BO248">
        <f>0</f>
        <v>0</v>
      </c>
      <c r="BP248" t="str">
        <f>""</f>
        <v/>
      </c>
      <c r="BQ248" t="str">
        <f>""</f>
        <v/>
      </c>
      <c r="BR248" t="str">
        <f>""</f>
        <v/>
      </c>
      <c r="BS248" t="str">
        <f>""</f>
        <v/>
      </c>
      <c r="BT248" t="str">
        <f>""</f>
        <v/>
      </c>
      <c r="BU248" t="str">
        <f>""</f>
        <v/>
      </c>
      <c r="BV248" t="str">
        <f>""</f>
        <v/>
      </c>
      <c r="BW248" t="str">
        <f>""</f>
        <v/>
      </c>
      <c r="BX248" t="str">
        <f>""</f>
        <v/>
      </c>
      <c r="BY248" t="str">
        <f>""</f>
        <v/>
      </c>
      <c r="BZ248" t="str">
        <f>""</f>
        <v/>
      </c>
      <c r="CA248" t="str">
        <f>""</f>
        <v/>
      </c>
      <c r="CB248" t="str">
        <f>""</f>
        <v/>
      </c>
      <c r="CC248" t="str">
        <f>""</f>
        <v/>
      </c>
      <c r="CD248" t="str">
        <f>""</f>
        <v/>
      </c>
      <c r="CE248" t="str">
        <f>""</f>
        <v/>
      </c>
      <c r="CF248" t="str">
        <f>""</f>
        <v/>
      </c>
      <c r="CG248" t="str">
        <f>""</f>
        <v/>
      </c>
    </row>
    <row r="249" spans="1:85" x14ac:dyDescent="0.25">
      <c r="A249" t="str">
        <f>"    Other"</f>
        <v xml:space="preserve">    Other</v>
      </c>
      <c r="B249" t="str">
        <f>""</f>
        <v/>
      </c>
      <c r="E249" t="str">
        <f>"Expression"</f>
        <v>Expression</v>
      </c>
      <c r="F249">
        <f t="shared" ref="F249:AS249" ca="1" si="21">HLOOKUP(INDIRECT(ADDRESS(2,COLUMN())),OFFSET($AT$2,0,0,ROW()-1,40),ROW()-1,FALSE)</f>
        <v>0</v>
      </c>
      <c r="G249">
        <f t="shared" ca="1" si="21"/>
        <v>0</v>
      </c>
      <c r="H249">
        <f t="shared" ca="1" si="21"/>
        <v>0</v>
      </c>
      <c r="I249">
        <f t="shared" ca="1" si="21"/>
        <v>0</v>
      </c>
      <c r="J249">
        <f t="shared" ca="1" si="21"/>
        <v>0</v>
      </c>
      <c r="K249">
        <f t="shared" ca="1" si="21"/>
        <v>0</v>
      </c>
      <c r="L249">
        <f t="shared" ca="1" si="21"/>
        <v>0</v>
      </c>
      <c r="M249">
        <f t="shared" ca="1" si="21"/>
        <v>0</v>
      </c>
      <c r="N249">
        <f t="shared" ca="1" si="21"/>
        <v>0</v>
      </c>
      <c r="O249">
        <f t="shared" ca="1" si="21"/>
        <v>0</v>
      </c>
      <c r="P249">
        <f t="shared" ca="1" si="21"/>
        <v>0</v>
      </c>
      <c r="Q249">
        <f t="shared" ca="1" si="21"/>
        <v>0</v>
      </c>
      <c r="R249">
        <f t="shared" ca="1" si="21"/>
        <v>0</v>
      </c>
      <c r="S249">
        <f t="shared" ca="1" si="21"/>
        <v>0</v>
      </c>
      <c r="T249">
        <f t="shared" ca="1" si="21"/>
        <v>0</v>
      </c>
      <c r="U249">
        <f t="shared" ca="1" si="21"/>
        <v>0</v>
      </c>
      <c r="V249">
        <f t="shared" ca="1" si="21"/>
        <v>0</v>
      </c>
      <c r="W249">
        <f t="shared" ca="1" si="21"/>
        <v>0</v>
      </c>
      <c r="X249">
        <f t="shared" ca="1" si="21"/>
        <v>0</v>
      </c>
      <c r="Y249">
        <f t="shared" ca="1" si="21"/>
        <v>0</v>
      </c>
      <c r="Z249">
        <f t="shared" ca="1" si="21"/>
        <v>0</v>
      </c>
      <c r="AA249">
        <f t="shared" ca="1" si="21"/>
        <v>0</v>
      </c>
      <c r="AB249">
        <f t="shared" ca="1" si="21"/>
        <v>0</v>
      </c>
      <c r="AC249">
        <f t="shared" ca="1" si="21"/>
        <v>0</v>
      </c>
      <c r="AD249">
        <f t="shared" ca="1" si="21"/>
        <v>0</v>
      </c>
      <c r="AE249">
        <f t="shared" ca="1" si="21"/>
        <v>0</v>
      </c>
      <c r="AF249">
        <f t="shared" ca="1" si="21"/>
        <v>0</v>
      </c>
      <c r="AG249">
        <f t="shared" ca="1" si="21"/>
        <v>0</v>
      </c>
      <c r="AH249">
        <f t="shared" ca="1" si="21"/>
        <v>0</v>
      </c>
      <c r="AI249">
        <f t="shared" ca="1" si="21"/>
        <v>0</v>
      </c>
      <c r="AJ249">
        <f t="shared" ca="1" si="21"/>
        <v>0</v>
      </c>
      <c r="AK249">
        <f t="shared" ca="1" si="21"/>
        <v>0</v>
      </c>
      <c r="AL249">
        <f t="shared" ca="1" si="21"/>
        <v>0</v>
      </c>
      <c r="AM249">
        <f t="shared" ca="1" si="21"/>
        <v>0</v>
      </c>
      <c r="AN249">
        <f t="shared" ca="1" si="21"/>
        <v>0</v>
      </c>
      <c r="AO249">
        <f t="shared" ca="1" si="21"/>
        <v>0</v>
      </c>
      <c r="AP249">
        <f t="shared" ca="1" si="21"/>
        <v>0</v>
      </c>
      <c r="AQ249">
        <f t="shared" ca="1" si="21"/>
        <v>0</v>
      </c>
      <c r="AR249">
        <f t="shared" ca="1" si="21"/>
        <v>0</v>
      </c>
      <c r="AS249">
        <f t="shared" ca="1" si="21"/>
        <v>0</v>
      </c>
      <c r="AT249">
        <f>0</f>
        <v>0</v>
      </c>
      <c r="AU249">
        <f>0</f>
        <v>0</v>
      </c>
      <c r="AV249">
        <f>0</f>
        <v>0</v>
      </c>
      <c r="AW249">
        <f>0</f>
        <v>0</v>
      </c>
      <c r="AX249">
        <f>0</f>
        <v>0</v>
      </c>
      <c r="AY249">
        <f>0</f>
        <v>0</v>
      </c>
      <c r="AZ249">
        <f>0</f>
        <v>0</v>
      </c>
      <c r="BA249">
        <f>0</f>
        <v>0</v>
      </c>
      <c r="BB249">
        <f>0</f>
        <v>0</v>
      </c>
      <c r="BC249">
        <f>0</f>
        <v>0</v>
      </c>
      <c r="BD249">
        <f>0</f>
        <v>0</v>
      </c>
      <c r="BE249">
        <f>0</f>
        <v>0</v>
      </c>
      <c r="BF249">
        <f>0</f>
        <v>0</v>
      </c>
      <c r="BG249">
        <f>0</f>
        <v>0</v>
      </c>
      <c r="BH249">
        <f>0</f>
        <v>0</v>
      </c>
      <c r="BI249">
        <f>0</f>
        <v>0</v>
      </c>
      <c r="BJ249">
        <f>0</f>
        <v>0</v>
      </c>
      <c r="BK249">
        <f>0</f>
        <v>0</v>
      </c>
      <c r="BL249">
        <f>0</f>
        <v>0</v>
      </c>
      <c r="BM249">
        <f>0</f>
        <v>0</v>
      </c>
      <c r="BN249">
        <f>0</f>
        <v>0</v>
      </c>
      <c r="BO249">
        <f>0</f>
        <v>0</v>
      </c>
      <c r="BP249">
        <f>0</f>
        <v>0</v>
      </c>
      <c r="BQ249">
        <f>0</f>
        <v>0</v>
      </c>
      <c r="BR249">
        <f>0</f>
        <v>0</v>
      </c>
      <c r="BS249">
        <f>0</f>
        <v>0</v>
      </c>
      <c r="BT249">
        <f>0</f>
        <v>0</v>
      </c>
      <c r="BU249">
        <f>0</f>
        <v>0</v>
      </c>
      <c r="BV249">
        <f>0</f>
        <v>0</v>
      </c>
      <c r="BW249">
        <f>0</f>
        <v>0</v>
      </c>
      <c r="BX249">
        <f>0</f>
        <v>0</v>
      </c>
      <c r="BY249">
        <f>0</f>
        <v>0</v>
      </c>
      <c r="BZ249">
        <f>0</f>
        <v>0</v>
      </c>
      <c r="CA249">
        <f>0</f>
        <v>0</v>
      </c>
      <c r="CB249">
        <f>0</f>
        <v>0</v>
      </c>
      <c r="CC249">
        <f>0</f>
        <v>0</v>
      </c>
      <c r="CD249">
        <f>0</f>
        <v>0</v>
      </c>
      <c r="CE249">
        <f>0</f>
        <v>0</v>
      </c>
      <c r="CF249">
        <f>0</f>
        <v>0</v>
      </c>
      <c r="CG249">
        <f>0</f>
        <v>0</v>
      </c>
    </row>
    <row r="250" spans="1:85" x14ac:dyDescent="0.25">
      <c r="A250" t="str">
        <f>"Canada (Class 6-7)"</f>
        <v>Canada (Class 6-7)</v>
      </c>
      <c r="B250" t="str">
        <f>"TRCKCA6S Index"</f>
        <v>TRCKCA6S Index</v>
      </c>
      <c r="C250" t="str">
        <f>"PR005"</f>
        <v>PR005</v>
      </c>
      <c r="D250" t="str">
        <f>"PX_LAST"</f>
        <v>PX_LAST</v>
      </c>
      <c r="E250" t="str">
        <f t="shared" ref="E250:E277" si="22">"Dynamic"</f>
        <v>Dynamic</v>
      </c>
      <c r="F250">
        <f ca="1">IF(AND(ISNUMBER($F$343),$B$294=1),$F$343,HLOOKUP(INDIRECT(ADDRESS(2,COLUMN())),OFFSET($AT$2,0,0,ROW()-1,40),ROW()-1,FALSE))</f>
        <v>598</v>
      </c>
      <c r="G250">
        <f ca="1">IF(AND(ISNUMBER($G$343),$B$294=1),$G$343,HLOOKUP(INDIRECT(ADDRESS(2,COLUMN())),OFFSET($AT$2,0,0,ROW()-1,40),ROW()-1,FALSE))</f>
        <v>794</v>
      </c>
      <c r="H250">
        <f ca="1">IF(AND(ISNUMBER($H$343),$B$294=1),$H$343,HLOOKUP(INDIRECT(ADDRESS(2,COLUMN())),OFFSET($AT$2,0,0,ROW()-1,40),ROW()-1,FALSE))</f>
        <v>390</v>
      </c>
      <c r="I250">
        <f ca="1">IF(AND(ISNUMBER($I$343),$B$294=1),$I$343,HLOOKUP(INDIRECT(ADDRESS(2,COLUMN())),OFFSET($AT$2,0,0,ROW()-1,40),ROW()-1,FALSE))</f>
        <v>503</v>
      </c>
      <c r="J250">
        <f ca="1">IF(AND(ISNUMBER($J$343),$B$294=1),$J$343,HLOOKUP(INDIRECT(ADDRESS(2,COLUMN())),OFFSET($AT$2,0,0,ROW()-1,40),ROW()-1,FALSE))</f>
        <v>446</v>
      </c>
      <c r="K250">
        <f ca="1">IF(AND(ISNUMBER($K$343),$B$294=1),$K$343,HLOOKUP(INDIRECT(ADDRESS(2,COLUMN())),OFFSET($AT$2,0,0,ROW()-1,40),ROW()-1,FALSE))</f>
        <v>535</v>
      </c>
      <c r="L250">
        <f ca="1">IF(AND(ISNUMBER($L$343),$B$294=1),$L$343,HLOOKUP(INDIRECT(ADDRESS(2,COLUMN())),OFFSET($AT$2,0,0,ROW()-1,40),ROW()-1,FALSE))</f>
        <v>573</v>
      </c>
      <c r="M250">
        <f ca="1">IF(AND(ISNUMBER($M$343),$B$294=1),$M$343,HLOOKUP(INDIRECT(ADDRESS(2,COLUMN())),OFFSET($AT$2,0,0,ROW()-1,40),ROW()-1,FALSE))</f>
        <v>469</v>
      </c>
      <c r="N250">
        <f ca="1">IF(AND(ISNUMBER($N$343),$B$294=1),$N$343,HLOOKUP(INDIRECT(ADDRESS(2,COLUMN())),OFFSET($AT$2,0,0,ROW()-1,40),ROW()-1,FALSE))</f>
        <v>473</v>
      </c>
      <c r="O250">
        <f ca="1">IF(AND(ISNUMBER($O$343),$B$294=1),$O$343,HLOOKUP(INDIRECT(ADDRESS(2,COLUMN())),OFFSET($AT$2,0,0,ROW()-1,40),ROW()-1,FALSE))</f>
        <v>318</v>
      </c>
      <c r="P250">
        <f ca="1">IF(AND(ISNUMBER($P$343),$B$294=1),$P$343,HLOOKUP(INDIRECT(ADDRESS(2,COLUMN())),OFFSET($AT$2,0,0,ROW()-1,40),ROW()-1,FALSE))</f>
        <v>289</v>
      </c>
      <c r="Q250">
        <f ca="1">IF(AND(ISNUMBER($Q$343),$B$294=1),$Q$343,HLOOKUP(INDIRECT(ADDRESS(2,COLUMN())),OFFSET($AT$2,0,0,ROW()-1,40),ROW()-1,FALSE))</f>
        <v>398</v>
      </c>
      <c r="R250">
        <f ca="1">IF(AND(ISNUMBER($R$343),$B$294=1),$R$343,HLOOKUP(INDIRECT(ADDRESS(2,COLUMN())),OFFSET($AT$2,0,0,ROW()-1,40),ROW()-1,FALSE))</f>
        <v>381</v>
      </c>
      <c r="S250">
        <f ca="1">IF(AND(ISNUMBER($S$343),$B$294=1),$S$343,HLOOKUP(INDIRECT(ADDRESS(2,COLUMN())),OFFSET($AT$2,0,0,ROW()-1,40),ROW()-1,FALSE))</f>
        <v>779</v>
      </c>
      <c r="T250">
        <f ca="1">IF(AND(ISNUMBER($T$343),$B$294=1),$T$343,HLOOKUP(INDIRECT(ADDRESS(2,COLUMN())),OFFSET($AT$2,0,0,ROW()-1,40),ROW()-1,FALSE))</f>
        <v>510</v>
      </c>
      <c r="U250">
        <f ca="1">IF(AND(ISNUMBER($U$343),$B$294=1),$U$343,HLOOKUP(INDIRECT(ADDRESS(2,COLUMN())),OFFSET($AT$2,0,0,ROW()-1,40),ROW()-1,FALSE))</f>
        <v>411</v>
      </c>
      <c r="V250">
        <f ca="1">IF(AND(ISNUMBER($V$343),$B$294=1),$V$343,HLOOKUP(INDIRECT(ADDRESS(2,COLUMN())),OFFSET($AT$2,0,0,ROW()-1,40),ROW()-1,FALSE))</f>
        <v>434</v>
      </c>
      <c r="W250">
        <f ca="1">IF(AND(ISNUMBER($W$343),$B$294=1),$W$343,HLOOKUP(INDIRECT(ADDRESS(2,COLUMN())),OFFSET($AT$2,0,0,ROW()-1,40),ROW()-1,FALSE))</f>
        <v>446</v>
      </c>
      <c r="X250">
        <f ca="1">IF(AND(ISNUMBER($X$343),$B$294=1),$X$343,HLOOKUP(INDIRECT(ADDRESS(2,COLUMN())),OFFSET($AT$2,0,0,ROW()-1,40),ROW()-1,FALSE))</f>
        <v>516</v>
      </c>
      <c r="Y250">
        <f ca="1">IF(AND(ISNUMBER($Y$343),$B$294=1),$Y$343,HLOOKUP(INDIRECT(ADDRESS(2,COLUMN())),OFFSET($AT$2,0,0,ROW()-1,40),ROW()-1,FALSE))</f>
        <v>438</v>
      </c>
      <c r="Z250">
        <f ca="1">IF(AND(ISNUMBER($Z$343),$B$294=1),$Z$343,HLOOKUP(INDIRECT(ADDRESS(2,COLUMN())),OFFSET($AT$2,0,0,ROW()-1,40),ROW()-1,FALSE))</f>
        <v>483</v>
      </c>
      <c r="AA250">
        <f ca="1">IF(AND(ISNUMBER($AA$343),$B$294=1),$AA$343,HLOOKUP(INDIRECT(ADDRESS(2,COLUMN())),OFFSET($AT$2,0,0,ROW()-1,40),ROW()-1,FALSE))</f>
        <v>353</v>
      </c>
      <c r="AB250">
        <f ca="1">IF(AND(ISNUMBER($AB$343),$B$294=1),$AB$343,HLOOKUP(INDIRECT(ADDRESS(2,COLUMN())),OFFSET($AT$2,0,0,ROW()-1,40),ROW()-1,FALSE))</f>
        <v>386</v>
      </c>
      <c r="AC250">
        <f ca="1">IF(AND(ISNUMBER($AC$343),$B$294=1),$AC$343,HLOOKUP(INDIRECT(ADDRESS(2,COLUMN())),OFFSET($AT$2,0,0,ROW()-1,40),ROW()-1,FALSE))</f>
        <v>295</v>
      </c>
      <c r="AD250">
        <f ca="1">IF(AND(ISNUMBER($AD$343),$B$294=1),$AD$343,HLOOKUP(INDIRECT(ADDRESS(2,COLUMN())),OFFSET($AT$2,0,0,ROW()-1,40),ROW()-1,FALSE))</f>
        <v>476</v>
      </c>
      <c r="AE250">
        <f ca="1">IF(AND(ISNUMBER($AE$343),$B$294=1),$AE$343,HLOOKUP(INDIRECT(ADDRESS(2,COLUMN())),OFFSET($AT$2,0,0,ROW()-1,40),ROW()-1,FALSE))</f>
        <v>1047</v>
      </c>
      <c r="AF250">
        <f ca="1">IF(AND(ISNUMBER($AF$343),$B$294=1),$AF$343,HLOOKUP(INDIRECT(ADDRESS(2,COLUMN())),OFFSET($AT$2,0,0,ROW()-1,40),ROW()-1,FALSE))</f>
        <v>412</v>
      </c>
      <c r="AG250">
        <f ca="1">IF(AND(ISNUMBER($AG$343),$B$294=1),$AG$343,HLOOKUP(INDIRECT(ADDRESS(2,COLUMN())),OFFSET($AT$2,0,0,ROW()-1,40),ROW()-1,FALSE))</f>
        <v>480</v>
      </c>
      <c r="AH250">
        <f ca="1">IF(AND(ISNUMBER($AH$343),$B$294=1),$AH$343,HLOOKUP(INDIRECT(ADDRESS(2,COLUMN())),OFFSET($AT$2,0,0,ROW()-1,40),ROW()-1,FALSE))</f>
        <v>537</v>
      </c>
      <c r="AI250">
        <f ca="1">IF(AND(ISNUMBER($AI$343),$B$294=1),$AI$343,HLOOKUP(INDIRECT(ADDRESS(2,COLUMN())),OFFSET($AT$2,0,0,ROW()-1,40),ROW()-1,FALSE))</f>
        <v>613</v>
      </c>
      <c r="AJ250">
        <f ca="1">IF(AND(ISNUMBER($AJ$343),$B$294=1),$AJ$343,HLOOKUP(INDIRECT(ADDRESS(2,COLUMN())),OFFSET($AT$2,0,0,ROW()-1,40),ROW()-1,FALSE))</f>
        <v>520</v>
      </c>
      <c r="AK250">
        <f ca="1">IF(AND(ISNUMBER($AK$343),$B$294=1),$AK$343,HLOOKUP(INDIRECT(ADDRESS(2,COLUMN())),OFFSET($AT$2,0,0,ROW()-1,40),ROW()-1,FALSE))</f>
        <v>561</v>
      </c>
      <c r="AL250">
        <f ca="1">IF(AND(ISNUMBER($AL$343),$B$294=1),$AL$343,HLOOKUP(INDIRECT(ADDRESS(2,COLUMN())),OFFSET($AT$2,0,0,ROW()-1,40),ROW()-1,FALSE))</f>
        <v>512</v>
      </c>
      <c r="AM250">
        <f ca="1">IF(AND(ISNUMBER($AM$343),$B$294=1),$AM$343,HLOOKUP(INDIRECT(ADDRESS(2,COLUMN())),OFFSET($AT$2,0,0,ROW()-1,40),ROW()-1,FALSE))</f>
        <v>245</v>
      </c>
      <c r="AN250">
        <f ca="1">IF(AND(ISNUMBER($AN$343),$B$294=1),$AN$343,HLOOKUP(INDIRECT(ADDRESS(2,COLUMN())),OFFSET($AT$2,0,0,ROW()-1,40),ROW()-1,FALSE))</f>
        <v>439</v>
      </c>
      <c r="AO250">
        <f ca="1">IF(AND(ISNUMBER($AO$343),$B$294=1),$AO$343,HLOOKUP(INDIRECT(ADDRESS(2,COLUMN())),OFFSET($AT$2,0,0,ROW()-1,40),ROW()-1,FALSE))</f>
        <v>323</v>
      </c>
      <c r="AP250">
        <f ca="1">IF(AND(ISNUMBER($AP$343),$B$294=1),$AP$343,HLOOKUP(INDIRECT(ADDRESS(2,COLUMN())),OFFSET($AT$2,0,0,ROW()-1,40),ROW()-1,FALSE))</f>
        <v>523</v>
      </c>
      <c r="AQ250">
        <f ca="1">IF(AND(ISNUMBER($AQ$343),$B$294=1),$AQ$343,HLOOKUP(INDIRECT(ADDRESS(2,COLUMN())),OFFSET($AT$2,0,0,ROW()-1,40),ROW()-1,FALSE))</f>
        <v>899</v>
      </c>
      <c r="AR250">
        <f ca="1">IF(AND(ISNUMBER($AR$343),$B$294=1),$AR$343,HLOOKUP(INDIRECT(ADDRESS(2,COLUMN())),OFFSET($AT$2,0,0,ROW()-1,40),ROW()-1,FALSE))</f>
        <v>388</v>
      </c>
      <c r="AS250">
        <f ca="1">IF(AND(ISNUMBER($AS$343),$B$294=1),$AS$343,HLOOKUP(INDIRECT(ADDRESS(2,COLUMN())),OFFSET($AT$2,0,0,ROW()-1,40),ROW()-1,FALSE))</f>
        <v>435</v>
      </c>
      <c r="AT250">
        <f>598</f>
        <v>598</v>
      </c>
      <c r="AU250">
        <f>794</f>
        <v>794</v>
      </c>
      <c r="AV250">
        <f>390</f>
        <v>390</v>
      </c>
      <c r="AW250">
        <f>503</f>
        <v>503</v>
      </c>
      <c r="AX250">
        <f>446</f>
        <v>446</v>
      </c>
      <c r="AY250">
        <f>535</f>
        <v>535</v>
      </c>
      <c r="AZ250">
        <f>573</f>
        <v>573</v>
      </c>
      <c r="BA250">
        <f>469</f>
        <v>469</v>
      </c>
      <c r="BB250">
        <f>473</f>
        <v>473</v>
      </c>
      <c r="BC250">
        <f>318</f>
        <v>318</v>
      </c>
      <c r="BD250">
        <f>289</f>
        <v>289</v>
      </c>
      <c r="BE250">
        <f>398</f>
        <v>398</v>
      </c>
      <c r="BF250">
        <f>381</f>
        <v>381</v>
      </c>
      <c r="BG250">
        <f>779</f>
        <v>779</v>
      </c>
      <c r="BH250">
        <f>510</f>
        <v>510</v>
      </c>
      <c r="BI250">
        <f>411</f>
        <v>411</v>
      </c>
      <c r="BJ250">
        <f>434</f>
        <v>434</v>
      </c>
      <c r="BK250">
        <f>446</f>
        <v>446</v>
      </c>
      <c r="BL250">
        <f>516</f>
        <v>516</v>
      </c>
      <c r="BM250">
        <f>438</f>
        <v>438</v>
      </c>
      <c r="BN250">
        <f>483</f>
        <v>483</v>
      </c>
      <c r="BO250">
        <f>353</f>
        <v>353</v>
      </c>
      <c r="BP250">
        <f>386</f>
        <v>386</v>
      </c>
      <c r="BQ250">
        <f>295</f>
        <v>295</v>
      </c>
      <c r="BR250">
        <f>476</f>
        <v>476</v>
      </c>
      <c r="BS250">
        <f>1047</f>
        <v>1047</v>
      </c>
      <c r="BT250">
        <f>412</f>
        <v>412</v>
      </c>
      <c r="BU250">
        <f>480</f>
        <v>480</v>
      </c>
      <c r="BV250">
        <f>537</f>
        <v>537</v>
      </c>
      <c r="BW250">
        <f>613</f>
        <v>613</v>
      </c>
      <c r="BX250">
        <f>520</f>
        <v>520</v>
      </c>
      <c r="BY250">
        <f>561</f>
        <v>561</v>
      </c>
      <c r="BZ250">
        <f>512</f>
        <v>512</v>
      </c>
      <c r="CA250">
        <f>245</f>
        <v>245</v>
      </c>
      <c r="CB250">
        <f>439</f>
        <v>439</v>
      </c>
      <c r="CC250">
        <f>323</f>
        <v>323</v>
      </c>
      <c r="CD250">
        <f>523</f>
        <v>523</v>
      </c>
      <c r="CE250">
        <f>899</f>
        <v>899</v>
      </c>
      <c r="CF250">
        <f>388</f>
        <v>388</v>
      </c>
      <c r="CG250">
        <f>435</f>
        <v>435</v>
      </c>
    </row>
    <row r="251" spans="1:85" x14ac:dyDescent="0.25">
      <c r="A251" t="str">
        <f>"    Navistar - International"</f>
        <v xml:space="preserve">    Navistar - International</v>
      </c>
      <c r="B251" t="str">
        <f>"NAV US Equity"</f>
        <v>NAV US Equity</v>
      </c>
      <c r="C251" t="str">
        <f t="shared" ref="C251:C263" si="23">"X1701"</f>
        <v>X1701</v>
      </c>
      <c r="D251" t="str">
        <f t="shared" ref="D251:D263" si="24">"WARDS_RETAIL_SALES_UNITS"</f>
        <v>WARDS_RETAIL_SALES_UNITS</v>
      </c>
      <c r="E251" t="str">
        <f t="shared" si="22"/>
        <v>Dynamic</v>
      </c>
      <c r="F251">
        <f ca="1">IF(AND(ISNUMBER($F$344),$B$294=1),$F$344,HLOOKUP(INDIRECT(ADDRESS(2,COLUMN())),OFFSET($AT$2,0,0,ROW()-1,40),ROW()-1,FALSE))</f>
        <v>309</v>
      </c>
      <c r="G251">
        <f ca="1">IF(AND(ISNUMBER($G$344),$B$294=1),$G$344,HLOOKUP(INDIRECT(ADDRESS(2,COLUMN())),OFFSET($AT$2,0,0,ROW()-1,40),ROW()-1,FALSE))</f>
        <v>439</v>
      </c>
      <c r="H251">
        <f ca="1">IF(AND(ISNUMBER($H$344),$B$294=1),$H$344,HLOOKUP(INDIRECT(ADDRESS(2,COLUMN())),OFFSET($AT$2,0,0,ROW()-1,40),ROW()-1,FALSE))</f>
        <v>142</v>
      </c>
      <c r="I251">
        <f ca="1">IF(AND(ISNUMBER($I$344),$B$294=1),$I$344,HLOOKUP(INDIRECT(ADDRESS(2,COLUMN())),OFFSET($AT$2,0,0,ROW()-1,40),ROW()-1,FALSE))</f>
        <v>155</v>
      </c>
      <c r="J251">
        <f ca="1">IF(AND(ISNUMBER($J$344),$B$294=1),$J$344,HLOOKUP(INDIRECT(ADDRESS(2,COLUMN())),OFFSET($AT$2,0,0,ROW()-1,40),ROW()-1,FALSE))</f>
        <v>121</v>
      </c>
      <c r="K251">
        <f ca="1">IF(AND(ISNUMBER($K$344),$B$294=1),$K$344,HLOOKUP(INDIRECT(ADDRESS(2,COLUMN())),OFFSET($AT$2,0,0,ROW()-1,40),ROW()-1,FALSE))</f>
        <v>153</v>
      </c>
      <c r="L251">
        <f ca="1">IF(AND(ISNUMBER($L$344),$B$294=1),$L$344,HLOOKUP(INDIRECT(ADDRESS(2,COLUMN())),OFFSET($AT$2,0,0,ROW()-1,40),ROW()-1,FALSE))</f>
        <v>143</v>
      </c>
      <c r="M251">
        <f ca="1">IF(AND(ISNUMBER($M$344),$B$294=1),$M$344,HLOOKUP(INDIRECT(ADDRESS(2,COLUMN())),OFFSET($AT$2,0,0,ROW()-1,40),ROW()-1,FALSE))</f>
        <v>188</v>
      </c>
      <c r="N251">
        <f ca="1">IF(AND(ISNUMBER($N$344),$B$294=1),$N$344,HLOOKUP(INDIRECT(ADDRESS(2,COLUMN())),OFFSET($AT$2,0,0,ROW()-1,40),ROW()-1,FALSE))</f>
        <v>170</v>
      </c>
      <c r="O251">
        <f ca="1">IF(AND(ISNUMBER($O$344),$B$294=1),$O$344,HLOOKUP(INDIRECT(ADDRESS(2,COLUMN())),OFFSET($AT$2,0,0,ROW()-1,40),ROW()-1,FALSE))</f>
        <v>77</v>
      </c>
      <c r="P251">
        <f ca="1">IF(AND(ISNUMBER($P$344),$B$294=1),$P$344,HLOOKUP(INDIRECT(ADDRESS(2,COLUMN())),OFFSET($AT$2,0,0,ROW()-1,40),ROW()-1,FALSE))</f>
        <v>92</v>
      </c>
      <c r="Q251">
        <f ca="1">IF(AND(ISNUMBER($Q$344),$B$294=1),$Q$344,HLOOKUP(INDIRECT(ADDRESS(2,COLUMN())),OFFSET($AT$2,0,0,ROW()-1,40),ROW()-1,FALSE))</f>
        <v>97</v>
      </c>
      <c r="R251">
        <f ca="1">IF(AND(ISNUMBER($R$344),$B$294=1),$R$344,HLOOKUP(INDIRECT(ADDRESS(2,COLUMN())),OFFSET($AT$2,0,0,ROW()-1,40),ROW()-1,FALSE))</f>
        <v>177</v>
      </c>
      <c r="S251">
        <f ca="1">IF(AND(ISNUMBER($S$344),$B$294=1),$S$344,HLOOKUP(INDIRECT(ADDRESS(2,COLUMN())),OFFSET($AT$2,0,0,ROW()-1,40),ROW()-1,FALSE))</f>
        <v>510</v>
      </c>
      <c r="T251">
        <f ca="1">IF(AND(ISNUMBER($T$344),$B$294=1),$T$344,HLOOKUP(INDIRECT(ADDRESS(2,COLUMN())),OFFSET($AT$2,0,0,ROW()-1,40),ROW()-1,FALSE))</f>
        <v>265</v>
      </c>
      <c r="U251">
        <f ca="1">IF(AND(ISNUMBER($U$344),$B$294=1),$U$344,HLOOKUP(INDIRECT(ADDRESS(2,COLUMN())),OFFSET($AT$2,0,0,ROW()-1,40),ROW()-1,FALSE))</f>
        <v>160</v>
      </c>
      <c r="V251">
        <f ca="1">IF(AND(ISNUMBER($V$344),$B$294=1),$V$344,HLOOKUP(INDIRECT(ADDRESS(2,COLUMN())),OFFSET($AT$2,0,0,ROW()-1,40),ROW()-1,FALSE))</f>
        <v>149</v>
      </c>
      <c r="W251">
        <f ca="1">IF(AND(ISNUMBER($W$344),$B$294=1),$W$344,HLOOKUP(INDIRECT(ADDRESS(2,COLUMN())),OFFSET($AT$2,0,0,ROW()-1,40),ROW()-1,FALSE))</f>
        <v>115</v>
      </c>
      <c r="X251">
        <f ca="1">IF(AND(ISNUMBER($X$344),$B$294=1),$X$344,HLOOKUP(INDIRECT(ADDRESS(2,COLUMN())),OFFSET($AT$2,0,0,ROW()-1,40),ROW()-1,FALSE))</f>
        <v>215</v>
      </c>
      <c r="Y251">
        <f ca="1">IF(AND(ISNUMBER($Y$344),$B$294=1),$Y$344,HLOOKUP(INDIRECT(ADDRESS(2,COLUMN())),OFFSET($AT$2,0,0,ROW()-1,40),ROW()-1,FALSE))</f>
        <v>168</v>
      </c>
      <c r="Z251">
        <f ca="1">IF(AND(ISNUMBER($Z$344),$B$294=1),$Z$344,HLOOKUP(INDIRECT(ADDRESS(2,COLUMN())),OFFSET($AT$2,0,0,ROW()-1,40),ROW()-1,FALSE))</f>
        <v>167</v>
      </c>
      <c r="AA251">
        <f ca="1">IF(AND(ISNUMBER($AA$344),$B$294=1),$AA$344,HLOOKUP(INDIRECT(ADDRESS(2,COLUMN())),OFFSET($AT$2,0,0,ROW()-1,40),ROW()-1,FALSE))</f>
        <v>97</v>
      </c>
      <c r="AB251">
        <f ca="1">IF(AND(ISNUMBER($AB$344),$B$294=1),$AB$344,HLOOKUP(INDIRECT(ADDRESS(2,COLUMN())),OFFSET($AT$2,0,0,ROW()-1,40),ROW()-1,FALSE))</f>
        <v>79</v>
      </c>
      <c r="AC251">
        <f ca="1">IF(AND(ISNUMBER($AC$344),$B$294=1),$AC$344,HLOOKUP(INDIRECT(ADDRESS(2,COLUMN())),OFFSET($AT$2,0,0,ROW()-1,40),ROW()-1,FALSE))</f>
        <v>41</v>
      </c>
      <c r="AD251">
        <f ca="1">IF(AND(ISNUMBER($AD$344),$B$294=1),$AD$344,HLOOKUP(INDIRECT(ADDRESS(2,COLUMN())),OFFSET($AT$2,0,0,ROW()-1,40),ROW()-1,FALSE))</f>
        <v>200</v>
      </c>
      <c r="AE251">
        <f ca="1">IF(AND(ISNUMBER($AE$344),$B$294=1),$AE$344,HLOOKUP(INDIRECT(ADDRESS(2,COLUMN())),OFFSET($AT$2,0,0,ROW()-1,40),ROW()-1,FALSE))</f>
        <v>778</v>
      </c>
      <c r="AF251">
        <f ca="1">IF(AND(ISNUMBER($AF$344),$B$294=1),$AF$344,HLOOKUP(INDIRECT(ADDRESS(2,COLUMN())),OFFSET($AT$2,0,0,ROW()-1,40),ROW()-1,FALSE))</f>
        <v>150</v>
      </c>
      <c r="AG251">
        <f ca="1">IF(AND(ISNUMBER($AG$344),$B$294=1),$AG$344,HLOOKUP(INDIRECT(ADDRESS(2,COLUMN())),OFFSET($AT$2,0,0,ROW()-1,40),ROW()-1,FALSE))</f>
        <v>217</v>
      </c>
      <c r="AH251">
        <f ca="1">IF(AND(ISNUMBER($AH$344),$B$294=1),$AH$344,HLOOKUP(INDIRECT(ADDRESS(2,COLUMN())),OFFSET($AT$2,0,0,ROW()-1,40),ROW()-1,FALSE))</f>
        <v>247</v>
      </c>
      <c r="AI251">
        <f ca="1">IF(AND(ISNUMBER($AI$344),$B$294=1),$AI$344,HLOOKUP(INDIRECT(ADDRESS(2,COLUMN())),OFFSET($AT$2,0,0,ROW()-1,40),ROW()-1,FALSE))</f>
        <v>175</v>
      </c>
      <c r="AJ251">
        <f ca="1">IF(AND(ISNUMBER($AJ$344),$B$294=1),$AJ$344,HLOOKUP(INDIRECT(ADDRESS(2,COLUMN())),OFFSET($AT$2,0,0,ROW()-1,40),ROW()-1,FALSE))</f>
        <v>206</v>
      </c>
      <c r="AK251">
        <f ca="1">IF(AND(ISNUMBER($AK$344),$B$294=1),$AK$344,HLOOKUP(INDIRECT(ADDRESS(2,COLUMN())),OFFSET($AT$2,0,0,ROW()-1,40),ROW()-1,FALSE))</f>
        <v>203</v>
      </c>
      <c r="AL251">
        <f ca="1">IF(AND(ISNUMBER($AL$344),$B$294=1),$AL$344,HLOOKUP(INDIRECT(ADDRESS(2,COLUMN())),OFFSET($AT$2,0,0,ROW()-1,40),ROW()-1,FALSE))</f>
        <v>111</v>
      </c>
      <c r="AM251">
        <f ca="1">IF(AND(ISNUMBER($AM$344),$B$294=1),$AM$344,HLOOKUP(INDIRECT(ADDRESS(2,COLUMN())),OFFSET($AT$2,0,0,ROW()-1,40),ROW()-1,FALSE))</f>
        <v>87</v>
      </c>
      <c r="AN251">
        <f ca="1">IF(AND(ISNUMBER($AN$344),$B$294=1),$AN$344,HLOOKUP(INDIRECT(ADDRESS(2,COLUMN())),OFFSET($AT$2,0,0,ROW()-1,40),ROW()-1,FALSE))</f>
        <v>114</v>
      </c>
      <c r="AO251">
        <f ca="1">IF(AND(ISNUMBER($AO$344),$B$294=1),$AO$344,HLOOKUP(INDIRECT(ADDRESS(2,COLUMN())),OFFSET($AT$2,0,0,ROW()-1,40),ROW()-1,FALSE))</f>
        <v>63</v>
      </c>
      <c r="AP251">
        <f ca="1">IF(AND(ISNUMBER($AP$344),$B$294=1),$AP$344,HLOOKUP(INDIRECT(ADDRESS(2,COLUMN())),OFFSET($AT$2,0,0,ROW()-1,40),ROW()-1,FALSE))</f>
        <v>240</v>
      </c>
      <c r="AQ251">
        <f ca="1">IF(AND(ISNUMBER($AQ$344),$B$294=1),$AQ$344,HLOOKUP(INDIRECT(ADDRESS(2,COLUMN())),OFFSET($AT$2,0,0,ROW()-1,40),ROW()-1,FALSE))</f>
        <v>653</v>
      </c>
      <c r="AR251">
        <f ca="1">IF(AND(ISNUMBER($AR$344),$B$294=1),$AR$344,HLOOKUP(INDIRECT(ADDRESS(2,COLUMN())),OFFSET($AT$2,0,0,ROW()-1,40),ROW()-1,FALSE))</f>
        <v>122</v>
      </c>
      <c r="AS251">
        <f ca="1">IF(AND(ISNUMBER($AS$344),$B$294=1),$AS$344,HLOOKUP(INDIRECT(ADDRESS(2,COLUMN())),OFFSET($AT$2,0,0,ROW()-1,40),ROW()-1,FALSE))</f>
        <v>160</v>
      </c>
      <c r="AT251">
        <f>309</f>
        <v>309</v>
      </c>
      <c r="AU251">
        <f>439</f>
        <v>439</v>
      </c>
      <c r="AV251">
        <f>142</f>
        <v>142</v>
      </c>
      <c r="AW251">
        <f>155</f>
        <v>155</v>
      </c>
      <c r="AX251">
        <f>121</f>
        <v>121</v>
      </c>
      <c r="AY251">
        <f>153</f>
        <v>153</v>
      </c>
      <c r="AZ251">
        <f>143</f>
        <v>143</v>
      </c>
      <c r="BA251">
        <f>188</f>
        <v>188</v>
      </c>
      <c r="BB251">
        <f>170</f>
        <v>170</v>
      </c>
      <c r="BC251">
        <f>77</f>
        <v>77</v>
      </c>
      <c r="BD251">
        <f>92</f>
        <v>92</v>
      </c>
      <c r="BE251">
        <f>97</f>
        <v>97</v>
      </c>
      <c r="BF251">
        <f>177</f>
        <v>177</v>
      </c>
      <c r="BG251">
        <f>510</f>
        <v>510</v>
      </c>
      <c r="BH251">
        <f>265</f>
        <v>265</v>
      </c>
      <c r="BI251">
        <f>160</f>
        <v>160</v>
      </c>
      <c r="BJ251">
        <f>149</f>
        <v>149</v>
      </c>
      <c r="BK251">
        <f>115</f>
        <v>115</v>
      </c>
      <c r="BL251">
        <f>215</f>
        <v>215</v>
      </c>
      <c r="BM251">
        <f>168</f>
        <v>168</v>
      </c>
      <c r="BN251">
        <f>167</f>
        <v>167</v>
      </c>
      <c r="BO251">
        <f>97</f>
        <v>97</v>
      </c>
      <c r="BP251">
        <f>79</f>
        <v>79</v>
      </c>
      <c r="BQ251">
        <f>41</f>
        <v>41</v>
      </c>
      <c r="BR251">
        <f>200</f>
        <v>200</v>
      </c>
      <c r="BS251">
        <f>778</f>
        <v>778</v>
      </c>
      <c r="BT251">
        <f>150</f>
        <v>150</v>
      </c>
      <c r="BU251">
        <f>217</f>
        <v>217</v>
      </c>
      <c r="BV251">
        <f>247</f>
        <v>247</v>
      </c>
      <c r="BW251">
        <f>175</f>
        <v>175</v>
      </c>
      <c r="BX251">
        <f>206</f>
        <v>206</v>
      </c>
      <c r="BY251">
        <f>203</f>
        <v>203</v>
      </c>
      <c r="BZ251">
        <f>111</f>
        <v>111</v>
      </c>
      <c r="CA251">
        <f>87</f>
        <v>87</v>
      </c>
      <c r="CB251">
        <f>114</f>
        <v>114</v>
      </c>
      <c r="CC251">
        <f>63</f>
        <v>63</v>
      </c>
      <c r="CD251">
        <f>240</f>
        <v>240</v>
      </c>
      <c r="CE251">
        <f>653</f>
        <v>653</v>
      </c>
      <c r="CF251">
        <f>122</f>
        <v>122</v>
      </c>
      <c r="CG251">
        <f>160</f>
        <v>160</v>
      </c>
    </row>
    <row r="252" spans="1:85" x14ac:dyDescent="0.25">
      <c r="A252" t="str">
        <f>"    PACCAR - Kenworth"</f>
        <v xml:space="preserve">    PACCAR - Kenworth</v>
      </c>
      <c r="B252" t="str">
        <f>"PCAR US Equity"</f>
        <v>PCAR US Equity</v>
      </c>
      <c r="C252" t="str">
        <f t="shared" si="23"/>
        <v>X1701</v>
      </c>
      <c r="D252" t="str">
        <f t="shared" si="24"/>
        <v>WARDS_RETAIL_SALES_UNITS</v>
      </c>
      <c r="E252" t="str">
        <f t="shared" si="22"/>
        <v>Dynamic</v>
      </c>
      <c r="F252">
        <f ca="1">IF(AND(ISNUMBER($F$345),$B$294=1),$F$345,HLOOKUP(INDIRECT(ADDRESS(2,COLUMN())),OFFSET($AT$2,0,0,ROW()-1,40),ROW()-1,FALSE))</f>
        <v>50</v>
      </c>
      <c r="G252">
        <f ca="1">IF(AND(ISNUMBER($G$345),$B$294=1),$G$345,HLOOKUP(INDIRECT(ADDRESS(2,COLUMN())),OFFSET($AT$2,0,0,ROW()-1,40),ROW()-1,FALSE))</f>
        <v>52</v>
      </c>
      <c r="H252">
        <f ca="1">IF(AND(ISNUMBER($H$345),$B$294=1),$H$345,HLOOKUP(INDIRECT(ADDRESS(2,COLUMN())),OFFSET($AT$2,0,0,ROW()-1,40),ROW()-1,FALSE))</f>
        <v>25</v>
      </c>
      <c r="I252">
        <f ca="1">IF(AND(ISNUMBER($I$345),$B$294=1),$I$345,HLOOKUP(INDIRECT(ADDRESS(2,COLUMN())),OFFSET($AT$2,0,0,ROW()-1,40),ROW()-1,FALSE))</f>
        <v>53</v>
      </c>
      <c r="J252">
        <f ca="1">IF(AND(ISNUMBER($J$345),$B$294=1),$J$345,HLOOKUP(INDIRECT(ADDRESS(2,COLUMN())),OFFSET($AT$2,0,0,ROW()-1,40),ROW()-1,FALSE))</f>
        <v>52</v>
      </c>
      <c r="K252">
        <f ca="1">IF(AND(ISNUMBER($K$345),$B$294=1),$K$345,HLOOKUP(INDIRECT(ADDRESS(2,COLUMN())),OFFSET($AT$2,0,0,ROW()-1,40),ROW()-1,FALSE))</f>
        <v>61</v>
      </c>
      <c r="L252">
        <f ca="1">IF(AND(ISNUMBER($L$345),$B$294=1),$L$345,HLOOKUP(INDIRECT(ADDRESS(2,COLUMN())),OFFSET($AT$2,0,0,ROW()-1,40),ROW()-1,FALSE))</f>
        <v>35</v>
      </c>
      <c r="M252">
        <f ca="1">IF(AND(ISNUMBER($M$345),$B$294=1),$M$345,HLOOKUP(INDIRECT(ADDRESS(2,COLUMN())),OFFSET($AT$2,0,0,ROW()-1,40),ROW()-1,FALSE))</f>
        <v>35</v>
      </c>
      <c r="N252">
        <f ca="1">IF(AND(ISNUMBER($N$345),$B$294=1),$N$345,HLOOKUP(INDIRECT(ADDRESS(2,COLUMN())),OFFSET($AT$2,0,0,ROW()-1,40),ROW()-1,FALSE))</f>
        <v>36</v>
      </c>
      <c r="O252">
        <f ca="1">IF(AND(ISNUMBER($O$345),$B$294=1),$O$345,HLOOKUP(INDIRECT(ADDRESS(2,COLUMN())),OFFSET($AT$2,0,0,ROW()-1,40),ROW()-1,FALSE))</f>
        <v>29</v>
      </c>
      <c r="P252">
        <f ca="1">IF(AND(ISNUMBER($P$345),$B$294=1),$P$345,HLOOKUP(INDIRECT(ADDRESS(2,COLUMN())),OFFSET($AT$2,0,0,ROW()-1,40),ROW()-1,FALSE))</f>
        <v>29</v>
      </c>
      <c r="Q252">
        <f ca="1">IF(AND(ISNUMBER($Q$345),$B$294=1),$Q$345,HLOOKUP(INDIRECT(ADDRESS(2,COLUMN())),OFFSET($AT$2,0,0,ROW()-1,40),ROW()-1,FALSE))</f>
        <v>45</v>
      </c>
      <c r="R252">
        <f ca="1">IF(AND(ISNUMBER($R$345),$B$294=1),$R$345,HLOOKUP(INDIRECT(ADDRESS(2,COLUMN())),OFFSET($AT$2,0,0,ROW()-1,40),ROW()-1,FALSE))</f>
        <v>35</v>
      </c>
      <c r="S252">
        <f ca="1">IF(AND(ISNUMBER($S$345),$B$294=1),$S$345,HLOOKUP(INDIRECT(ADDRESS(2,COLUMN())),OFFSET($AT$2,0,0,ROW()-1,40),ROW()-1,FALSE))</f>
        <v>33</v>
      </c>
      <c r="T252">
        <f ca="1">IF(AND(ISNUMBER($T$345),$B$294=1),$T$345,HLOOKUP(INDIRECT(ADDRESS(2,COLUMN())),OFFSET($AT$2,0,0,ROW()-1,40),ROW()-1,FALSE))</f>
        <v>33</v>
      </c>
      <c r="U252">
        <f ca="1">IF(AND(ISNUMBER($U$345),$B$294=1),$U$345,HLOOKUP(INDIRECT(ADDRESS(2,COLUMN())),OFFSET($AT$2,0,0,ROW()-1,40),ROW()-1,FALSE))</f>
        <v>29</v>
      </c>
      <c r="V252">
        <f ca="1">IF(AND(ISNUMBER($V$345),$B$294=1),$V$345,HLOOKUP(INDIRECT(ADDRESS(2,COLUMN())),OFFSET($AT$2,0,0,ROW()-1,40),ROW()-1,FALSE))</f>
        <v>43</v>
      </c>
      <c r="W252">
        <f ca="1">IF(AND(ISNUMBER($W$345),$B$294=1),$W$345,HLOOKUP(INDIRECT(ADDRESS(2,COLUMN())),OFFSET($AT$2,0,0,ROW()-1,40),ROW()-1,FALSE))</f>
        <v>27</v>
      </c>
      <c r="X252">
        <f ca="1">IF(AND(ISNUMBER($X$345),$B$294=1),$X$345,HLOOKUP(INDIRECT(ADDRESS(2,COLUMN())),OFFSET($AT$2,0,0,ROW()-1,40),ROW()-1,FALSE))</f>
        <v>46</v>
      </c>
      <c r="Y252">
        <f ca="1">IF(AND(ISNUMBER($Y$345),$B$294=1),$Y$345,HLOOKUP(INDIRECT(ADDRESS(2,COLUMN())),OFFSET($AT$2,0,0,ROW()-1,40),ROW()-1,FALSE))</f>
        <v>28</v>
      </c>
      <c r="Z252">
        <f ca="1">IF(AND(ISNUMBER($Z$345),$B$294=1),$Z$345,HLOOKUP(INDIRECT(ADDRESS(2,COLUMN())),OFFSET($AT$2,0,0,ROW()-1,40),ROW()-1,FALSE))</f>
        <v>37</v>
      </c>
      <c r="AA252">
        <f ca="1">IF(AND(ISNUMBER($AA$345),$B$294=1),$AA$345,HLOOKUP(INDIRECT(ADDRESS(2,COLUMN())),OFFSET($AT$2,0,0,ROW()-1,40),ROW()-1,FALSE))</f>
        <v>32</v>
      </c>
      <c r="AB252">
        <f ca="1">IF(AND(ISNUMBER($AB$345),$B$294=1),$AB$345,HLOOKUP(INDIRECT(ADDRESS(2,COLUMN())),OFFSET($AT$2,0,0,ROW()-1,40),ROW()-1,FALSE))</f>
        <v>42</v>
      </c>
      <c r="AC252">
        <f ca="1">IF(AND(ISNUMBER($AC$345),$B$294=1),$AC$345,HLOOKUP(INDIRECT(ADDRESS(2,COLUMN())),OFFSET($AT$2,0,0,ROW()-1,40),ROW()-1,FALSE))</f>
        <v>33</v>
      </c>
      <c r="AD252">
        <f ca="1">IF(AND(ISNUMBER($AD$345),$B$294=1),$AD$345,HLOOKUP(INDIRECT(ADDRESS(2,COLUMN())),OFFSET($AT$2,0,0,ROW()-1,40),ROW()-1,FALSE))</f>
        <v>36</v>
      </c>
      <c r="AE252">
        <f ca="1">IF(AND(ISNUMBER($AE$345),$B$294=1),$AE$345,HLOOKUP(INDIRECT(ADDRESS(2,COLUMN())),OFFSET($AT$2,0,0,ROW()-1,40),ROW()-1,FALSE))</f>
        <v>51</v>
      </c>
      <c r="AF252">
        <f ca="1">IF(AND(ISNUMBER($AF$345),$B$294=1),$AF$345,HLOOKUP(INDIRECT(ADDRESS(2,COLUMN())),OFFSET($AT$2,0,0,ROW()-1,40),ROW()-1,FALSE))</f>
        <v>45</v>
      </c>
      <c r="AG252">
        <f ca="1">IF(AND(ISNUMBER($AG$345),$B$294=1),$AG$345,HLOOKUP(INDIRECT(ADDRESS(2,COLUMN())),OFFSET($AT$2,0,0,ROW()-1,40),ROW()-1,FALSE))</f>
        <v>26</v>
      </c>
      <c r="AH252">
        <f ca="1">IF(AND(ISNUMBER($AH$345),$B$294=1),$AH$345,HLOOKUP(INDIRECT(ADDRESS(2,COLUMN())),OFFSET($AT$2,0,0,ROW()-1,40),ROW()-1,FALSE))</f>
        <v>56</v>
      </c>
      <c r="AI252">
        <f ca="1">IF(AND(ISNUMBER($AI$345),$B$294=1),$AI$345,HLOOKUP(INDIRECT(ADDRESS(2,COLUMN())),OFFSET($AT$2,0,0,ROW()-1,40),ROW()-1,FALSE))</f>
        <v>93</v>
      </c>
      <c r="AJ252">
        <f ca="1">IF(AND(ISNUMBER($AJ$345),$B$294=1),$AJ$345,HLOOKUP(INDIRECT(ADDRESS(2,COLUMN())),OFFSET($AT$2,0,0,ROW()-1,40),ROW()-1,FALSE))</f>
        <v>30</v>
      </c>
      <c r="AK252">
        <f ca="1">IF(AND(ISNUMBER($AK$345),$B$294=1),$AK$345,HLOOKUP(INDIRECT(ADDRESS(2,COLUMN())),OFFSET($AT$2,0,0,ROW()-1,40),ROW()-1,FALSE))</f>
        <v>44</v>
      </c>
      <c r="AL252">
        <f ca="1">IF(AND(ISNUMBER($AL$345),$B$294=1),$AL$345,HLOOKUP(INDIRECT(ADDRESS(2,COLUMN())),OFFSET($AT$2,0,0,ROW()-1,40),ROW()-1,FALSE))</f>
        <v>35</v>
      </c>
      <c r="AM252">
        <f ca="1">IF(AND(ISNUMBER($AM$345),$B$294=1),$AM$345,HLOOKUP(INDIRECT(ADDRESS(2,COLUMN())),OFFSET($AT$2,0,0,ROW()-1,40),ROW()-1,FALSE))</f>
        <v>20</v>
      </c>
      <c r="AN252">
        <f ca="1">IF(AND(ISNUMBER($AN$345),$B$294=1),$AN$345,HLOOKUP(INDIRECT(ADDRESS(2,COLUMN())),OFFSET($AT$2,0,0,ROW()-1,40),ROW()-1,FALSE))</f>
        <v>42</v>
      </c>
      <c r="AO252">
        <f ca="1">IF(AND(ISNUMBER($AO$345),$B$294=1),$AO$345,HLOOKUP(INDIRECT(ADDRESS(2,COLUMN())),OFFSET($AT$2,0,0,ROW()-1,40),ROW()-1,FALSE))</f>
        <v>36</v>
      </c>
      <c r="AP252">
        <f ca="1">IF(AND(ISNUMBER($AP$345),$B$294=1),$AP$345,HLOOKUP(INDIRECT(ADDRESS(2,COLUMN())),OFFSET($AT$2,0,0,ROW()-1,40),ROW()-1,FALSE))</f>
        <v>53</v>
      </c>
      <c r="AQ252">
        <f ca="1">IF(AND(ISNUMBER($AQ$345),$B$294=1),$AQ$345,HLOOKUP(INDIRECT(ADDRESS(2,COLUMN())),OFFSET($AT$2,0,0,ROW()-1,40),ROW()-1,FALSE))</f>
        <v>19</v>
      </c>
      <c r="AR252">
        <f ca="1">IF(AND(ISNUMBER($AR$345),$B$294=1),$AR$345,HLOOKUP(INDIRECT(ADDRESS(2,COLUMN())),OFFSET($AT$2,0,0,ROW()-1,40),ROW()-1,FALSE))</f>
        <v>56</v>
      </c>
      <c r="AS252">
        <f ca="1">IF(AND(ISNUMBER($AS$345),$B$294=1),$AS$345,HLOOKUP(INDIRECT(ADDRESS(2,COLUMN())),OFFSET($AT$2,0,0,ROW()-1,40),ROW()-1,FALSE))</f>
        <v>57</v>
      </c>
      <c r="AT252">
        <f>50</f>
        <v>50</v>
      </c>
      <c r="AU252">
        <f>52</f>
        <v>52</v>
      </c>
      <c r="AV252">
        <f>25</f>
        <v>25</v>
      </c>
      <c r="AW252">
        <f>53</f>
        <v>53</v>
      </c>
      <c r="AX252">
        <f>52</f>
        <v>52</v>
      </c>
      <c r="AY252">
        <f>61</f>
        <v>61</v>
      </c>
      <c r="AZ252">
        <f>35</f>
        <v>35</v>
      </c>
      <c r="BA252">
        <f>35</f>
        <v>35</v>
      </c>
      <c r="BB252">
        <f>36</f>
        <v>36</v>
      </c>
      <c r="BC252">
        <f>29</f>
        <v>29</v>
      </c>
      <c r="BD252">
        <f>29</f>
        <v>29</v>
      </c>
      <c r="BE252">
        <f>45</f>
        <v>45</v>
      </c>
      <c r="BF252">
        <f>35</f>
        <v>35</v>
      </c>
      <c r="BG252">
        <f>33</f>
        <v>33</v>
      </c>
      <c r="BH252">
        <f>33</f>
        <v>33</v>
      </c>
      <c r="BI252">
        <f>29</f>
        <v>29</v>
      </c>
      <c r="BJ252">
        <f>43</f>
        <v>43</v>
      </c>
      <c r="BK252">
        <f>27</f>
        <v>27</v>
      </c>
      <c r="BL252">
        <f>46</f>
        <v>46</v>
      </c>
      <c r="BM252">
        <f>28</f>
        <v>28</v>
      </c>
      <c r="BN252">
        <f>37</f>
        <v>37</v>
      </c>
      <c r="BO252">
        <f>32</f>
        <v>32</v>
      </c>
      <c r="BP252">
        <f>42</f>
        <v>42</v>
      </c>
      <c r="BQ252">
        <f>33</f>
        <v>33</v>
      </c>
      <c r="BR252">
        <f>36</f>
        <v>36</v>
      </c>
      <c r="BS252">
        <f>51</f>
        <v>51</v>
      </c>
      <c r="BT252">
        <f>45</f>
        <v>45</v>
      </c>
      <c r="BU252">
        <f>26</f>
        <v>26</v>
      </c>
      <c r="BV252">
        <f>56</f>
        <v>56</v>
      </c>
      <c r="BW252">
        <f>93</f>
        <v>93</v>
      </c>
      <c r="BX252">
        <f>30</f>
        <v>30</v>
      </c>
      <c r="BY252">
        <f>44</f>
        <v>44</v>
      </c>
      <c r="BZ252">
        <f>35</f>
        <v>35</v>
      </c>
      <c r="CA252">
        <f>20</f>
        <v>20</v>
      </c>
      <c r="CB252">
        <f>42</f>
        <v>42</v>
      </c>
      <c r="CC252">
        <f>36</f>
        <v>36</v>
      </c>
      <c r="CD252">
        <f>53</f>
        <v>53</v>
      </c>
      <c r="CE252">
        <f>19</f>
        <v>19</v>
      </c>
      <c r="CF252">
        <f>56</f>
        <v>56</v>
      </c>
      <c r="CG252">
        <f>57</f>
        <v>57</v>
      </c>
    </row>
    <row r="253" spans="1:85" x14ac:dyDescent="0.25">
      <c r="A253" t="str">
        <f>"    PACCAR - Peterbilt"</f>
        <v xml:space="preserve">    PACCAR - Peterbilt</v>
      </c>
      <c r="B253" t="str">
        <f>"PCAR US Equity"</f>
        <v>PCAR US Equity</v>
      </c>
      <c r="C253" t="str">
        <f t="shared" si="23"/>
        <v>X1701</v>
      </c>
      <c r="D253" t="str">
        <f t="shared" si="24"/>
        <v>WARDS_RETAIL_SALES_UNITS</v>
      </c>
      <c r="E253" t="str">
        <f t="shared" si="22"/>
        <v>Dynamic</v>
      </c>
      <c r="F253">
        <f ca="1">IF(AND(ISNUMBER($F$346),$B$294=1),$F$346,HLOOKUP(INDIRECT(ADDRESS(2,COLUMN())),OFFSET($AT$2,0,0,ROW()-1,40),ROW()-1,FALSE))</f>
        <v>40</v>
      </c>
      <c r="G253">
        <f ca="1">IF(AND(ISNUMBER($G$346),$B$294=1),$G$346,HLOOKUP(INDIRECT(ADDRESS(2,COLUMN())),OFFSET($AT$2,0,0,ROW()-1,40),ROW()-1,FALSE))</f>
        <v>39</v>
      </c>
      <c r="H253">
        <f ca="1">IF(AND(ISNUMBER($H$346),$B$294=1),$H$346,HLOOKUP(INDIRECT(ADDRESS(2,COLUMN())),OFFSET($AT$2,0,0,ROW()-1,40),ROW()-1,FALSE))</f>
        <v>42</v>
      </c>
      <c r="I253">
        <f ca="1">IF(AND(ISNUMBER($I$346),$B$294=1),$I$346,HLOOKUP(INDIRECT(ADDRESS(2,COLUMN())),OFFSET($AT$2,0,0,ROW()-1,40),ROW()-1,FALSE))</f>
        <v>37</v>
      </c>
      <c r="J253">
        <f ca="1">IF(AND(ISNUMBER($J$346),$B$294=1),$J$346,HLOOKUP(INDIRECT(ADDRESS(2,COLUMN())),OFFSET($AT$2,0,0,ROW()-1,40),ROW()-1,FALSE))</f>
        <v>36</v>
      </c>
      <c r="K253">
        <f ca="1">IF(AND(ISNUMBER($K$346),$B$294=1),$K$346,HLOOKUP(INDIRECT(ADDRESS(2,COLUMN())),OFFSET($AT$2,0,0,ROW()-1,40),ROW()-1,FALSE))</f>
        <v>74</v>
      </c>
      <c r="L253">
        <f ca="1">IF(AND(ISNUMBER($L$346),$B$294=1),$L$346,HLOOKUP(INDIRECT(ADDRESS(2,COLUMN())),OFFSET($AT$2,0,0,ROW()-1,40),ROW()-1,FALSE))</f>
        <v>45</v>
      </c>
      <c r="M253">
        <f ca="1">IF(AND(ISNUMBER($M$346),$B$294=1),$M$346,HLOOKUP(INDIRECT(ADDRESS(2,COLUMN())),OFFSET($AT$2,0,0,ROW()-1,40),ROW()-1,FALSE))</f>
        <v>32</v>
      </c>
      <c r="N253">
        <f ca="1">IF(AND(ISNUMBER($N$346),$B$294=1),$N$346,HLOOKUP(INDIRECT(ADDRESS(2,COLUMN())),OFFSET($AT$2,0,0,ROW()-1,40),ROW()-1,FALSE))</f>
        <v>41</v>
      </c>
      <c r="O253">
        <f ca="1">IF(AND(ISNUMBER($O$346),$B$294=1),$O$346,HLOOKUP(INDIRECT(ADDRESS(2,COLUMN())),OFFSET($AT$2,0,0,ROW()-1,40),ROW()-1,FALSE))</f>
        <v>22</v>
      </c>
      <c r="P253">
        <f ca="1">IF(AND(ISNUMBER($P$346),$B$294=1),$P$346,HLOOKUP(INDIRECT(ADDRESS(2,COLUMN())),OFFSET($AT$2,0,0,ROW()-1,40),ROW()-1,FALSE))</f>
        <v>21</v>
      </c>
      <c r="Q253">
        <f ca="1">IF(AND(ISNUMBER($Q$346),$B$294=1),$Q$346,HLOOKUP(INDIRECT(ADDRESS(2,COLUMN())),OFFSET($AT$2,0,0,ROW()-1,40),ROW()-1,FALSE))</f>
        <v>40</v>
      </c>
      <c r="R253">
        <f ca="1">IF(AND(ISNUMBER($R$346),$B$294=1),$R$346,HLOOKUP(INDIRECT(ADDRESS(2,COLUMN())),OFFSET($AT$2,0,0,ROW()-1,40),ROW()-1,FALSE))</f>
        <v>13</v>
      </c>
      <c r="S253">
        <f ca="1">IF(AND(ISNUMBER($S$346),$B$294=1),$S$346,HLOOKUP(INDIRECT(ADDRESS(2,COLUMN())),OFFSET($AT$2,0,0,ROW()-1,40),ROW()-1,FALSE))</f>
        <v>18</v>
      </c>
      <c r="T253">
        <f ca="1">IF(AND(ISNUMBER($T$346),$B$294=1),$T$346,HLOOKUP(INDIRECT(ADDRESS(2,COLUMN())),OFFSET($AT$2,0,0,ROW()-1,40),ROW()-1,FALSE))</f>
        <v>40</v>
      </c>
      <c r="U253">
        <f ca="1">IF(AND(ISNUMBER($U$346),$B$294=1),$U$346,HLOOKUP(INDIRECT(ADDRESS(2,COLUMN())),OFFSET($AT$2,0,0,ROW()-1,40),ROW()-1,FALSE))</f>
        <v>13</v>
      </c>
      <c r="V253">
        <f ca="1">IF(AND(ISNUMBER($V$346),$B$294=1),$V$346,HLOOKUP(INDIRECT(ADDRESS(2,COLUMN())),OFFSET($AT$2,0,0,ROW()-1,40),ROW()-1,FALSE))</f>
        <v>44</v>
      </c>
      <c r="W253">
        <f ca="1">IF(AND(ISNUMBER($W$346),$B$294=1),$W$346,HLOOKUP(INDIRECT(ADDRESS(2,COLUMN())),OFFSET($AT$2,0,0,ROW()-1,40),ROW()-1,FALSE))</f>
        <v>41</v>
      </c>
      <c r="X253">
        <f ca="1">IF(AND(ISNUMBER($X$346),$B$294=1),$X$346,HLOOKUP(INDIRECT(ADDRESS(2,COLUMN())),OFFSET($AT$2,0,0,ROW()-1,40),ROW()-1,FALSE))</f>
        <v>41</v>
      </c>
      <c r="Y253">
        <f ca="1">IF(AND(ISNUMBER($Y$346),$B$294=1),$Y$346,HLOOKUP(INDIRECT(ADDRESS(2,COLUMN())),OFFSET($AT$2,0,0,ROW()-1,40),ROW()-1,FALSE))</f>
        <v>42</v>
      </c>
      <c r="Z253">
        <f ca="1">IF(AND(ISNUMBER($Z$346),$B$294=1),$Z$346,HLOOKUP(INDIRECT(ADDRESS(2,COLUMN())),OFFSET($AT$2,0,0,ROW()-1,40),ROW()-1,FALSE))</f>
        <v>49</v>
      </c>
      <c r="AA253">
        <f ca="1">IF(AND(ISNUMBER($AA$346),$B$294=1),$AA$346,HLOOKUP(INDIRECT(ADDRESS(2,COLUMN())),OFFSET($AT$2,0,0,ROW()-1,40),ROW()-1,FALSE))</f>
        <v>23</v>
      </c>
      <c r="AB253">
        <f ca="1">IF(AND(ISNUMBER($AB$346),$B$294=1),$AB$346,HLOOKUP(INDIRECT(ADDRESS(2,COLUMN())),OFFSET($AT$2,0,0,ROW()-1,40),ROW()-1,FALSE))</f>
        <v>45</v>
      </c>
      <c r="AC253">
        <f ca="1">IF(AND(ISNUMBER($AC$346),$B$294=1),$AC$346,HLOOKUP(INDIRECT(ADDRESS(2,COLUMN())),OFFSET($AT$2,0,0,ROW()-1,40),ROW()-1,FALSE))</f>
        <v>34</v>
      </c>
      <c r="AD253">
        <f ca="1">IF(AND(ISNUMBER($AD$346),$B$294=1),$AD$346,HLOOKUP(INDIRECT(ADDRESS(2,COLUMN())),OFFSET($AT$2,0,0,ROW()-1,40),ROW()-1,FALSE))</f>
        <v>26</v>
      </c>
      <c r="AE253">
        <f ca="1">IF(AND(ISNUMBER($AE$346),$B$294=1),$AE$346,HLOOKUP(INDIRECT(ADDRESS(2,COLUMN())),OFFSET($AT$2,0,0,ROW()-1,40),ROW()-1,FALSE))</f>
        <v>25</v>
      </c>
      <c r="AF253">
        <f ca="1">IF(AND(ISNUMBER($AF$346),$B$294=1),$AF$346,HLOOKUP(INDIRECT(ADDRESS(2,COLUMN())),OFFSET($AT$2,0,0,ROW()-1,40),ROW()-1,FALSE))</f>
        <v>49</v>
      </c>
      <c r="AG253">
        <f ca="1">IF(AND(ISNUMBER($AG$346),$B$294=1),$AG$346,HLOOKUP(INDIRECT(ADDRESS(2,COLUMN())),OFFSET($AT$2,0,0,ROW()-1,40),ROW()-1,FALSE))</f>
        <v>41</v>
      </c>
      <c r="AH253">
        <f ca="1">IF(AND(ISNUMBER($AH$346),$B$294=1),$AH$346,HLOOKUP(INDIRECT(ADDRESS(2,COLUMN())),OFFSET($AT$2,0,0,ROW()-1,40),ROW()-1,FALSE))</f>
        <v>47</v>
      </c>
      <c r="AI253">
        <f ca="1">IF(AND(ISNUMBER($AI$346),$B$294=1),$AI$346,HLOOKUP(INDIRECT(ADDRESS(2,COLUMN())),OFFSET($AT$2,0,0,ROW()-1,40),ROW()-1,FALSE))</f>
        <v>84</v>
      </c>
      <c r="AJ253">
        <f ca="1">IF(AND(ISNUMBER($AJ$346),$B$294=1),$AJ$346,HLOOKUP(INDIRECT(ADDRESS(2,COLUMN())),OFFSET($AT$2,0,0,ROW()-1,40),ROW()-1,FALSE))</f>
        <v>93</v>
      </c>
      <c r="AK253">
        <f ca="1">IF(AND(ISNUMBER($AK$346),$B$294=1),$AK$346,HLOOKUP(INDIRECT(ADDRESS(2,COLUMN())),OFFSET($AT$2,0,0,ROW()-1,40),ROW()-1,FALSE))</f>
        <v>54</v>
      </c>
      <c r="AL253">
        <f ca="1">IF(AND(ISNUMBER($AL$346),$B$294=1),$AL$346,HLOOKUP(INDIRECT(ADDRESS(2,COLUMN())),OFFSET($AT$2,0,0,ROW()-1,40),ROW()-1,FALSE))</f>
        <v>41</v>
      </c>
      <c r="AM253">
        <f ca="1">IF(AND(ISNUMBER($AM$346),$B$294=1),$AM$346,HLOOKUP(INDIRECT(ADDRESS(2,COLUMN())),OFFSET($AT$2,0,0,ROW()-1,40),ROW()-1,FALSE))</f>
        <v>33</v>
      </c>
      <c r="AN253">
        <f ca="1">IF(AND(ISNUMBER($AN$346),$B$294=1),$AN$346,HLOOKUP(INDIRECT(ADDRESS(2,COLUMN())),OFFSET($AT$2,0,0,ROW()-1,40),ROW()-1,FALSE))</f>
        <v>64</v>
      </c>
      <c r="AO253">
        <f ca="1">IF(AND(ISNUMBER($AO$346),$B$294=1),$AO$346,HLOOKUP(INDIRECT(ADDRESS(2,COLUMN())),OFFSET($AT$2,0,0,ROW()-1,40),ROW()-1,FALSE))</f>
        <v>61</v>
      </c>
      <c r="AP253">
        <f ca="1">IF(AND(ISNUMBER($AP$346),$B$294=1),$AP$346,HLOOKUP(INDIRECT(ADDRESS(2,COLUMN())),OFFSET($AT$2,0,0,ROW()-1,40),ROW()-1,FALSE))</f>
        <v>45</v>
      </c>
      <c r="AQ253">
        <f ca="1">IF(AND(ISNUMBER($AQ$346),$B$294=1),$AQ$346,HLOOKUP(INDIRECT(ADDRESS(2,COLUMN())),OFFSET($AT$2,0,0,ROW()-1,40),ROW()-1,FALSE))</f>
        <v>47</v>
      </c>
      <c r="AR253">
        <f ca="1">IF(AND(ISNUMBER($AR$346),$B$294=1),$AR$346,HLOOKUP(INDIRECT(ADDRESS(2,COLUMN())),OFFSET($AT$2,0,0,ROW()-1,40),ROW()-1,FALSE))</f>
        <v>38</v>
      </c>
      <c r="AS253">
        <f ca="1">IF(AND(ISNUMBER($AS$346),$B$294=1),$AS$346,HLOOKUP(INDIRECT(ADDRESS(2,COLUMN())),OFFSET($AT$2,0,0,ROW()-1,40),ROW()-1,FALSE))</f>
        <v>58</v>
      </c>
      <c r="AT253">
        <f>40</f>
        <v>40</v>
      </c>
      <c r="AU253">
        <f>39</f>
        <v>39</v>
      </c>
      <c r="AV253">
        <f>42</f>
        <v>42</v>
      </c>
      <c r="AW253">
        <f>37</f>
        <v>37</v>
      </c>
      <c r="AX253">
        <f>36</f>
        <v>36</v>
      </c>
      <c r="AY253">
        <f>74</f>
        <v>74</v>
      </c>
      <c r="AZ253">
        <f>45</f>
        <v>45</v>
      </c>
      <c r="BA253">
        <f>32</f>
        <v>32</v>
      </c>
      <c r="BB253">
        <f>41</f>
        <v>41</v>
      </c>
      <c r="BC253">
        <f>22</f>
        <v>22</v>
      </c>
      <c r="BD253">
        <f>21</f>
        <v>21</v>
      </c>
      <c r="BE253">
        <f>40</f>
        <v>40</v>
      </c>
      <c r="BF253">
        <f>13</f>
        <v>13</v>
      </c>
      <c r="BG253">
        <f>18</f>
        <v>18</v>
      </c>
      <c r="BH253">
        <f>40</f>
        <v>40</v>
      </c>
      <c r="BI253">
        <f>13</f>
        <v>13</v>
      </c>
      <c r="BJ253">
        <f>44</f>
        <v>44</v>
      </c>
      <c r="BK253">
        <f>41</f>
        <v>41</v>
      </c>
      <c r="BL253">
        <f>41</f>
        <v>41</v>
      </c>
      <c r="BM253">
        <f>42</f>
        <v>42</v>
      </c>
      <c r="BN253">
        <f>49</f>
        <v>49</v>
      </c>
      <c r="BO253">
        <f>23</f>
        <v>23</v>
      </c>
      <c r="BP253">
        <f>45</f>
        <v>45</v>
      </c>
      <c r="BQ253">
        <f>34</f>
        <v>34</v>
      </c>
      <c r="BR253">
        <f>26</f>
        <v>26</v>
      </c>
      <c r="BS253">
        <f>25</f>
        <v>25</v>
      </c>
      <c r="BT253">
        <f>49</f>
        <v>49</v>
      </c>
      <c r="BU253">
        <f>41</f>
        <v>41</v>
      </c>
      <c r="BV253">
        <f>47</f>
        <v>47</v>
      </c>
      <c r="BW253">
        <f>84</f>
        <v>84</v>
      </c>
      <c r="BX253">
        <f>93</f>
        <v>93</v>
      </c>
      <c r="BY253">
        <f>54</f>
        <v>54</v>
      </c>
      <c r="BZ253">
        <f>41</f>
        <v>41</v>
      </c>
      <c r="CA253">
        <f>33</f>
        <v>33</v>
      </c>
      <c r="CB253">
        <f>64</f>
        <v>64</v>
      </c>
      <c r="CC253">
        <f>61</f>
        <v>61</v>
      </c>
      <c r="CD253">
        <f>45</f>
        <v>45</v>
      </c>
      <c r="CE253">
        <f>47</f>
        <v>47</v>
      </c>
      <c r="CF253">
        <f>38</f>
        <v>38</v>
      </c>
      <c r="CG253">
        <f>58</f>
        <v>58</v>
      </c>
    </row>
    <row r="254" spans="1:85" x14ac:dyDescent="0.25">
      <c r="A254" t="str">
        <f>"    Daimler - Freightliner"</f>
        <v xml:space="preserve">    Daimler - Freightliner</v>
      </c>
      <c r="B254" t="str">
        <f>"DAI GR Equity"</f>
        <v>DAI GR Equity</v>
      </c>
      <c r="C254" t="str">
        <f t="shared" si="23"/>
        <v>X1701</v>
      </c>
      <c r="D254" t="str">
        <f t="shared" si="24"/>
        <v>WARDS_RETAIL_SALES_UNITS</v>
      </c>
      <c r="E254" t="str">
        <f t="shared" si="22"/>
        <v>Dynamic</v>
      </c>
      <c r="F254">
        <f ca="1">IF(AND(ISNUMBER($F$347),$B$294=1),$F$347,HLOOKUP(INDIRECT(ADDRESS(2,COLUMN())),OFFSET($AT$2,0,0,ROW()-1,40),ROW()-1,FALSE))</f>
        <v>67</v>
      </c>
      <c r="G254">
        <f ca="1">IF(AND(ISNUMBER($G$347),$B$294=1),$G$347,HLOOKUP(INDIRECT(ADDRESS(2,COLUMN())),OFFSET($AT$2,0,0,ROW()-1,40),ROW()-1,FALSE))</f>
        <v>101</v>
      </c>
      <c r="H254">
        <f ca="1">IF(AND(ISNUMBER($H$347),$B$294=1),$H$347,HLOOKUP(INDIRECT(ADDRESS(2,COLUMN())),OFFSET($AT$2,0,0,ROW()-1,40),ROW()-1,FALSE))</f>
        <v>47</v>
      </c>
      <c r="I254">
        <f ca="1">IF(AND(ISNUMBER($I$347),$B$294=1),$I$347,HLOOKUP(INDIRECT(ADDRESS(2,COLUMN())),OFFSET($AT$2,0,0,ROW()-1,40),ROW()-1,FALSE))</f>
        <v>103</v>
      </c>
      <c r="J254">
        <f ca="1">IF(AND(ISNUMBER($J$347),$B$294=1),$J$347,HLOOKUP(INDIRECT(ADDRESS(2,COLUMN())),OFFSET($AT$2,0,0,ROW()-1,40),ROW()-1,FALSE))</f>
        <v>78</v>
      </c>
      <c r="K254">
        <f ca="1">IF(AND(ISNUMBER($K$347),$B$294=1),$K$347,HLOOKUP(INDIRECT(ADDRESS(2,COLUMN())),OFFSET($AT$2,0,0,ROW()-1,40),ROW()-1,FALSE))</f>
        <v>71</v>
      </c>
      <c r="L254">
        <f ca="1">IF(AND(ISNUMBER($L$347),$B$294=1),$L$347,HLOOKUP(INDIRECT(ADDRESS(2,COLUMN())),OFFSET($AT$2,0,0,ROW()-1,40),ROW()-1,FALSE))</f>
        <v>179</v>
      </c>
      <c r="M254">
        <f ca="1">IF(AND(ISNUMBER($M$347),$B$294=1),$M$347,HLOOKUP(INDIRECT(ADDRESS(2,COLUMN())),OFFSET($AT$2,0,0,ROW()-1,40),ROW()-1,FALSE))</f>
        <v>70</v>
      </c>
      <c r="N254">
        <f ca="1">IF(AND(ISNUMBER($N$347),$B$294=1),$N$347,HLOOKUP(INDIRECT(ADDRESS(2,COLUMN())),OFFSET($AT$2,0,0,ROW()-1,40),ROW()-1,FALSE))</f>
        <v>60</v>
      </c>
      <c r="O254">
        <f ca="1">IF(AND(ISNUMBER($O$347),$B$294=1),$O$347,HLOOKUP(INDIRECT(ADDRESS(2,COLUMN())),OFFSET($AT$2,0,0,ROW()-1,40),ROW()-1,FALSE))</f>
        <v>66</v>
      </c>
      <c r="P254">
        <f ca="1">IF(AND(ISNUMBER($P$347),$B$294=1),$P$347,HLOOKUP(INDIRECT(ADDRESS(2,COLUMN())),OFFSET($AT$2,0,0,ROW()-1,40),ROW()-1,FALSE))</f>
        <v>51</v>
      </c>
      <c r="Q254">
        <f ca="1">IF(AND(ISNUMBER($Q$347),$B$294=1),$Q$347,HLOOKUP(INDIRECT(ADDRESS(2,COLUMN())),OFFSET($AT$2,0,0,ROW()-1,40),ROW()-1,FALSE))</f>
        <v>85</v>
      </c>
      <c r="R254">
        <f ca="1">IF(AND(ISNUMBER($R$347),$B$294=1),$R$347,HLOOKUP(INDIRECT(ADDRESS(2,COLUMN())),OFFSET($AT$2,0,0,ROW()-1,40),ROW()-1,FALSE))</f>
        <v>51</v>
      </c>
      <c r="S254">
        <f ca="1">IF(AND(ISNUMBER($S$347),$B$294=1),$S$347,HLOOKUP(INDIRECT(ADDRESS(2,COLUMN())),OFFSET($AT$2,0,0,ROW()-1,40),ROW()-1,FALSE))</f>
        <v>72</v>
      </c>
      <c r="T254">
        <f ca="1">IF(AND(ISNUMBER($T$347),$B$294=1),$T$347,HLOOKUP(INDIRECT(ADDRESS(2,COLUMN())),OFFSET($AT$2,0,0,ROW()-1,40),ROW()-1,FALSE))</f>
        <v>75</v>
      </c>
      <c r="U254">
        <f ca="1">IF(AND(ISNUMBER($U$347),$B$294=1),$U$347,HLOOKUP(INDIRECT(ADDRESS(2,COLUMN())),OFFSET($AT$2,0,0,ROW()-1,40),ROW()-1,FALSE))</f>
        <v>61</v>
      </c>
      <c r="V254">
        <f ca="1">IF(AND(ISNUMBER($V$347),$B$294=1),$V$347,HLOOKUP(INDIRECT(ADDRESS(2,COLUMN())),OFFSET($AT$2,0,0,ROW()-1,40),ROW()-1,FALSE))</f>
        <v>77</v>
      </c>
      <c r="W254">
        <f ca="1">IF(AND(ISNUMBER($W$347),$B$294=1),$W$347,HLOOKUP(INDIRECT(ADDRESS(2,COLUMN())),OFFSET($AT$2,0,0,ROW()-1,40),ROW()-1,FALSE))</f>
        <v>89</v>
      </c>
      <c r="X254">
        <f ca="1">IF(AND(ISNUMBER($X$347),$B$294=1),$X$347,HLOOKUP(INDIRECT(ADDRESS(2,COLUMN())),OFFSET($AT$2,0,0,ROW()-1,40),ROW()-1,FALSE))</f>
        <v>78</v>
      </c>
      <c r="Y254">
        <f ca="1">IF(AND(ISNUMBER($Y$347),$B$294=1),$Y$347,HLOOKUP(INDIRECT(ADDRESS(2,COLUMN())),OFFSET($AT$2,0,0,ROW()-1,40),ROW()-1,FALSE))</f>
        <v>84</v>
      </c>
      <c r="Z254">
        <f ca="1">IF(AND(ISNUMBER($Z$347),$B$294=1),$Z$347,HLOOKUP(INDIRECT(ADDRESS(2,COLUMN())),OFFSET($AT$2,0,0,ROW()-1,40),ROW()-1,FALSE))</f>
        <v>95</v>
      </c>
      <c r="AA254">
        <f ca="1">IF(AND(ISNUMBER($AA$347),$B$294=1),$AA$347,HLOOKUP(INDIRECT(ADDRESS(2,COLUMN())),OFFSET($AT$2,0,0,ROW()-1,40),ROW()-1,FALSE))</f>
        <v>84</v>
      </c>
      <c r="AB254">
        <f ca="1">IF(AND(ISNUMBER($AB$347),$B$294=1),$AB$347,HLOOKUP(INDIRECT(ADDRESS(2,COLUMN())),OFFSET($AT$2,0,0,ROW()-1,40),ROW()-1,FALSE))</f>
        <v>88</v>
      </c>
      <c r="AC254">
        <f ca="1">IF(AND(ISNUMBER($AC$347),$B$294=1),$AC$347,HLOOKUP(INDIRECT(ADDRESS(2,COLUMN())),OFFSET($AT$2,0,0,ROW()-1,40),ROW()-1,FALSE))</f>
        <v>92</v>
      </c>
      <c r="AD254">
        <f ca="1">IF(AND(ISNUMBER($AD$347),$B$294=1),$AD$347,HLOOKUP(INDIRECT(ADDRESS(2,COLUMN())),OFFSET($AT$2,0,0,ROW()-1,40),ROW()-1,FALSE))</f>
        <v>120</v>
      </c>
      <c r="AE254">
        <f ca="1">IF(AND(ISNUMBER($AE$347),$B$294=1),$AE$347,HLOOKUP(INDIRECT(ADDRESS(2,COLUMN())),OFFSET($AT$2,0,0,ROW()-1,40),ROW()-1,FALSE))</f>
        <v>113</v>
      </c>
      <c r="AF254">
        <f ca="1">IF(AND(ISNUMBER($AF$347),$B$294=1),$AF$347,HLOOKUP(INDIRECT(ADDRESS(2,COLUMN())),OFFSET($AT$2,0,0,ROW()-1,40),ROW()-1,FALSE))</f>
        <v>82</v>
      </c>
      <c r="AG254">
        <f ca="1">IF(AND(ISNUMBER($AG$347),$B$294=1),$AG$347,HLOOKUP(INDIRECT(ADDRESS(2,COLUMN())),OFFSET($AT$2,0,0,ROW()-1,40),ROW()-1,FALSE))</f>
        <v>96</v>
      </c>
      <c r="AH254">
        <f ca="1">IF(AND(ISNUMBER($AH$347),$B$294=1),$AH$347,HLOOKUP(INDIRECT(ADDRESS(2,COLUMN())),OFFSET($AT$2,0,0,ROW()-1,40),ROW()-1,FALSE))</f>
        <v>77</v>
      </c>
      <c r="AI254">
        <f ca="1">IF(AND(ISNUMBER($AI$347),$B$294=1),$AI$347,HLOOKUP(INDIRECT(ADDRESS(2,COLUMN())),OFFSET($AT$2,0,0,ROW()-1,40),ROW()-1,FALSE))</f>
        <v>155</v>
      </c>
      <c r="AJ254">
        <f ca="1">IF(AND(ISNUMBER($AJ$347),$B$294=1),$AJ$347,HLOOKUP(INDIRECT(ADDRESS(2,COLUMN())),OFFSET($AT$2,0,0,ROW()-1,40),ROW()-1,FALSE))</f>
        <v>81</v>
      </c>
      <c r="AK254">
        <f ca="1">IF(AND(ISNUMBER($AK$347),$B$294=1),$AK$347,HLOOKUP(INDIRECT(ADDRESS(2,COLUMN())),OFFSET($AT$2,0,0,ROW()-1,40),ROW()-1,FALSE))</f>
        <v>158</v>
      </c>
      <c r="AL254">
        <f ca="1">IF(AND(ISNUMBER($AL$347),$B$294=1),$AL$347,HLOOKUP(INDIRECT(ADDRESS(2,COLUMN())),OFFSET($AT$2,0,0,ROW()-1,40),ROW()-1,FALSE))</f>
        <v>254</v>
      </c>
      <c r="AM254">
        <f ca="1">IF(AND(ISNUMBER($AM$347),$B$294=1),$AM$347,HLOOKUP(INDIRECT(ADDRESS(2,COLUMN())),OFFSET($AT$2,0,0,ROW()-1,40),ROW()-1,FALSE))</f>
        <v>53</v>
      </c>
      <c r="AN254">
        <f ca="1">IF(AND(ISNUMBER($AN$347),$B$294=1),$AN$347,HLOOKUP(INDIRECT(ADDRESS(2,COLUMN())),OFFSET($AT$2,0,0,ROW()-1,40),ROW()-1,FALSE))</f>
        <v>121</v>
      </c>
      <c r="AO254">
        <f ca="1">IF(AND(ISNUMBER($AO$347),$B$294=1),$AO$347,HLOOKUP(INDIRECT(ADDRESS(2,COLUMN())),OFFSET($AT$2,0,0,ROW()-1,40),ROW()-1,FALSE))</f>
        <v>88</v>
      </c>
      <c r="AP254">
        <f ca="1">IF(AND(ISNUMBER($AP$347),$B$294=1),$AP$347,HLOOKUP(INDIRECT(ADDRESS(2,COLUMN())),OFFSET($AT$2,0,0,ROW()-1,40),ROW()-1,FALSE))</f>
        <v>106</v>
      </c>
      <c r="AQ254">
        <f ca="1">IF(AND(ISNUMBER($AQ$347),$B$294=1),$AQ$347,HLOOKUP(INDIRECT(ADDRESS(2,COLUMN())),OFFSET($AT$2,0,0,ROW()-1,40),ROW()-1,FALSE))</f>
        <v>96</v>
      </c>
      <c r="AR254">
        <f ca="1">IF(AND(ISNUMBER($AR$347),$B$294=1),$AR$347,HLOOKUP(INDIRECT(ADDRESS(2,COLUMN())),OFFSET($AT$2,0,0,ROW()-1,40),ROW()-1,FALSE))</f>
        <v>95</v>
      </c>
      <c r="AS254">
        <f ca="1">IF(AND(ISNUMBER($AS$347),$B$294=1),$AS$347,HLOOKUP(INDIRECT(ADDRESS(2,COLUMN())),OFFSET($AT$2,0,0,ROW()-1,40),ROW()-1,FALSE))</f>
        <v>75</v>
      </c>
      <c r="AT254">
        <f>67</f>
        <v>67</v>
      </c>
      <c r="AU254">
        <f>101</f>
        <v>101</v>
      </c>
      <c r="AV254">
        <f>47</f>
        <v>47</v>
      </c>
      <c r="AW254">
        <f>103</f>
        <v>103</v>
      </c>
      <c r="AX254">
        <f>78</f>
        <v>78</v>
      </c>
      <c r="AY254">
        <f>71</f>
        <v>71</v>
      </c>
      <c r="AZ254">
        <f>179</f>
        <v>179</v>
      </c>
      <c r="BA254">
        <f>70</f>
        <v>70</v>
      </c>
      <c r="BB254">
        <f>60</f>
        <v>60</v>
      </c>
      <c r="BC254">
        <f>66</f>
        <v>66</v>
      </c>
      <c r="BD254">
        <f>51</f>
        <v>51</v>
      </c>
      <c r="BE254">
        <f>85</f>
        <v>85</v>
      </c>
      <c r="BF254">
        <f>51</f>
        <v>51</v>
      </c>
      <c r="BG254">
        <f>72</f>
        <v>72</v>
      </c>
      <c r="BH254">
        <f>75</f>
        <v>75</v>
      </c>
      <c r="BI254">
        <f>61</f>
        <v>61</v>
      </c>
      <c r="BJ254">
        <f>77</f>
        <v>77</v>
      </c>
      <c r="BK254">
        <f>89</f>
        <v>89</v>
      </c>
      <c r="BL254">
        <f>78</f>
        <v>78</v>
      </c>
      <c r="BM254">
        <f>84</f>
        <v>84</v>
      </c>
      <c r="BN254">
        <f>95</f>
        <v>95</v>
      </c>
      <c r="BO254">
        <f>84</f>
        <v>84</v>
      </c>
      <c r="BP254">
        <f>88</f>
        <v>88</v>
      </c>
      <c r="BQ254">
        <f>92</f>
        <v>92</v>
      </c>
      <c r="BR254">
        <f>120</f>
        <v>120</v>
      </c>
      <c r="BS254">
        <f>113</f>
        <v>113</v>
      </c>
      <c r="BT254">
        <f>82</f>
        <v>82</v>
      </c>
      <c r="BU254">
        <f>96</f>
        <v>96</v>
      </c>
      <c r="BV254">
        <f>77</f>
        <v>77</v>
      </c>
      <c r="BW254">
        <f>155</f>
        <v>155</v>
      </c>
      <c r="BX254">
        <f>81</f>
        <v>81</v>
      </c>
      <c r="BY254">
        <f>158</f>
        <v>158</v>
      </c>
      <c r="BZ254">
        <f>254</f>
        <v>254</v>
      </c>
      <c r="CA254">
        <f>53</f>
        <v>53</v>
      </c>
      <c r="CB254">
        <f>121</f>
        <v>121</v>
      </c>
      <c r="CC254">
        <f>88</f>
        <v>88</v>
      </c>
      <c r="CD254">
        <f>106</f>
        <v>106</v>
      </c>
      <c r="CE254">
        <f>96</f>
        <v>96</v>
      </c>
      <c r="CF254">
        <f>95</f>
        <v>95</v>
      </c>
      <c r="CG254">
        <f>75</f>
        <v>75</v>
      </c>
    </row>
    <row r="255" spans="1:85" x14ac:dyDescent="0.25">
      <c r="A255" t="str">
        <f>"    Daimler - Mitsubishi Fuso"</f>
        <v xml:space="preserve">    Daimler - Mitsubishi Fuso</v>
      </c>
      <c r="B255" t="str">
        <f>"DAI GR Equity"</f>
        <v>DAI GR Equity</v>
      </c>
      <c r="C255" t="str">
        <f t="shared" si="23"/>
        <v>X1701</v>
      </c>
      <c r="D255" t="str">
        <f t="shared" si="24"/>
        <v>WARDS_RETAIL_SALES_UNITS</v>
      </c>
      <c r="E255" t="str">
        <f t="shared" si="22"/>
        <v>Dynamic</v>
      </c>
      <c r="F255" t="str">
        <f ca="1">IF(AND(ISNUMBER($F$348),$B$294=1),$F$348,HLOOKUP(INDIRECT(ADDRESS(2,COLUMN())),OFFSET($AT$2,0,0,ROW()-1,40),ROW()-1,FALSE))</f>
        <v/>
      </c>
      <c r="G255" t="str">
        <f ca="1">IF(AND(ISNUMBER($G$348),$B$294=1),$G$348,HLOOKUP(INDIRECT(ADDRESS(2,COLUMN())),OFFSET($AT$2,0,0,ROW()-1,40),ROW()-1,FALSE))</f>
        <v/>
      </c>
      <c r="H255" t="str">
        <f ca="1">IF(AND(ISNUMBER($H$348),$B$294=1),$H$348,HLOOKUP(INDIRECT(ADDRESS(2,COLUMN())),OFFSET($AT$2,0,0,ROW()-1,40),ROW()-1,FALSE))</f>
        <v/>
      </c>
      <c r="I255" t="str">
        <f ca="1">IF(AND(ISNUMBER($I$348),$B$294=1),$I$348,HLOOKUP(INDIRECT(ADDRESS(2,COLUMN())),OFFSET($AT$2,0,0,ROW()-1,40),ROW()-1,FALSE))</f>
        <v/>
      </c>
      <c r="J255" t="str">
        <f ca="1">IF(AND(ISNUMBER($J$348),$B$294=1),$J$348,HLOOKUP(INDIRECT(ADDRESS(2,COLUMN())),OFFSET($AT$2,0,0,ROW()-1,40),ROW()-1,FALSE))</f>
        <v/>
      </c>
      <c r="K255" t="str">
        <f ca="1">IF(AND(ISNUMBER($K$348),$B$294=1),$K$348,HLOOKUP(INDIRECT(ADDRESS(2,COLUMN())),OFFSET($AT$2,0,0,ROW()-1,40),ROW()-1,FALSE))</f>
        <v/>
      </c>
      <c r="L255" t="str">
        <f ca="1">IF(AND(ISNUMBER($L$348),$B$294=1),$L$348,HLOOKUP(INDIRECT(ADDRESS(2,COLUMN())),OFFSET($AT$2,0,0,ROW()-1,40),ROW()-1,FALSE))</f>
        <v/>
      </c>
      <c r="M255" t="str">
        <f ca="1">IF(AND(ISNUMBER($M$348),$B$294=1),$M$348,HLOOKUP(INDIRECT(ADDRESS(2,COLUMN())),OFFSET($AT$2,0,0,ROW()-1,40),ROW()-1,FALSE))</f>
        <v/>
      </c>
      <c r="N255" t="str">
        <f ca="1">IF(AND(ISNUMBER($N$348),$B$294=1),$N$348,HLOOKUP(INDIRECT(ADDRESS(2,COLUMN())),OFFSET($AT$2,0,0,ROW()-1,40),ROW()-1,FALSE))</f>
        <v/>
      </c>
      <c r="O255" t="str">
        <f ca="1">IF(AND(ISNUMBER($O$348),$B$294=1),$O$348,HLOOKUP(INDIRECT(ADDRESS(2,COLUMN())),OFFSET($AT$2,0,0,ROW()-1,40),ROW()-1,FALSE))</f>
        <v/>
      </c>
      <c r="P255" t="str">
        <f ca="1">IF(AND(ISNUMBER($P$348),$B$294=1),$P$348,HLOOKUP(INDIRECT(ADDRESS(2,COLUMN())),OFFSET($AT$2,0,0,ROW()-1,40),ROW()-1,FALSE))</f>
        <v/>
      </c>
      <c r="Q255" t="str">
        <f ca="1">IF(AND(ISNUMBER($Q$348),$B$294=1),$Q$348,HLOOKUP(INDIRECT(ADDRESS(2,COLUMN())),OFFSET($AT$2,0,0,ROW()-1,40),ROW()-1,FALSE))</f>
        <v/>
      </c>
      <c r="R255" t="str">
        <f ca="1">IF(AND(ISNUMBER($R$348),$B$294=1),$R$348,HLOOKUP(INDIRECT(ADDRESS(2,COLUMN())),OFFSET($AT$2,0,0,ROW()-1,40),ROW()-1,FALSE))</f>
        <v/>
      </c>
      <c r="S255" t="str">
        <f ca="1">IF(AND(ISNUMBER($S$348),$B$294=1),$S$348,HLOOKUP(INDIRECT(ADDRESS(2,COLUMN())),OFFSET($AT$2,0,0,ROW()-1,40),ROW()-1,FALSE))</f>
        <v/>
      </c>
      <c r="T255" t="str">
        <f ca="1">IF(AND(ISNUMBER($T$348),$B$294=1),$T$348,HLOOKUP(INDIRECT(ADDRESS(2,COLUMN())),OFFSET($AT$2,0,0,ROW()-1,40),ROW()-1,FALSE))</f>
        <v/>
      </c>
      <c r="U255" t="str">
        <f ca="1">IF(AND(ISNUMBER($U$348),$B$294=1),$U$348,HLOOKUP(INDIRECT(ADDRESS(2,COLUMN())),OFFSET($AT$2,0,0,ROW()-1,40),ROW()-1,FALSE))</f>
        <v/>
      </c>
      <c r="V255" t="str">
        <f ca="1">IF(AND(ISNUMBER($V$348),$B$294=1),$V$348,HLOOKUP(INDIRECT(ADDRESS(2,COLUMN())),OFFSET($AT$2,0,0,ROW()-1,40),ROW()-1,FALSE))</f>
        <v/>
      </c>
      <c r="W255" t="str">
        <f ca="1">IF(AND(ISNUMBER($W$348),$B$294=1),$W$348,HLOOKUP(INDIRECT(ADDRESS(2,COLUMN())),OFFSET($AT$2,0,0,ROW()-1,40),ROW()-1,FALSE))</f>
        <v/>
      </c>
      <c r="X255" t="str">
        <f ca="1">IF(AND(ISNUMBER($X$348),$B$294=1),$X$348,HLOOKUP(INDIRECT(ADDRESS(2,COLUMN())),OFFSET($AT$2,0,0,ROW()-1,40),ROW()-1,FALSE))</f>
        <v/>
      </c>
      <c r="Y255" t="str">
        <f ca="1">IF(AND(ISNUMBER($Y$348),$B$294=1),$Y$348,HLOOKUP(INDIRECT(ADDRESS(2,COLUMN())),OFFSET($AT$2,0,0,ROW()-1,40),ROW()-1,FALSE))</f>
        <v/>
      </c>
      <c r="Z255" t="str">
        <f ca="1">IF(AND(ISNUMBER($Z$348),$B$294=1),$Z$348,HLOOKUP(INDIRECT(ADDRESS(2,COLUMN())),OFFSET($AT$2,0,0,ROW()-1,40),ROW()-1,FALSE))</f>
        <v/>
      </c>
      <c r="AA255" t="str">
        <f ca="1">IF(AND(ISNUMBER($AA$348),$B$294=1),$AA$348,HLOOKUP(INDIRECT(ADDRESS(2,COLUMN())),OFFSET($AT$2,0,0,ROW()-1,40),ROW()-1,FALSE))</f>
        <v/>
      </c>
      <c r="AB255" t="str">
        <f ca="1">IF(AND(ISNUMBER($AB$348),$B$294=1),$AB$348,HLOOKUP(INDIRECT(ADDRESS(2,COLUMN())),OFFSET($AT$2,0,0,ROW()-1,40),ROW()-1,FALSE))</f>
        <v/>
      </c>
      <c r="AC255" t="str">
        <f ca="1">IF(AND(ISNUMBER($AC$348),$B$294=1),$AC$348,HLOOKUP(INDIRECT(ADDRESS(2,COLUMN())),OFFSET($AT$2,0,0,ROW()-1,40),ROW()-1,FALSE))</f>
        <v/>
      </c>
      <c r="AD255" t="str">
        <f ca="1">IF(AND(ISNUMBER($AD$348),$B$294=1),$AD$348,HLOOKUP(INDIRECT(ADDRESS(2,COLUMN())),OFFSET($AT$2,0,0,ROW()-1,40),ROW()-1,FALSE))</f>
        <v/>
      </c>
      <c r="AE255" t="str">
        <f ca="1">IF(AND(ISNUMBER($AE$348),$B$294=1),$AE$348,HLOOKUP(INDIRECT(ADDRESS(2,COLUMN())),OFFSET($AT$2,0,0,ROW()-1,40),ROW()-1,FALSE))</f>
        <v/>
      </c>
      <c r="AF255" t="str">
        <f ca="1">IF(AND(ISNUMBER($AF$348),$B$294=1),$AF$348,HLOOKUP(INDIRECT(ADDRESS(2,COLUMN())),OFFSET($AT$2,0,0,ROW()-1,40),ROW()-1,FALSE))</f>
        <v/>
      </c>
      <c r="AG255" t="str">
        <f ca="1">IF(AND(ISNUMBER($AG$348),$B$294=1),$AG$348,HLOOKUP(INDIRECT(ADDRESS(2,COLUMN())),OFFSET($AT$2,0,0,ROW()-1,40),ROW()-1,FALSE))</f>
        <v/>
      </c>
      <c r="AH255" t="str">
        <f ca="1">IF(AND(ISNUMBER($AH$348),$B$294=1),$AH$348,HLOOKUP(INDIRECT(ADDRESS(2,COLUMN())),OFFSET($AT$2,0,0,ROW()-1,40),ROW()-1,FALSE))</f>
        <v/>
      </c>
      <c r="AI255" t="str">
        <f ca="1">IF(AND(ISNUMBER($AI$348),$B$294=1),$AI$348,HLOOKUP(INDIRECT(ADDRESS(2,COLUMN())),OFFSET($AT$2,0,0,ROW()-1,40),ROW()-1,FALSE))</f>
        <v/>
      </c>
      <c r="AJ255" t="str">
        <f ca="1">IF(AND(ISNUMBER($AJ$348),$B$294=1),$AJ$348,HLOOKUP(INDIRECT(ADDRESS(2,COLUMN())),OFFSET($AT$2,0,0,ROW()-1,40),ROW()-1,FALSE))</f>
        <v/>
      </c>
      <c r="AK255" t="str">
        <f ca="1">IF(AND(ISNUMBER($AK$348),$B$294=1),$AK$348,HLOOKUP(INDIRECT(ADDRESS(2,COLUMN())),OFFSET($AT$2,0,0,ROW()-1,40),ROW()-1,FALSE))</f>
        <v/>
      </c>
      <c r="AL255" t="str">
        <f ca="1">IF(AND(ISNUMBER($AL$348),$B$294=1),$AL$348,HLOOKUP(INDIRECT(ADDRESS(2,COLUMN())),OFFSET($AT$2,0,0,ROW()-1,40),ROW()-1,FALSE))</f>
        <v/>
      </c>
      <c r="AM255" t="str">
        <f ca="1">IF(AND(ISNUMBER($AM$348),$B$294=1),$AM$348,HLOOKUP(INDIRECT(ADDRESS(2,COLUMN())),OFFSET($AT$2,0,0,ROW()-1,40),ROW()-1,FALSE))</f>
        <v/>
      </c>
      <c r="AN255" t="str">
        <f ca="1">IF(AND(ISNUMBER($AN$348),$B$294=1),$AN$348,HLOOKUP(INDIRECT(ADDRESS(2,COLUMN())),OFFSET($AT$2,0,0,ROW()-1,40),ROW()-1,FALSE))</f>
        <v/>
      </c>
      <c r="AO255" t="str">
        <f ca="1">IF(AND(ISNUMBER($AO$348),$B$294=1),$AO$348,HLOOKUP(INDIRECT(ADDRESS(2,COLUMN())),OFFSET($AT$2,0,0,ROW()-1,40),ROW()-1,FALSE))</f>
        <v/>
      </c>
      <c r="AP255" t="str">
        <f ca="1">IF(AND(ISNUMBER($AP$348),$B$294=1),$AP$348,HLOOKUP(INDIRECT(ADDRESS(2,COLUMN())),OFFSET($AT$2,0,0,ROW()-1,40),ROW()-1,FALSE))</f>
        <v/>
      </c>
      <c r="AQ255" t="str">
        <f ca="1">IF(AND(ISNUMBER($AQ$348),$B$294=1),$AQ$348,HLOOKUP(INDIRECT(ADDRESS(2,COLUMN())),OFFSET($AT$2,0,0,ROW()-1,40),ROW()-1,FALSE))</f>
        <v/>
      </c>
      <c r="AR255" t="str">
        <f ca="1">IF(AND(ISNUMBER($AR$348),$B$294=1),$AR$348,HLOOKUP(INDIRECT(ADDRESS(2,COLUMN())),OFFSET($AT$2,0,0,ROW()-1,40),ROW()-1,FALSE))</f>
        <v/>
      </c>
      <c r="AS255" t="str">
        <f ca="1">IF(AND(ISNUMBER($AS$348),$B$294=1),$AS$348,HLOOKUP(INDIRECT(ADDRESS(2,COLUMN())),OFFSET($AT$2,0,0,ROW()-1,40),ROW()-1,FALSE))</f>
        <v/>
      </c>
      <c r="AT255" t="str">
        <f>""</f>
        <v/>
      </c>
      <c r="AU255" t="str">
        <f>""</f>
        <v/>
      </c>
      <c r="AV255" t="str">
        <f>""</f>
        <v/>
      </c>
      <c r="AW255" t="str">
        <f>""</f>
        <v/>
      </c>
      <c r="AX255" t="str">
        <f>""</f>
        <v/>
      </c>
      <c r="AY255" t="str">
        <f>""</f>
        <v/>
      </c>
      <c r="AZ255" t="str">
        <f>""</f>
        <v/>
      </c>
      <c r="BA255" t="str">
        <f>""</f>
        <v/>
      </c>
      <c r="BB255" t="str">
        <f>""</f>
        <v/>
      </c>
      <c r="BC255" t="str">
        <f>""</f>
        <v/>
      </c>
      <c r="BD255" t="str">
        <f>""</f>
        <v/>
      </c>
      <c r="BE255" t="str">
        <f>""</f>
        <v/>
      </c>
      <c r="BF255" t="str">
        <f>""</f>
        <v/>
      </c>
      <c r="BG255" t="str">
        <f>""</f>
        <v/>
      </c>
      <c r="BH255" t="str">
        <f>""</f>
        <v/>
      </c>
      <c r="BI255" t="str">
        <f>""</f>
        <v/>
      </c>
      <c r="BJ255" t="str">
        <f>""</f>
        <v/>
      </c>
      <c r="BK255" t="str">
        <f>""</f>
        <v/>
      </c>
      <c r="BL255" t="str">
        <f>""</f>
        <v/>
      </c>
      <c r="BM255" t="str">
        <f>""</f>
        <v/>
      </c>
      <c r="BN255" t="str">
        <f>""</f>
        <v/>
      </c>
      <c r="BO255" t="str">
        <f>""</f>
        <v/>
      </c>
      <c r="BP255" t="str">
        <f>""</f>
        <v/>
      </c>
      <c r="BQ255" t="str">
        <f>""</f>
        <v/>
      </c>
      <c r="BR255" t="str">
        <f>""</f>
        <v/>
      </c>
      <c r="BS255" t="str">
        <f>""</f>
        <v/>
      </c>
      <c r="BT255" t="str">
        <f>""</f>
        <v/>
      </c>
      <c r="BU255" t="str">
        <f>""</f>
        <v/>
      </c>
      <c r="BV255" t="str">
        <f>""</f>
        <v/>
      </c>
      <c r="BW255" t="str">
        <f>""</f>
        <v/>
      </c>
      <c r="BX255" t="str">
        <f>""</f>
        <v/>
      </c>
      <c r="BY255" t="str">
        <f>""</f>
        <v/>
      </c>
      <c r="BZ255" t="str">
        <f>""</f>
        <v/>
      </c>
      <c r="CA255" t="str">
        <f>""</f>
        <v/>
      </c>
      <c r="CB255" t="str">
        <f>""</f>
        <v/>
      </c>
      <c r="CC255" t="str">
        <f>""</f>
        <v/>
      </c>
      <c r="CD255" t="str">
        <f>""</f>
        <v/>
      </c>
      <c r="CE255" t="str">
        <f>""</f>
        <v/>
      </c>
      <c r="CF255" t="str">
        <f>""</f>
        <v/>
      </c>
      <c r="CG255" t="str">
        <f>""</f>
        <v/>
      </c>
    </row>
    <row r="256" spans="1:85" x14ac:dyDescent="0.25">
      <c r="A256" t="str">
        <f>"    Daimler - Sterling"</f>
        <v xml:space="preserve">    Daimler - Sterling</v>
      </c>
      <c r="B256" t="str">
        <f>"DAI GR Equity"</f>
        <v>DAI GR Equity</v>
      </c>
      <c r="C256" t="str">
        <f t="shared" si="23"/>
        <v>X1701</v>
      </c>
      <c r="D256" t="str">
        <f t="shared" si="24"/>
        <v>WARDS_RETAIL_SALES_UNITS</v>
      </c>
      <c r="E256" t="str">
        <f t="shared" si="22"/>
        <v>Dynamic</v>
      </c>
      <c r="F256" t="str">
        <f ca="1">IF(AND(ISNUMBER($F$349),$B$294=1),$F$349,HLOOKUP(INDIRECT(ADDRESS(2,COLUMN())),OFFSET($AT$2,0,0,ROW()-1,40),ROW()-1,FALSE))</f>
        <v/>
      </c>
      <c r="G256" t="str">
        <f ca="1">IF(AND(ISNUMBER($G$349),$B$294=1),$G$349,HLOOKUP(INDIRECT(ADDRESS(2,COLUMN())),OFFSET($AT$2,0,0,ROW()-1,40),ROW()-1,FALSE))</f>
        <v/>
      </c>
      <c r="H256" t="str">
        <f ca="1">IF(AND(ISNUMBER($H$349),$B$294=1),$H$349,HLOOKUP(INDIRECT(ADDRESS(2,COLUMN())),OFFSET($AT$2,0,0,ROW()-1,40),ROW()-1,FALSE))</f>
        <v/>
      </c>
      <c r="I256" t="str">
        <f ca="1">IF(AND(ISNUMBER($I$349),$B$294=1),$I$349,HLOOKUP(INDIRECT(ADDRESS(2,COLUMN())),OFFSET($AT$2,0,0,ROW()-1,40),ROW()-1,FALSE))</f>
        <v/>
      </c>
      <c r="J256" t="str">
        <f ca="1">IF(AND(ISNUMBER($J$349),$B$294=1),$J$349,HLOOKUP(INDIRECT(ADDRESS(2,COLUMN())),OFFSET($AT$2,0,0,ROW()-1,40),ROW()-1,FALSE))</f>
        <v/>
      </c>
      <c r="K256" t="str">
        <f ca="1">IF(AND(ISNUMBER($K$349),$B$294=1),$K$349,HLOOKUP(INDIRECT(ADDRESS(2,COLUMN())),OFFSET($AT$2,0,0,ROW()-1,40),ROW()-1,FALSE))</f>
        <v/>
      </c>
      <c r="L256" t="str">
        <f ca="1">IF(AND(ISNUMBER($L$349),$B$294=1),$L$349,HLOOKUP(INDIRECT(ADDRESS(2,COLUMN())),OFFSET($AT$2,0,0,ROW()-1,40),ROW()-1,FALSE))</f>
        <v/>
      </c>
      <c r="M256" t="str">
        <f ca="1">IF(AND(ISNUMBER($M$349),$B$294=1),$M$349,HLOOKUP(INDIRECT(ADDRESS(2,COLUMN())),OFFSET($AT$2,0,0,ROW()-1,40),ROW()-1,FALSE))</f>
        <v/>
      </c>
      <c r="N256" t="str">
        <f ca="1">IF(AND(ISNUMBER($N$349),$B$294=1),$N$349,HLOOKUP(INDIRECT(ADDRESS(2,COLUMN())),OFFSET($AT$2,0,0,ROW()-1,40),ROW()-1,FALSE))</f>
        <v/>
      </c>
      <c r="O256" t="str">
        <f ca="1">IF(AND(ISNUMBER($O$349),$B$294=1),$O$349,HLOOKUP(INDIRECT(ADDRESS(2,COLUMN())),OFFSET($AT$2,0,0,ROW()-1,40),ROW()-1,FALSE))</f>
        <v/>
      </c>
      <c r="P256" t="str">
        <f ca="1">IF(AND(ISNUMBER($P$349),$B$294=1),$P$349,HLOOKUP(INDIRECT(ADDRESS(2,COLUMN())),OFFSET($AT$2,0,0,ROW()-1,40),ROW()-1,FALSE))</f>
        <v/>
      </c>
      <c r="Q256" t="str">
        <f ca="1">IF(AND(ISNUMBER($Q$349),$B$294=1),$Q$349,HLOOKUP(INDIRECT(ADDRESS(2,COLUMN())),OFFSET($AT$2,0,0,ROW()-1,40),ROW()-1,FALSE))</f>
        <v/>
      </c>
      <c r="R256" t="str">
        <f ca="1">IF(AND(ISNUMBER($R$349),$B$294=1),$R$349,HLOOKUP(INDIRECT(ADDRESS(2,COLUMN())),OFFSET($AT$2,0,0,ROW()-1,40),ROW()-1,FALSE))</f>
        <v/>
      </c>
      <c r="S256" t="str">
        <f ca="1">IF(AND(ISNUMBER($S$349),$B$294=1),$S$349,HLOOKUP(INDIRECT(ADDRESS(2,COLUMN())),OFFSET($AT$2,0,0,ROW()-1,40),ROW()-1,FALSE))</f>
        <v/>
      </c>
      <c r="T256" t="str">
        <f ca="1">IF(AND(ISNUMBER($T$349),$B$294=1),$T$349,HLOOKUP(INDIRECT(ADDRESS(2,COLUMN())),OFFSET($AT$2,0,0,ROW()-1,40),ROW()-1,FALSE))</f>
        <v/>
      </c>
      <c r="U256" t="str">
        <f ca="1">IF(AND(ISNUMBER($U$349),$B$294=1),$U$349,HLOOKUP(INDIRECT(ADDRESS(2,COLUMN())),OFFSET($AT$2,0,0,ROW()-1,40),ROW()-1,FALSE))</f>
        <v/>
      </c>
      <c r="V256" t="str">
        <f ca="1">IF(AND(ISNUMBER($V$349),$B$294=1),$V$349,HLOOKUP(INDIRECT(ADDRESS(2,COLUMN())),OFFSET($AT$2,0,0,ROW()-1,40),ROW()-1,FALSE))</f>
        <v/>
      </c>
      <c r="W256" t="str">
        <f ca="1">IF(AND(ISNUMBER($W$349),$B$294=1),$W$349,HLOOKUP(INDIRECT(ADDRESS(2,COLUMN())),OFFSET($AT$2,0,0,ROW()-1,40),ROW()-1,FALSE))</f>
        <v/>
      </c>
      <c r="X256" t="str">
        <f ca="1">IF(AND(ISNUMBER($X$349),$B$294=1),$X$349,HLOOKUP(INDIRECT(ADDRESS(2,COLUMN())),OFFSET($AT$2,0,0,ROW()-1,40),ROW()-1,FALSE))</f>
        <v/>
      </c>
      <c r="Y256" t="str">
        <f ca="1">IF(AND(ISNUMBER($Y$349),$B$294=1),$Y$349,HLOOKUP(INDIRECT(ADDRESS(2,COLUMN())),OFFSET($AT$2,0,0,ROW()-1,40),ROW()-1,FALSE))</f>
        <v/>
      </c>
      <c r="Z256" t="str">
        <f ca="1">IF(AND(ISNUMBER($Z$349),$B$294=1),$Z$349,HLOOKUP(INDIRECT(ADDRESS(2,COLUMN())),OFFSET($AT$2,0,0,ROW()-1,40),ROW()-1,FALSE))</f>
        <v/>
      </c>
      <c r="AA256" t="str">
        <f ca="1">IF(AND(ISNUMBER($AA$349),$B$294=1),$AA$349,HLOOKUP(INDIRECT(ADDRESS(2,COLUMN())),OFFSET($AT$2,0,0,ROW()-1,40),ROW()-1,FALSE))</f>
        <v/>
      </c>
      <c r="AB256" t="str">
        <f ca="1">IF(AND(ISNUMBER($AB$349),$B$294=1),$AB$349,HLOOKUP(INDIRECT(ADDRESS(2,COLUMN())),OFFSET($AT$2,0,0,ROW()-1,40),ROW()-1,FALSE))</f>
        <v/>
      </c>
      <c r="AC256" t="str">
        <f ca="1">IF(AND(ISNUMBER($AC$349),$B$294=1),$AC$349,HLOOKUP(INDIRECT(ADDRESS(2,COLUMN())),OFFSET($AT$2,0,0,ROW()-1,40),ROW()-1,FALSE))</f>
        <v/>
      </c>
      <c r="AD256" t="str">
        <f ca="1">IF(AND(ISNUMBER($AD$349),$B$294=1),$AD$349,HLOOKUP(INDIRECT(ADDRESS(2,COLUMN())),OFFSET($AT$2,0,0,ROW()-1,40),ROW()-1,FALSE))</f>
        <v/>
      </c>
      <c r="AE256" t="str">
        <f ca="1">IF(AND(ISNUMBER($AE$349),$B$294=1),$AE$349,HLOOKUP(INDIRECT(ADDRESS(2,COLUMN())),OFFSET($AT$2,0,0,ROW()-1,40),ROW()-1,FALSE))</f>
        <v/>
      </c>
      <c r="AF256" t="str">
        <f ca="1">IF(AND(ISNUMBER($AF$349),$B$294=1),$AF$349,HLOOKUP(INDIRECT(ADDRESS(2,COLUMN())),OFFSET($AT$2,0,0,ROW()-1,40),ROW()-1,FALSE))</f>
        <v/>
      </c>
      <c r="AG256" t="str">
        <f ca="1">IF(AND(ISNUMBER($AG$349),$B$294=1),$AG$349,HLOOKUP(INDIRECT(ADDRESS(2,COLUMN())),OFFSET($AT$2,0,0,ROW()-1,40),ROW()-1,FALSE))</f>
        <v/>
      </c>
      <c r="AH256" t="str">
        <f ca="1">IF(AND(ISNUMBER($AH$349),$B$294=1),$AH$349,HLOOKUP(INDIRECT(ADDRESS(2,COLUMN())),OFFSET($AT$2,0,0,ROW()-1,40),ROW()-1,FALSE))</f>
        <v/>
      </c>
      <c r="AI256" t="str">
        <f ca="1">IF(AND(ISNUMBER($AI$349),$B$294=1),$AI$349,HLOOKUP(INDIRECT(ADDRESS(2,COLUMN())),OFFSET($AT$2,0,0,ROW()-1,40),ROW()-1,FALSE))</f>
        <v/>
      </c>
      <c r="AJ256" t="str">
        <f ca="1">IF(AND(ISNUMBER($AJ$349),$B$294=1),$AJ$349,HLOOKUP(INDIRECT(ADDRESS(2,COLUMN())),OFFSET($AT$2,0,0,ROW()-1,40),ROW()-1,FALSE))</f>
        <v/>
      </c>
      <c r="AK256" t="str">
        <f ca="1">IF(AND(ISNUMBER($AK$349),$B$294=1),$AK$349,HLOOKUP(INDIRECT(ADDRESS(2,COLUMN())),OFFSET($AT$2,0,0,ROW()-1,40),ROW()-1,FALSE))</f>
        <v/>
      </c>
      <c r="AL256" t="str">
        <f ca="1">IF(AND(ISNUMBER($AL$349),$B$294=1),$AL$349,HLOOKUP(INDIRECT(ADDRESS(2,COLUMN())),OFFSET($AT$2,0,0,ROW()-1,40),ROW()-1,FALSE))</f>
        <v/>
      </c>
      <c r="AM256" t="str">
        <f ca="1">IF(AND(ISNUMBER($AM$349),$B$294=1),$AM$349,HLOOKUP(INDIRECT(ADDRESS(2,COLUMN())),OFFSET($AT$2,0,0,ROW()-1,40),ROW()-1,FALSE))</f>
        <v/>
      </c>
      <c r="AN256" t="str">
        <f ca="1">IF(AND(ISNUMBER($AN$349),$B$294=1),$AN$349,HLOOKUP(INDIRECT(ADDRESS(2,COLUMN())),OFFSET($AT$2,0,0,ROW()-1,40),ROW()-1,FALSE))</f>
        <v/>
      </c>
      <c r="AO256" t="str">
        <f ca="1">IF(AND(ISNUMBER($AO$349),$B$294=1),$AO$349,HLOOKUP(INDIRECT(ADDRESS(2,COLUMN())),OFFSET($AT$2,0,0,ROW()-1,40),ROW()-1,FALSE))</f>
        <v/>
      </c>
      <c r="AP256" t="str">
        <f ca="1">IF(AND(ISNUMBER($AP$349),$B$294=1),$AP$349,HLOOKUP(INDIRECT(ADDRESS(2,COLUMN())),OFFSET($AT$2,0,0,ROW()-1,40),ROW()-1,FALSE))</f>
        <v/>
      </c>
      <c r="AQ256" t="str">
        <f ca="1">IF(AND(ISNUMBER($AQ$349),$B$294=1),$AQ$349,HLOOKUP(INDIRECT(ADDRESS(2,COLUMN())),OFFSET($AT$2,0,0,ROW()-1,40),ROW()-1,FALSE))</f>
        <v/>
      </c>
      <c r="AR256" t="str">
        <f ca="1">IF(AND(ISNUMBER($AR$349),$B$294=1),$AR$349,HLOOKUP(INDIRECT(ADDRESS(2,COLUMN())),OFFSET($AT$2,0,0,ROW()-1,40),ROW()-1,FALSE))</f>
        <v/>
      </c>
      <c r="AS256" t="str">
        <f ca="1">IF(AND(ISNUMBER($AS$349),$B$294=1),$AS$349,HLOOKUP(INDIRECT(ADDRESS(2,COLUMN())),OFFSET($AT$2,0,0,ROW()-1,40),ROW()-1,FALSE))</f>
        <v/>
      </c>
      <c r="AT256" t="str">
        <f>""</f>
        <v/>
      </c>
      <c r="AU256" t="str">
        <f>""</f>
        <v/>
      </c>
      <c r="AV256" t="str">
        <f>""</f>
        <v/>
      </c>
      <c r="AW256" t="str">
        <f>""</f>
        <v/>
      </c>
      <c r="AX256" t="str">
        <f>""</f>
        <v/>
      </c>
      <c r="AY256" t="str">
        <f>""</f>
        <v/>
      </c>
      <c r="AZ256" t="str">
        <f>""</f>
        <v/>
      </c>
      <c r="BA256" t="str">
        <f>""</f>
        <v/>
      </c>
      <c r="BB256" t="str">
        <f>""</f>
        <v/>
      </c>
      <c r="BC256" t="str">
        <f>""</f>
        <v/>
      </c>
      <c r="BD256" t="str">
        <f>""</f>
        <v/>
      </c>
      <c r="BE256" t="str">
        <f>""</f>
        <v/>
      </c>
      <c r="BF256" t="str">
        <f>""</f>
        <v/>
      </c>
      <c r="BG256" t="str">
        <f>""</f>
        <v/>
      </c>
      <c r="BH256" t="str">
        <f>""</f>
        <v/>
      </c>
      <c r="BI256" t="str">
        <f>""</f>
        <v/>
      </c>
      <c r="BJ256" t="str">
        <f>""</f>
        <v/>
      </c>
      <c r="BK256" t="str">
        <f>""</f>
        <v/>
      </c>
      <c r="BL256" t="str">
        <f>""</f>
        <v/>
      </c>
      <c r="BM256" t="str">
        <f>""</f>
        <v/>
      </c>
      <c r="BN256" t="str">
        <f>""</f>
        <v/>
      </c>
      <c r="BO256" t="str">
        <f>""</f>
        <v/>
      </c>
      <c r="BP256" t="str">
        <f>""</f>
        <v/>
      </c>
      <c r="BQ256" t="str">
        <f>""</f>
        <v/>
      </c>
      <c r="BR256" t="str">
        <f>""</f>
        <v/>
      </c>
      <c r="BS256" t="str">
        <f>""</f>
        <v/>
      </c>
      <c r="BT256" t="str">
        <f>""</f>
        <v/>
      </c>
      <c r="BU256" t="str">
        <f>""</f>
        <v/>
      </c>
      <c r="BV256" t="str">
        <f>""</f>
        <v/>
      </c>
      <c r="BW256" t="str">
        <f>""</f>
        <v/>
      </c>
      <c r="BX256" t="str">
        <f>""</f>
        <v/>
      </c>
      <c r="BY256" t="str">
        <f>""</f>
        <v/>
      </c>
      <c r="BZ256" t="str">
        <f>""</f>
        <v/>
      </c>
      <c r="CA256" t="str">
        <f>""</f>
        <v/>
      </c>
      <c r="CB256" t="str">
        <f>""</f>
        <v/>
      </c>
      <c r="CC256" t="str">
        <f>""</f>
        <v/>
      </c>
      <c r="CD256" t="str">
        <f>""</f>
        <v/>
      </c>
      <c r="CE256" t="str">
        <f>""</f>
        <v/>
      </c>
      <c r="CF256" t="str">
        <f>""</f>
        <v/>
      </c>
      <c r="CG256" t="str">
        <f>""</f>
        <v/>
      </c>
    </row>
    <row r="257" spans="1:85" x14ac:dyDescent="0.25">
      <c r="A257" t="str">
        <f>"    Daimler - Western Star"</f>
        <v xml:space="preserve">    Daimler - Western Star</v>
      </c>
      <c r="B257" t="str">
        <f>"DAI GR Equity"</f>
        <v>DAI GR Equity</v>
      </c>
      <c r="C257" t="str">
        <f t="shared" si="23"/>
        <v>X1701</v>
      </c>
      <c r="D257" t="str">
        <f t="shared" si="24"/>
        <v>WARDS_RETAIL_SALES_UNITS</v>
      </c>
      <c r="E257" t="str">
        <f t="shared" si="22"/>
        <v>Dynamic</v>
      </c>
      <c r="F257" t="str">
        <f ca="1">IF(AND(ISNUMBER($F$350),$B$294=1),$F$350,HLOOKUP(INDIRECT(ADDRESS(2,COLUMN())),OFFSET($AT$2,0,0,ROW()-1,40),ROW()-1,FALSE))</f>
        <v/>
      </c>
      <c r="G257" t="str">
        <f ca="1">IF(AND(ISNUMBER($G$350),$B$294=1),$G$350,HLOOKUP(INDIRECT(ADDRESS(2,COLUMN())),OFFSET($AT$2,0,0,ROW()-1,40),ROW()-1,FALSE))</f>
        <v/>
      </c>
      <c r="H257" t="str">
        <f ca="1">IF(AND(ISNUMBER($H$350),$B$294=1),$H$350,HLOOKUP(INDIRECT(ADDRESS(2,COLUMN())),OFFSET($AT$2,0,0,ROW()-1,40),ROW()-1,FALSE))</f>
        <v/>
      </c>
      <c r="I257" t="str">
        <f ca="1">IF(AND(ISNUMBER($I$350),$B$294=1),$I$350,HLOOKUP(INDIRECT(ADDRESS(2,COLUMN())),OFFSET($AT$2,0,0,ROW()-1,40),ROW()-1,FALSE))</f>
        <v/>
      </c>
      <c r="J257" t="str">
        <f ca="1">IF(AND(ISNUMBER($J$350),$B$294=1),$J$350,HLOOKUP(INDIRECT(ADDRESS(2,COLUMN())),OFFSET($AT$2,0,0,ROW()-1,40),ROW()-1,FALSE))</f>
        <v/>
      </c>
      <c r="K257" t="str">
        <f ca="1">IF(AND(ISNUMBER($K$350),$B$294=1),$K$350,HLOOKUP(INDIRECT(ADDRESS(2,COLUMN())),OFFSET($AT$2,0,0,ROW()-1,40),ROW()-1,FALSE))</f>
        <v/>
      </c>
      <c r="L257" t="str">
        <f ca="1">IF(AND(ISNUMBER($L$350),$B$294=1),$L$350,HLOOKUP(INDIRECT(ADDRESS(2,COLUMN())),OFFSET($AT$2,0,0,ROW()-1,40),ROW()-1,FALSE))</f>
        <v/>
      </c>
      <c r="M257" t="str">
        <f ca="1">IF(AND(ISNUMBER($M$350),$B$294=1),$M$350,HLOOKUP(INDIRECT(ADDRESS(2,COLUMN())),OFFSET($AT$2,0,0,ROW()-1,40),ROW()-1,FALSE))</f>
        <v/>
      </c>
      <c r="N257" t="str">
        <f ca="1">IF(AND(ISNUMBER($N$350),$B$294=1),$N$350,HLOOKUP(INDIRECT(ADDRESS(2,COLUMN())),OFFSET($AT$2,0,0,ROW()-1,40),ROW()-1,FALSE))</f>
        <v/>
      </c>
      <c r="O257" t="str">
        <f ca="1">IF(AND(ISNUMBER($O$350),$B$294=1),$O$350,HLOOKUP(INDIRECT(ADDRESS(2,COLUMN())),OFFSET($AT$2,0,0,ROW()-1,40),ROW()-1,FALSE))</f>
        <v/>
      </c>
      <c r="P257" t="str">
        <f ca="1">IF(AND(ISNUMBER($P$350),$B$294=1),$P$350,HLOOKUP(INDIRECT(ADDRESS(2,COLUMN())),OFFSET($AT$2,0,0,ROW()-1,40),ROW()-1,FALSE))</f>
        <v/>
      </c>
      <c r="Q257" t="str">
        <f ca="1">IF(AND(ISNUMBER($Q$350),$B$294=1),$Q$350,HLOOKUP(INDIRECT(ADDRESS(2,COLUMN())),OFFSET($AT$2,0,0,ROW()-1,40),ROW()-1,FALSE))</f>
        <v/>
      </c>
      <c r="R257" t="str">
        <f ca="1">IF(AND(ISNUMBER($R$350),$B$294=1),$R$350,HLOOKUP(INDIRECT(ADDRESS(2,COLUMN())),OFFSET($AT$2,0,0,ROW()-1,40),ROW()-1,FALSE))</f>
        <v/>
      </c>
      <c r="S257" t="str">
        <f ca="1">IF(AND(ISNUMBER($S$350),$B$294=1),$S$350,HLOOKUP(INDIRECT(ADDRESS(2,COLUMN())),OFFSET($AT$2,0,0,ROW()-1,40),ROW()-1,FALSE))</f>
        <v/>
      </c>
      <c r="T257" t="str">
        <f ca="1">IF(AND(ISNUMBER($T$350),$B$294=1),$T$350,HLOOKUP(INDIRECT(ADDRESS(2,COLUMN())),OFFSET($AT$2,0,0,ROW()-1,40),ROW()-1,FALSE))</f>
        <v/>
      </c>
      <c r="U257" t="str">
        <f ca="1">IF(AND(ISNUMBER($U$350),$B$294=1),$U$350,HLOOKUP(INDIRECT(ADDRESS(2,COLUMN())),OFFSET($AT$2,0,0,ROW()-1,40),ROW()-1,FALSE))</f>
        <v/>
      </c>
      <c r="V257" t="str">
        <f ca="1">IF(AND(ISNUMBER($V$350),$B$294=1),$V$350,HLOOKUP(INDIRECT(ADDRESS(2,COLUMN())),OFFSET($AT$2,0,0,ROW()-1,40),ROW()-1,FALSE))</f>
        <v/>
      </c>
      <c r="W257" t="str">
        <f ca="1">IF(AND(ISNUMBER($W$350),$B$294=1),$W$350,HLOOKUP(INDIRECT(ADDRESS(2,COLUMN())),OFFSET($AT$2,0,0,ROW()-1,40),ROW()-1,FALSE))</f>
        <v/>
      </c>
      <c r="X257" t="str">
        <f ca="1">IF(AND(ISNUMBER($X$350),$B$294=1),$X$350,HLOOKUP(INDIRECT(ADDRESS(2,COLUMN())),OFFSET($AT$2,0,0,ROW()-1,40),ROW()-1,FALSE))</f>
        <v/>
      </c>
      <c r="Y257" t="str">
        <f ca="1">IF(AND(ISNUMBER($Y$350),$B$294=1),$Y$350,HLOOKUP(INDIRECT(ADDRESS(2,COLUMN())),OFFSET($AT$2,0,0,ROW()-1,40),ROW()-1,FALSE))</f>
        <v/>
      </c>
      <c r="Z257" t="str">
        <f ca="1">IF(AND(ISNUMBER($Z$350),$B$294=1),$Z$350,HLOOKUP(INDIRECT(ADDRESS(2,COLUMN())),OFFSET($AT$2,0,0,ROW()-1,40),ROW()-1,FALSE))</f>
        <v/>
      </c>
      <c r="AA257" t="str">
        <f ca="1">IF(AND(ISNUMBER($AA$350),$B$294=1),$AA$350,HLOOKUP(INDIRECT(ADDRESS(2,COLUMN())),OFFSET($AT$2,0,0,ROW()-1,40),ROW()-1,FALSE))</f>
        <v/>
      </c>
      <c r="AB257" t="str">
        <f ca="1">IF(AND(ISNUMBER($AB$350),$B$294=1),$AB$350,HLOOKUP(INDIRECT(ADDRESS(2,COLUMN())),OFFSET($AT$2,0,0,ROW()-1,40),ROW()-1,FALSE))</f>
        <v/>
      </c>
      <c r="AC257" t="str">
        <f ca="1">IF(AND(ISNUMBER($AC$350),$B$294=1),$AC$350,HLOOKUP(INDIRECT(ADDRESS(2,COLUMN())),OFFSET($AT$2,0,0,ROW()-1,40),ROW()-1,FALSE))</f>
        <v/>
      </c>
      <c r="AD257" t="str">
        <f ca="1">IF(AND(ISNUMBER($AD$350),$B$294=1),$AD$350,HLOOKUP(INDIRECT(ADDRESS(2,COLUMN())),OFFSET($AT$2,0,0,ROW()-1,40),ROW()-1,FALSE))</f>
        <v/>
      </c>
      <c r="AE257" t="str">
        <f ca="1">IF(AND(ISNUMBER($AE$350),$B$294=1),$AE$350,HLOOKUP(INDIRECT(ADDRESS(2,COLUMN())),OFFSET($AT$2,0,0,ROW()-1,40),ROW()-1,FALSE))</f>
        <v/>
      </c>
      <c r="AF257" t="str">
        <f ca="1">IF(AND(ISNUMBER($AF$350),$B$294=1),$AF$350,HLOOKUP(INDIRECT(ADDRESS(2,COLUMN())),OFFSET($AT$2,0,0,ROW()-1,40),ROW()-1,FALSE))</f>
        <v/>
      </c>
      <c r="AG257" t="str">
        <f ca="1">IF(AND(ISNUMBER($AG$350),$B$294=1),$AG$350,HLOOKUP(INDIRECT(ADDRESS(2,COLUMN())),OFFSET($AT$2,0,0,ROW()-1,40),ROW()-1,FALSE))</f>
        <v/>
      </c>
      <c r="AH257" t="str">
        <f ca="1">IF(AND(ISNUMBER($AH$350),$B$294=1),$AH$350,HLOOKUP(INDIRECT(ADDRESS(2,COLUMN())),OFFSET($AT$2,0,0,ROW()-1,40),ROW()-1,FALSE))</f>
        <v/>
      </c>
      <c r="AI257" t="str">
        <f ca="1">IF(AND(ISNUMBER($AI$350),$B$294=1),$AI$350,HLOOKUP(INDIRECT(ADDRESS(2,COLUMN())),OFFSET($AT$2,0,0,ROW()-1,40),ROW()-1,FALSE))</f>
        <v/>
      </c>
      <c r="AJ257" t="str">
        <f ca="1">IF(AND(ISNUMBER($AJ$350),$B$294=1),$AJ$350,HLOOKUP(INDIRECT(ADDRESS(2,COLUMN())),OFFSET($AT$2,0,0,ROW()-1,40),ROW()-1,FALSE))</f>
        <v/>
      </c>
      <c r="AK257" t="str">
        <f ca="1">IF(AND(ISNUMBER($AK$350),$B$294=1),$AK$350,HLOOKUP(INDIRECT(ADDRESS(2,COLUMN())),OFFSET($AT$2,0,0,ROW()-1,40),ROW()-1,FALSE))</f>
        <v/>
      </c>
      <c r="AL257" t="str">
        <f ca="1">IF(AND(ISNUMBER($AL$350),$B$294=1),$AL$350,HLOOKUP(INDIRECT(ADDRESS(2,COLUMN())),OFFSET($AT$2,0,0,ROW()-1,40),ROW()-1,FALSE))</f>
        <v/>
      </c>
      <c r="AM257" t="str">
        <f ca="1">IF(AND(ISNUMBER($AM$350),$B$294=1),$AM$350,HLOOKUP(INDIRECT(ADDRESS(2,COLUMN())),OFFSET($AT$2,0,0,ROW()-1,40),ROW()-1,FALSE))</f>
        <v/>
      </c>
      <c r="AN257" t="str">
        <f ca="1">IF(AND(ISNUMBER($AN$350),$B$294=1),$AN$350,HLOOKUP(INDIRECT(ADDRESS(2,COLUMN())),OFFSET($AT$2,0,0,ROW()-1,40),ROW()-1,FALSE))</f>
        <v/>
      </c>
      <c r="AO257" t="str">
        <f ca="1">IF(AND(ISNUMBER($AO$350),$B$294=1),$AO$350,HLOOKUP(INDIRECT(ADDRESS(2,COLUMN())),OFFSET($AT$2,0,0,ROW()-1,40),ROW()-1,FALSE))</f>
        <v/>
      </c>
      <c r="AP257" t="str">
        <f ca="1">IF(AND(ISNUMBER($AP$350),$B$294=1),$AP$350,HLOOKUP(INDIRECT(ADDRESS(2,COLUMN())),OFFSET($AT$2,0,0,ROW()-1,40),ROW()-1,FALSE))</f>
        <v/>
      </c>
      <c r="AQ257" t="str">
        <f ca="1">IF(AND(ISNUMBER($AQ$350),$B$294=1),$AQ$350,HLOOKUP(INDIRECT(ADDRESS(2,COLUMN())),OFFSET($AT$2,0,0,ROW()-1,40),ROW()-1,FALSE))</f>
        <v/>
      </c>
      <c r="AR257" t="str">
        <f ca="1">IF(AND(ISNUMBER($AR$350),$B$294=1),$AR$350,HLOOKUP(INDIRECT(ADDRESS(2,COLUMN())),OFFSET($AT$2,0,0,ROW()-1,40),ROW()-1,FALSE))</f>
        <v/>
      </c>
      <c r="AS257" t="str">
        <f ca="1">IF(AND(ISNUMBER($AS$350),$B$294=1),$AS$350,HLOOKUP(INDIRECT(ADDRESS(2,COLUMN())),OFFSET($AT$2,0,0,ROW()-1,40),ROW()-1,FALSE))</f>
        <v/>
      </c>
      <c r="AT257" t="str">
        <f>""</f>
        <v/>
      </c>
      <c r="AU257" t="str">
        <f>""</f>
        <v/>
      </c>
      <c r="AV257" t="str">
        <f>""</f>
        <v/>
      </c>
      <c r="AW257" t="str">
        <f>""</f>
        <v/>
      </c>
      <c r="AX257" t="str">
        <f>""</f>
        <v/>
      </c>
      <c r="AY257" t="str">
        <f>""</f>
        <v/>
      </c>
      <c r="AZ257" t="str">
        <f>""</f>
        <v/>
      </c>
      <c r="BA257" t="str">
        <f>""</f>
        <v/>
      </c>
      <c r="BB257" t="str">
        <f>""</f>
        <v/>
      </c>
      <c r="BC257" t="str">
        <f>""</f>
        <v/>
      </c>
      <c r="BD257" t="str">
        <f>""</f>
        <v/>
      </c>
      <c r="BE257" t="str">
        <f>""</f>
        <v/>
      </c>
      <c r="BF257" t="str">
        <f>""</f>
        <v/>
      </c>
      <c r="BG257" t="str">
        <f>""</f>
        <v/>
      </c>
      <c r="BH257" t="str">
        <f>""</f>
        <v/>
      </c>
      <c r="BI257" t="str">
        <f>""</f>
        <v/>
      </c>
      <c r="BJ257" t="str">
        <f>""</f>
        <v/>
      </c>
      <c r="BK257" t="str">
        <f>""</f>
        <v/>
      </c>
      <c r="BL257" t="str">
        <f>""</f>
        <v/>
      </c>
      <c r="BM257" t="str">
        <f>""</f>
        <v/>
      </c>
      <c r="BN257" t="str">
        <f>""</f>
        <v/>
      </c>
      <c r="BO257" t="str">
        <f>""</f>
        <v/>
      </c>
      <c r="BP257" t="str">
        <f>""</f>
        <v/>
      </c>
      <c r="BQ257" t="str">
        <f>""</f>
        <v/>
      </c>
      <c r="BR257" t="str">
        <f>""</f>
        <v/>
      </c>
      <c r="BS257" t="str">
        <f>""</f>
        <v/>
      </c>
      <c r="BT257" t="str">
        <f>""</f>
        <v/>
      </c>
      <c r="BU257" t="str">
        <f>""</f>
        <v/>
      </c>
      <c r="BV257" t="str">
        <f>""</f>
        <v/>
      </c>
      <c r="BW257" t="str">
        <f>""</f>
        <v/>
      </c>
      <c r="BX257" t="str">
        <f>""</f>
        <v/>
      </c>
      <c r="BY257" t="str">
        <f>""</f>
        <v/>
      </c>
      <c r="BZ257" t="str">
        <f>""</f>
        <v/>
      </c>
      <c r="CA257" t="str">
        <f>""</f>
        <v/>
      </c>
      <c r="CB257" t="str">
        <f>""</f>
        <v/>
      </c>
      <c r="CC257" t="str">
        <f>""</f>
        <v/>
      </c>
      <c r="CD257" t="str">
        <f>""</f>
        <v/>
      </c>
      <c r="CE257" t="str">
        <f>""</f>
        <v/>
      </c>
      <c r="CF257" t="str">
        <f>""</f>
        <v/>
      </c>
      <c r="CG257" t="str">
        <f>""</f>
        <v/>
      </c>
    </row>
    <row r="258" spans="1:85" x14ac:dyDescent="0.25">
      <c r="A258" t="str">
        <f>"    Hino"</f>
        <v xml:space="preserve">    Hino</v>
      </c>
      <c r="B258" t="str">
        <f>"7205 JP Equity"</f>
        <v>7205 JP Equity</v>
      </c>
      <c r="C258" t="str">
        <f t="shared" si="23"/>
        <v>X1701</v>
      </c>
      <c r="D258" t="str">
        <f t="shared" si="24"/>
        <v>WARDS_RETAIL_SALES_UNITS</v>
      </c>
      <c r="E258" t="str">
        <f t="shared" si="22"/>
        <v>Dynamic</v>
      </c>
      <c r="F258">
        <f ca="1">IF(AND(ISNUMBER($F$351),$B$294=1),$F$351,HLOOKUP(INDIRECT(ADDRESS(2,COLUMN())),OFFSET($AT$2,0,0,ROW()-1,40),ROW()-1,FALSE))</f>
        <v>117</v>
      </c>
      <c r="G258">
        <f ca="1">IF(AND(ISNUMBER($G$351),$B$294=1),$G$351,HLOOKUP(INDIRECT(ADDRESS(2,COLUMN())),OFFSET($AT$2,0,0,ROW()-1,40),ROW()-1,FALSE))</f>
        <v>144</v>
      </c>
      <c r="H258">
        <f ca="1">IF(AND(ISNUMBER($H$351),$B$294=1),$H$351,HLOOKUP(INDIRECT(ADDRESS(2,COLUMN())),OFFSET($AT$2,0,0,ROW()-1,40),ROW()-1,FALSE))</f>
        <v>120</v>
      </c>
      <c r="I258">
        <f ca="1">IF(AND(ISNUMBER($I$351),$B$294=1),$I$351,HLOOKUP(INDIRECT(ADDRESS(2,COLUMN())),OFFSET($AT$2,0,0,ROW()-1,40),ROW()-1,FALSE))</f>
        <v>136</v>
      </c>
      <c r="J258">
        <f ca="1">IF(AND(ISNUMBER($J$351),$B$294=1),$J$351,HLOOKUP(INDIRECT(ADDRESS(2,COLUMN())),OFFSET($AT$2,0,0,ROW()-1,40),ROW()-1,FALSE))</f>
        <v>140</v>
      </c>
      <c r="K258">
        <f ca="1">IF(AND(ISNUMBER($K$351),$B$294=1),$K$351,HLOOKUP(INDIRECT(ADDRESS(2,COLUMN())),OFFSET($AT$2,0,0,ROW()-1,40),ROW()-1,FALSE))</f>
        <v>165</v>
      </c>
      <c r="L258">
        <f ca="1">IF(AND(ISNUMBER($L$351),$B$294=1),$L$351,HLOOKUP(INDIRECT(ADDRESS(2,COLUMN())),OFFSET($AT$2,0,0,ROW()-1,40),ROW()-1,FALSE))</f>
        <v>155</v>
      </c>
      <c r="M258">
        <f ca="1">IF(AND(ISNUMBER($M$351),$B$294=1),$M$351,HLOOKUP(INDIRECT(ADDRESS(2,COLUMN())),OFFSET($AT$2,0,0,ROW()-1,40),ROW()-1,FALSE))</f>
        <v>137</v>
      </c>
      <c r="N258">
        <f ca="1">IF(AND(ISNUMBER($N$351),$B$294=1),$N$351,HLOOKUP(INDIRECT(ADDRESS(2,COLUMN())),OFFSET($AT$2,0,0,ROW()-1,40),ROW()-1,FALSE))</f>
        <v>146</v>
      </c>
      <c r="O258">
        <f ca="1">IF(AND(ISNUMBER($O$351),$B$294=1),$O$351,HLOOKUP(INDIRECT(ADDRESS(2,COLUMN())),OFFSET($AT$2,0,0,ROW()-1,40),ROW()-1,FALSE))</f>
        <v>117</v>
      </c>
      <c r="P258">
        <f ca="1">IF(AND(ISNUMBER($P$351),$B$294=1),$P$351,HLOOKUP(INDIRECT(ADDRESS(2,COLUMN())),OFFSET($AT$2,0,0,ROW()-1,40),ROW()-1,FALSE))</f>
        <v>86</v>
      </c>
      <c r="Q258">
        <f ca="1">IF(AND(ISNUMBER($Q$351),$B$294=1),$Q$351,HLOOKUP(INDIRECT(ADDRESS(2,COLUMN())),OFFSET($AT$2,0,0,ROW()-1,40),ROW()-1,FALSE))</f>
        <v>109</v>
      </c>
      <c r="R258">
        <f ca="1">IF(AND(ISNUMBER($R$351),$B$294=1),$R$351,HLOOKUP(INDIRECT(ADDRESS(2,COLUMN())),OFFSET($AT$2,0,0,ROW()-1,40),ROW()-1,FALSE))</f>
        <v>95</v>
      </c>
      <c r="S258">
        <f ca="1">IF(AND(ISNUMBER($S$351),$B$294=1),$S$351,HLOOKUP(INDIRECT(ADDRESS(2,COLUMN())),OFFSET($AT$2,0,0,ROW()-1,40),ROW()-1,FALSE))</f>
        <v>127</v>
      </c>
      <c r="T258">
        <f ca="1">IF(AND(ISNUMBER($T$351),$B$294=1),$T$351,HLOOKUP(INDIRECT(ADDRESS(2,COLUMN())),OFFSET($AT$2,0,0,ROW()-1,40),ROW()-1,FALSE))</f>
        <v>92</v>
      </c>
      <c r="U258">
        <f ca="1">IF(AND(ISNUMBER($U$351),$B$294=1),$U$351,HLOOKUP(INDIRECT(ADDRESS(2,COLUMN())),OFFSET($AT$2,0,0,ROW()-1,40),ROW()-1,FALSE))</f>
        <v>141</v>
      </c>
      <c r="V258">
        <f ca="1">IF(AND(ISNUMBER($V$351),$B$294=1),$V$351,HLOOKUP(INDIRECT(ADDRESS(2,COLUMN())),OFFSET($AT$2,0,0,ROW()-1,40),ROW()-1,FALSE))</f>
        <v>102</v>
      </c>
      <c r="W258">
        <f ca="1">IF(AND(ISNUMBER($W$351),$B$294=1),$W$351,HLOOKUP(INDIRECT(ADDRESS(2,COLUMN())),OFFSET($AT$2,0,0,ROW()-1,40),ROW()-1,FALSE))</f>
        <v>148</v>
      </c>
      <c r="X258">
        <f ca="1">IF(AND(ISNUMBER($X$351),$B$294=1),$X$351,HLOOKUP(INDIRECT(ADDRESS(2,COLUMN())),OFFSET($AT$2,0,0,ROW()-1,40),ROW()-1,FALSE))</f>
        <v>120</v>
      </c>
      <c r="Y258">
        <f ca="1">IF(AND(ISNUMBER($Y$351),$B$294=1),$Y$351,HLOOKUP(INDIRECT(ADDRESS(2,COLUMN())),OFFSET($AT$2,0,0,ROW()-1,40),ROW()-1,FALSE))</f>
        <v>101</v>
      </c>
      <c r="Z258">
        <f ca="1">IF(AND(ISNUMBER($Z$351),$B$294=1),$Z$351,HLOOKUP(INDIRECT(ADDRESS(2,COLUMN())),OFFSET($AT$2,0,0,ROW()-1,40),ROW()-1,FALSE))</f>
        <v>121</v>
      </c>
      <c r="AA258">
        <f ca="1">IF(AND(ISNUMBER($AA$351),$B$294=1),$AA$351,HLOOKUP(INDIRECT(ADDRESS(2,COLUMN())),OFFSET($AT$2,0,0,ROW()-1,40),ROW()-1,FALSE))</f>
        <v>107</v>
      </c>
      <c r="AB258">
        <f ca="1">IF(AND(ISNUMBER($AB$351),$B$294=1),$AB$351,HLOOKUP(INDIRECT(ADDRESS(2,COLUMN())),OFFSET($AT$2,0,0,ROW()-1,40),ROW()-1,FALSE))</f>
        <v>116</v>
      </c>
      <c r="AC258">
        <f ca="1">IF(AND(ISNUMBER($AC$351),$B$294=1),$AC$351,HLOOKUP(INDIRECT(ADDRESS(2,COLUMN())),OFFSET($AT$2,0,0,ROW()-1,40),ROW()-1,FALSE))</f>
        <v>85</v>
      </c>
      <c r="AD258">
        <f ca="1">IF(AND(ISNUMBER($AD$351),$B$294=1),$AD$351,HLOOKUP(INDIRECT(ADDRESS(2,COLUMN())),OFFSET($AT$2,0,0,ROW()-1,40),ROW()-1,FALSE))</f>
        <v>86</v>
      </c>
      <c r="AE258">
        <f ca="1">IF(AND(ISNUMBER($AE$351),$B$294=1),$AE$351,HLOOKUP(INDIRECT(ADDRESS(2,COLUMN())),OFFSET($AT$2,0,0,ROW()-1,40),ROW()-1,FALSE))</f>
        <v>79</v>
      </c>
      <c r="AF258">
        <f ca="1">IF(AND(ISNUMBER($AF$351),$B$294=1),$AF$351,HLOOKUP(INDIRECT(ADDRESS(2,COLUMN())),OFFSET($AT$2,0,0,ROW()-1,40),ROW()-1,FALSE))</f>
        <v>84</v>
      </c>
      <c r="AG258">
        <f ca="1">IF(AND(ISNUMBER($AG$351),$B$294=1),$AG$351,HLOOKUP(INDIRECT(ADDRESS(2,COLUMN())),OFFSET($AT$2,0,0,ROW()-1,40),ROW()-1,FALSE))</f>
        <v>94</v>
      </c>
      <c r="AH258">
        <f ca="1">IF(AND(ISNUMBER($AH$351),$B$294=1),$AH$351,HLOOKUP(INDIRECT(ADDRESS(2,COLUMN())),OFFSET($AT$2,0,0,ROW()-1,40),ROW()-1,FALSE))</f>
        <v>102</v>
      </c>
      <c r="AI258">
        <f ca="1">IF(AND(ISNUMBER($AI$351),$B$294=1),$AI$351,HLOOKUP(INDIRECT(ADDRESS(2,COLUMN())),OFFSET($AT$2,0,0,ROW()-1,40),ROW()-1,FALSE))</f>
        <v>97</v>
      </c>
      <c r="AJ258">
        <f ca="1">IF(AND(ISNUMBER($AJ$351),$B$294=1),$AJ$351,HLOOKUP(INDIRECT(ADDRESS(2,COLUMN())),OFFSET($AT$2,0,0,ROW()-1,40),ROW()-1,FALSE))</f>
        <v>102</v>
      </c>
      <c r="AK258">
        <f ca="1">IF(AND(ISNUMBER($AK$351),$B$294=1),$AK$351,HLOOKUP(INDIRECT(ADDRESS(2,COLUMN())),OFFSET($AT$2,0,0,ROW()-1,40),ROW()-1,FALSE))</f>
        <v>89</v>
      </c>
      <c r="AL258">
        <f ca="1">IF(AND(ISNUMBER($AL$351),$B$294=1),$AL$351,HLOOKUP(INDIRECT(ADDRESS(2,COLUMN())),OFFSET($AT$2,0,0,ROW()-1,40),ROW()-1,FALSE))</f>
        <v>67</v>
      </c>
      <c r="AM258">
        <f ca="1">IF(AND(ISNUMBER($AM$351),$B$294=1),$AM$351,HLOOKUP(INDIRECT(ADDRESS(2,COLUMN())),OFFSET($AT$2,0,0,ROW()-1,40),ROW()-1,FALSE))</f>
        <v>43</v>
      </c>
      <c r="AN258">
        <f ca="1">IF(AND(ISNUMBER($AN$351),$B$294=1),$AN$351,HLOOKUP(INDIRECT(ADDRESS(2,COLUMN())),OFFSET($AT$2,0,0,ROW()-1,40),ROW()-1,FALSE))</f>
        <v>83</v>
      </c>
      <c r="AO258">
        <f ca="1">IF(AND(ISNUMBER($AO$351),$B$294=1),$AO$351,HLOOKUP(INDIRECT(ADDRESS(2,COLUMN())),OFFSET($AT$2,0,0,ROW()-1,40),ROW()-1,FALSE))</f>
        <v>64</v>
      </c>
      <c r="AP258">
        <f ca="1">IF(AND(ISNUMBER($AP$351),$B$294=1),$AP$351,HLOOKUP(INDIRECT(ADDRESS(2,COLUMN())),OFFSET($AT$2,0,0,ROW()-1,40),ROW()-1,FALSE))</f>
        <v>68</v>
      </c>
      <c r="AQ258">
        <f ca="1">IF(AND(ISNUMBER($AQ$351),$B$294=1),$AQ$351,HLOOKUP(INDIRECT(ADDRESS(2,COLUMN())),OFFSET($AT$2,0,0,ROW()-1,40),ROW()-1,FALSE))</f>
        <v>71</v>
      </c>
      <c r="AR258">
        <f ca="1">IF(AND(ISNUMBER($AR$351),$B$294=1),$AR$351,HLOOKUP(INDIRECT(ADDRESS(2,COLUMN())),OFFSET($AT$2,0,0,ROW()-1,40),ROW()-1,FALSE))</f>
        <v>58</v>
      </c>
      <c r="AS258">
        <f ca="1">IF(AND(ISNUMBER($AS$351),$B$294=1),$AS$351,HLOOKUP(INDIRECT(ADDRESS(2,COLUMN())),OFFSET($AT$2,0,0,ROW()-1,40),ROW()-1,FALSE))</f>
        <v>73</v>
      </c>
      <c r="AT258">
        <f>117</f>
        <v>117</v>
      </c>
      <c r="AU258">
        <f>144</f>
        <v>144</v>
      </c>
      <c r="AV258">
        <f>120</f>
        <v>120</v>
      </c>
      <c r="AW258">
        <f>136</f>
        <v>136</v>
      </c>
      <c r="AX258">
        <f>140</f>
        <v>140</v>
      </c>
      <c r="AY258">
        <f>165</f>
        <v>165</v>
      </c>
      <c r="AZ258">
        <f>155</f>
        <v>155</v>
      </c>
      <c r="BA258">
        <f>137</f>
        <v>137</v>
      </c>
      <c r="BB258">
        <f>146</f>
        <v>146</v>
      </c>
      <c r="BC258">
        <f>117</f>
        <v>117</v>
      </c>
      <c r="BD258">
        <f>86</f>
        <v>86</v>
      </c>
      <c r="BE258">
        <f>109</f>
        <v>109</v>
      </c>
      <c r="BF258">
        <f>95</f>
        <v>95</v>
      </c>
      <c r="BG258">
        <f>127</f>
        <v>127</v>
      </c>
      <c r="BH258">
        <f>92</f>
        <v>92</v>
      </c>
      <c r="BI258">
        <f>141</f>
        <v>141</v>
      </c>
      <c r="BJ258">
        <f>102</f>
        <v>102</v>
      </c>
      <c r="BK258">
        <f>148</f>
        <v>148</v>
      </c>
      <c r="BL258">
        <f>120</f>
        <v>120</v>
      </c>
      <c r="BM258">
        <f>101</f>
        <v>101</v>
      </c>
      <c r="BN258">
        <f>121</f>
        <v>121</v>
      </c>
      <c r="BO258">
        <f>107</f>
        <v>107</v>
      </c>
      <c r="BP258">
        <f>116</f>
        <v>116</v>
      </c>
      <c r="BQ258">
        <f>85</f>
        <v>85</v>
      </c>
      <c r="BR258">
        <f>86</f>
        <v>86</v>
      </c>
      <c r="BS258">
        <f>79</f>
        <v>79</v>
      </c>
      <c r="BT258">
        <f>84</f>
        <v>84</v>
      </c>
      <c r="BU258">
        <f>94</f>
        <v>94</v>
      </c>
      <c r="BV258">
        <f>102</f>
        <v>102</v>
      </c>
      <c r="BW258">
        <f>97</f>
        <v>97</v>
      </c>
      <c r="BX258">
        <f>102</f>
        <v>102</v>
      </c>
      <c r="BY258">
        <f>89</f>
        <v>89</v>
      </c>
      <c r="BZ258">
        <f>67</f>
        <v>67</v>
      </c>
      <c r="CA258">
        <f>43</f>
        <v>43</v>
      </c>
      <c r="CB258">
        <f>83</f>
        <v>83</v>
      </c>
      <c r="CC258">
        <f>64</f>
        <v>64</v>
      </c>
      <c r="CD258">
        <f>68</f>
        <v>68</v>
      </c>
      <c r="CE258">
        <f>71</f>
        <v>71</v>
      </c>
      <c r="CF258">
        <f>58</f>
        <v>58</v>
      </c>
      <c r="CG258">
        <f>73</f>
        <v>73</v>
      </c>
    </row>
    <row r="259" spans="1:85" x14ac:dyDescent="0.25">
      <c r="A259" t="str">
        <f>"    Ford"</f>
        <v xml:space="preserve">    Ford</v>
      </c>
      <c r="B259" t="str">
        <f>"F US Equity"</f>
        <v>F US Equity</v>
      </c>
      <c r="C259" t="str">
        <f t="shared" si="23"/>
        <v>X1701</v>
      </c>
      <c r="D259" t="str">
        <f t="shared" si="24"/>
        <v>WARDS_RETAIL_SALES_UNITS</v>
      </c>
      <c r="E259" t="str">
        <f t="shared" si="22"/>
        <v>Dynamic</v>
      </c>
      <c r="F259">
        <f ca="1">IF(AND(ISNUMBER($F$352),$B$294=1),$F$352,HLOOKUP(INDIRECT(ADDRESS(2,COLUMN())),OFFSET($AT$2,0,0,ROW()-1,40),ROW()-1,FALSE))</f>
        <v>13</v>
      </c>
      <c r="G259">
        <f ca="1">IF(AND(ISNUMBER($G$352),$B$294=1),$G$352,HLOOKUP(INDIRECT(ADDRESS(2,COLUMN())),OFFSET($AT$2,0,0,ROW()-1,40),ROW()-1,FALSE))</f>
        <v>18</v>
      </c>
      <c r="H259">
        <f ca="1">IF(AND(ISNUMBER($H$352),$B$294=1),$H$352,HLOOKUP(INDIRECT(ADDRESS(2,COLUMN())),OFFSET($AT$2,0,0,ROW()-1,40),ROW()-1,FALSE))</f>
        <v>13</v>
      </c>
      <c r="I259">
        <f ca="1">IF(AND(ISNUMBER($I$352),$B$294=1),$I$352,HLOOKUP(INDIRECT(ADDRESS(2,COLUMN())),OFFSET($AT$2,0,0,ROW()-1,40),ROW()-1,FALSE))</f>
        <v>19</v>
      </c>
      <c r="J259">
        <f ca="1">IF(AND(ISNUMBER($J$352),$B$294=1),$J$352,HLOOKUP(INDIRECT(ADDRESS(2,COLUMN())),OFFSET($AT$2,0,0,ROW()-1,40),ROW()-1,FALSE))</f>
        <v>19</v>
      </c>
      <c r="K259">
        <f ca="1">IF(AND(ISNUMBER($K$352),$B$294=1),$K$352,HLOOKUP(INDIRECT(ADDRESS(2,COLUMN())),OFFSET($AT$2,0,0,ROW()-1,40),ROW()-1,FALSE))</f>
        <v>11</v>
      </c>
      <c r="L259">
        <f ca="1">IF(AND(ISNUMBER($L$352),$B$294=1),$L$352,HLOOKUP(INDIRECT(ADDRESS(2,COLUMN())),OFFSET($AT$2,0,0,ROW()-1,40),ROW()-1,FALSE))</f>
        <v>16</v>
      </c>
      <c r="M259">
        <f ca="1">IF(AND(ISNUMBER($M$352),$B$294=1),$M$352,HLOOKUP(INDIRECT(ADDRESS(2,COLUMN())),OFFSET($AT$2,0,0,ROW()-1,40),ROW()-1,FALSE))</f>
        <v>7</v>
      </c>
      <c r="N259">
        <f ca="1">IF(AND(ISNUMBER($N$352),$B$294=1),$N$352,HLOOKUP(INDIRECT(ADDRESS(2,COLUMN())),OFFSET($AT$2,0,0,ROW()-1,40),ROW()-1,FALSE))</f>
        <v>20</v>
      </c>
      <c r="O259">
        <f ca="1">IF(AND(ISNUMBER($O$352),$B$294=1),$O$352,HLOOKUP(INDIRECT(ADDRESS(2,COLUMN())),OFFSET($AT$2,0,0,ROW()-1,40),ROW()-1,FALSE))</f>
        <v>7</v>
      </c>
      <c r="P259">
        <f ca="1">IF(AND(ISNUMBER($P$352),$B$294=1),$P$352,HLOOKUP(INDIRECT(ADDRESS(2,COLUMN())),OFFSET($AT$2,0,0,ROW()-1,40),ROW()-1,FALSE))</f>
        <v>10</v>
      </c>
      <c r="Q259">
        <f ca="1">IF(AND(ISNUMBER($Q$352),$B$294=1),$Q$352,HLOOKUP(INDIRECT(ADDRESS(2,COLUMN())),OFFSET($AT$2,0,0,ROW()-1,40),ROW()-1,FALSE))</f>
        <v>22</v>
      </c>
      <c r="R259">
        <f ca="1">IF(AND(ISNUMBER($R$352),$B$294=1),$R$352,HLOOKUP(INDIRECT(ADDRESS(2,COLUMN())),OFFSET($AT$2,0,0,ROW()-1,40),ROW()-1,FALSE))</f>
        <v>10</v>
      </c>
      <c r="S259">
        <f ca="1">IF(AND(ISNUMBER($S$352),$B$294=1),$S$352,HLOOKUP(INDIRECT(ADDRESS(2,COLUMN())),OFFSET($AT$2,0,0,ROW()-1,40),ROW()-1,FALSE))</f>
        <v>19</v>
      </c>
      <c r="T259">
        <f ca="1">IF(AND(ISNUMBER($T$352),$B$294=1),$T$352,HLOOKUP(INDIRECT(ADDRESS(2,COLUMN())),OFFSET($AT$2,0,0,ROW()-1,40),ROW()-1,FALSE))</f>
        <v>5</v>
      </c>
      <c r="U259">
        <f ca="1">IF(AND(ISNUMBER($U$352),$B$294=1),$U$352,HLOOKUP(INDIRECT(ADDRESS(2,COLUMN())),OFFSET($AT$2,0,0,ROW()-1,40),ROW()-1,FALSE))</f>
        <v>7</v>
      </c>
      <c r="V259">
        <f ca="1">IF(AND(ISNUMBER($V$352),$B$294=1),$V$352,HLOOKUP(INDIRECT(ADDRESS(2,COLUMN())),OFFSET($AT$2,0,0,ROW()-1,40),ROW()-1,FALSE))</f>
        <v>19</v>
      </c>
      <c r="W259">
        <f ca="1">IF(AND(ISNUMBER($W$352),$B$294=1),$W$352,HLOOKUP(INDIRECT(ADDRESS(2,COLUMN())),OFFSET($AT$2,0,0,ROW()-1,40),ROW()-1,FALSE))</f>
        <v>26</v>
      </c>
      <c r="X259">
        <f ca="1">IF(AND(ISNUMBER($X$352),$B$294=1),$X$352,HLOOKUP(INDIRECT(ADDRESS(2,COLUMN())),OFFSET($AT$2,0,0,ROW()-1,40),ROW()-1,FALSE))</f>
        <v>16</v>
      </c>
      <c r="Y259">
        <f ca="1">IF(AND(ISNUMBER($Y$352),$B$294=1),$Y$352,HLOOKUP(INDIRECT(ADDRESS(2,COLUMN())),OFFSET($AT$2,0,0,ROW()-1,40),ROW()-1,FALSE))</f>
        <v>15</v>
      </c>
      <c r="Z259">
        <f ca="1">IF(AND(ISNUMBER($Z$352),$B$294=1),$Z$352,HLOOKUP(INDIRECT(ADDRESS(2,COLUMN())),OFFSET($AT$2,0,0,ROW()-1,40),ROW()-1,FALSE))</f>
        <v>14</v>
      </c>
      <c r="AA259">
        <f ca="1">IF(AND(ISNUMBER($AA$352),$B$294=1),$AA$352,HLOOKUP(INDIRECT(ADDRESS(2,COLUMN())),OFFSET($AT$2,0,0,ROW()-1,40),ROW()-1,FALSE))</f>
        <v>10</v>
      </c>
      <c r="AB259">
        <f ca="1">IF(AND(ISNUMBER($AB$352),$B$294=1),$AB$352,HLOOKUP(INDIRECT(ADDRESS(2,COLUMN())),OFFSET($AT$2,0,0,ROW()-1,40),ROW()-1,FALSE))</f>
        <v>16</v>
      </c>
      <c r="AC259">
        <f ca="1">IF(AND(ISNUMBER($AC$352),$B$294=1),$AC$352,HLOOKUP(INDIRECT(ADDRESS(2,COLUMN())),OFFSET($AT$2,0,0,ROW()-1,40),ROW()-1,FALSE))</f>
        <v>10</v>
      </c>
      <c r="AD259">
        <f ca="1">IF(AND(ISNUMBER($AD$352),$B$294=1),$AD$352,HLOOKUP(INDIRECT(ADDRESS(2,COLUMN())),OFFSET($AT$2,0,0,ROW()-1,40),ROW()-1,FALSE))</f>
        <v>8</v>
      </c>
      <c r="AE259">
        <f ca="1">IF(AND(ISNUMBER($AE$352),$B$294=1),$AE$352,HLOOKUP(INDIRECT(ADDRESS(2,COLUMN())),OFFSET($AT$2,0,0,ROW()-1,40),ROW()-1,FALSE))</f>
        <v>1</v>
      </c>
      <c r="AF259">
        <f ca="1">IF(AND(ISNUMBER($AF$352),$B$294=1),$AF$352,HLOOKUP(INDIRECT(ADDRESS(2,COLUMN())),OFFSET($AT$2,0,0,ROW()-1,40),ROW()-1,FALSE))</f>
        <v>2</v>
      </c>
      <c r="AG259">
        <f ca="1">IF(AND(ISNUMBER($AG$352),$B$294=1),$AG$352,HLOOKUP(INDIRECT(ADDRESS(2,COLUMN())),OFFSET($AT$2,0,0,ROW()-1,40),ROW()-1,FALSE))</f>
        <v>6</v>
      </c>
      <c r="AH259">
        <f ca="1">IF(AND(ISNUMBER($AH$352),$B$294=1),$AH$352,HLOOKUP(INDIRECT(ADDRESS(2,COLUMN())),OFFSET($AT$2,0,0,ROW()-1,40),ROW()-1,FALSE))</f>
        <v>8</v>
      </c>
      <c r="AI259">
        <f ca="1">IF(AND(ISNUMBER($AI$352),$B$294=1),$AI$352,HLOOKUP(INDIRECT(ADDRESS(2,COLUMN())),OFFSET($AT$2,0,0,ROW()-1,40),ROW()-1,FALSE))</f>
        <v>9</v>
      </c>
      <c r="AJ259">
        <f ca="1">IF(AND(ISNUMBER($AJ$352),$B$294=1),$AJ$352,HLOOKUP(INDIRECT(ADDRESS(2,COLUMN())),OFFSET($AT$2,0,0,ROW()-1,40),ROW()-1,FALSE))</f>
        <v>8</v>
      </c>
      <c r="AK259">
        <f ca="1">IF(AND(ISNUMBER($AK$352),$B$294=1),$AK$352,HLOOKUP(INDIRECT(ADDRESS(2,COLUMN())),OFFSET($AT$2,0,0,ROW()-1,40),ROW()-1,FALSE))</f>
        <v>13</v>
      </c>
      <c r="AL259">
        <f ca="1">IF(AND(ISNUMBER($AL$352),$B$294=1),$AL$352,HLOOKUP(INDIRECT(ADDRESS(2,COLUMN())),OFFSET($AT$2,0,0,ROW()-1,40),ROW()-1,FALSE))</f>
        <v>4</v>
      </c>
      <c r="AM259">
        <f ca="1">IF(AND(ISNUMBER($AM$352),$B$294=1),$AM$352,HLOOKUP(INDIRECT(ADDRESS(2,COLUMN())),OFFSET($AT$2,0,0,ROW()-1,40),ROW()-1,FALSE))</f>
        <v>9</v>
      </c>
      <c r="AN259">
        <f ca="1">IF(AND(ISNUMBER($AN$352),$B$294=1),$AN$352,HLOOKUP(INDIRECT(ADDRESS(2,COLUMN())),OFFSET($AT$2,0,0,ROW()-1,40),ROW()-1,FALSE))</f>
        <v>15</v>
      </c>
      <c r="AO259">
        <f ca="1">IF(AND(ISNUMBER($AO$352),$B$294=1),$AO$352,HLOOKUP(INDIRECT(ADDRESS(2,COLUMN())),OFFSET($AT$2,0,0,ROW()-1,40),ROW()-1,FALSE))</f>
        <v>11</v>
      </c>
      <c r="AP259">
        <f ca="1">IF(AND(ISNUMBER($AP$352),$B$294=1),$AP$352,HLOOKUP(INDIRECT(ADDRESS(2,COLUMN())),OFFSET($AT$2,0,0,ROW()-1,40),ROW()-1,FALSE))</f>
        <v>11</v>
      </c>
      <c r="AQ259">
        <f ca="1">IF(AND(ISNUMBER($AQ$352),$B$294=1),$AQ$352,HLOOKUP(INDIRECT(ADDRESS(2,COLUMN())),OFFSET($AT$2,0,0,ROW()-1,40),ROW()-1,FALSE))</f>
        <v>13</v>
      </c>
      <c r="AR259">
        <f ca="1">IF(AND(ISNUMBER($AR$352),$B$294=1),$AR$352,HLOOKUP(INDIRECT(ADDRESS(2,COLUMN())),OFFSET($AT$2,0,0,ROW()-1,40),ROW()-1,FALSE))</f>
        <v>19</v>
      </c>
      <c r="AS259">
        <f ca="1">IF(AND(ISNUMBER($AS$352),$B$294=1),$AS$352,HLOOKUP(INDIRECT(ADDRESS(2,COLUMN())),OFFSET($AT$2,0,0,ROW()-1,40),ROW()-1,FALSE))</f>
        <v>12</v>
      </c>
      <c r="AT259">
        <f>13</f>
        <v>13</v>
      </c>
      <c r="AU259">
        <f>18</f>
        <v>18</v>
      </c>
      <c r="AV259">
        <f>13</f>
        <v>13</v>
      </c>
      <c r="AW259">
        <f>19</f>
        <v>19</v>
      </c>
      <c r="AX259">
        <f>19</f>
        <v>19</v>
      </c>
      <c r="AY259">
        <f>11</f>
        <v>11</v>
      </c>
      <c r="AZ259">
        <f>16</f>
        <v>16</v>
      </c>
      <c r="BA259">
        <f>7</f>
        <v>7</v>
      </c>
      <c r="BB259">
        <f>20</f>
        <v>20</v>
      </c>
      <c r="BC259">
        <f>7</f>
        <v>7</v>
      </c>
      <c r="BD259">
        <f>10</f>
        <v>10</v>
      </c>
      <c r="BE259">
        <f>22</f>
        <v>22</v>
      </c>
      <c r="BF259">
        <f>10</f>
        <v>10</v>
      </c>
      <c r="BG259">
        <f>19</f>
        <v>19</v>
      </c>
      <c r="BH259">
        <f>5</f>
        <v>5</v>
      </c>
      <c r="BI259">
        <f>7</f>
        <v>7</v>
      </c>
      <c r="BJ259">
        <f>19</f>
        <v>19</v>
      </c>
      <c r="BK259">
        <f>26</f>
        <v>26</v>
      </c>
      <c r="BL259">
        <f>16</f>
        <v>16</v>
      </c>
      <c r="BM259">
        <f>15</f>
        <v>15</v>
      </c>
      <c r="BN259">
        <f>14</f>
        <v>14</v>
      </c>
      <c r="BO259">
        <f>10</f>
        <v>10</v>
      </c>
      <c r="BP259">
        <f>16</f>
        <v>16</v>
      </c>
      <c r="BQ259">
        <f>10</f>
        <v>10</v>
      </c>
      <c r="BR259">
        <f>8</f>
        <v>8</v>
      </c>
      <c r="BS259">
        <f>1</f>
        <v>1</v>
      </c>
      <c r="BT259">
        <f>2</f>
        <v>2</v>
      </c>
      <c r="BU259">
        <f>6</f>
        <v>6</v>
      </c>
      <c r="BV259">
        <f>8</f>
        <v>8</v>
      </c>
      <c r="BW259">
        <f>9</f>
        <v>9</v>
      </c>
      <c r="BX259">
        <f>8</f>
        <v>8</v>
      </c>
      <c r="BY259">
        <f>13</f>
        <v>13</v>
      </c>
      <c r="BZ259">
        <f>4</f>
        <v>4</v>
      </c>
      <c r="CA259">
        <f>9</f>
        <v>9</v>
      </c>
      <c r="CB259">
        <f>15</f>
        <v>15</v>
      </c>
      <c r="CC259">
        <f>11</f>
        <v>11</v>
      </c>
      <c r="CD259">
        <f>11</f>
        <v>11</v>
      </c>
      <c r="CE259">
        <f>13</f>
        <v>13</v>
      </c>
      <c r="CF259">
        <f>19</f>
        <v>19</v>
      </c>
      <c r="CG259">
        <f>12</f>
        <v>12</v>
      </c>
    </row>
    <row r="260" spans="1:85" x14ac:dyDescent="0.25">
      <c r="A260" t="str">
        <f>"    Isuzu"</f>
        <v xml:space="preserve">    Isuzu</v>
      </c>
      <c r="B260" t="str">
        <f>"7202 JP Equity"</f>
        <v>7202 JP Equity</v>
      </c>
      <c r="C260" t="str">
        <f t="shared" si="23"/>
        <v>X1701</v>
      </c>
      <c r="D260" t="str">
        <f t="shared" si="24"/>
        <v>WARDS_RETAIL_SALES_UNITS</v>
      </c>
      <c r="E260" t="str">
        <f t="shared" si="22"/>
        <v>Dynamic</v>
      </c>
      <c r="F260">
        <f ca="1">IF(AND(ISNUMBER($F$353),$B$294=1),$F$353,HLOOKUP(INDIRECT(ADDRESS(2,COLUMN())),OFFSET($AT$2,0,0,ROW()-1,40),ROW()-1,FALSE))</f>
        <v>2</v>
      </c>
      <c r="G260">
        <f ca="1">IF(AND(ISNUMBER($G$353),$B$294=1),$G$353,HLOOKUP(INDIRECT(ADDRESS(2,COLUMN())),OFFSET($AT$2,0,0,ROW()-1,40),ROW()-1,FALSE))</f>
        <v>1</v>
      </c>
      <c r="H260">
        <f ca="1">IF(AND(ISNUMBER($H$353),$B$294=1),$H$353,HLOOKUP(INDIRECT(ADDRESS(2,COLUMN())),OFFSET($AT$2,0,0,ROW()-1,40),ROW()-1,FALSE))</f>
        <v>1</v>
      </c>
      <c r="I260">
        <f ca="1">IF(AND(ISNUMBER($I$353),$B$294=1),$I$353,HLOOKUP(INDIRECT(ADDRESS(2,COLUMN())),OFFSET($AT$2,0,0,ROW()-1,40),ROW()-1,FALSE))</f>
        <v>0</v>
      </c>
      <c r="J260">
        <f ca="1">IF(AND(ISNUMBER($J$353),$B$294=1),$J$353,HLOOKUP(INDIRECT(ADDRESS(2,COLUMN())),OFFSET($AT$2,0,0,ROW()-1,40),ROW()-1,FALSE))</f>
        <v>0</v>
      </c>
      <c r="K260">
        <f ca="1">IF(AND(ISNUMBER($K$353),$B$294=1),$K$353,HLOOKUP(INDIRECT(ADDRESS(2,COLUMN())),OFFSET($AT$2,0,0,ROW()-1,40),ROW()-1,FALSE))</f>
        <v>0</v>
      </c>
      <c r="L260">
        <f ca="1">IF(AND(ISNUMBER($L$353),$B$294=1),$L$353,HLOOKUP(INDIRECT(ADDRESS(2,COLUMN())),OFFSET($AT$2,0,0,ROW()-1,40),ROW()-1,FALSE))</f>
        <v>0</v>
      </c>
      <c r="M260">
        <f ca="1">IF(AND(ISNUMBER($M$353),$B$294=1),$M$353,HLOOKUP(INDIRECT(ADDRESS(2,COLUMN())),OFFSET($AT$2,0,0,ROW()-1,40),ROW()-1,FALSE))</f>
        <v>0</v>
      </c>
      <c r="N260">
        <f ca="1">IF(AND(ISNUMBER($N$353),$B$294=1),$N$353,HLOOKUP(INDIRECT(ADDRESS(2,COLUMN())),OFFSET($AT$2,0,0,ROW()-1,40),ROW()-1,FALSE))</f>
        <v>0</v>
      </c>
      <c r="O260">
        <f ca="1">IF(AND(ISNUMBER($O$353),$B$294=1),$O$353,HLOOKUP(INDIRECT(ADDRESS(2,COLUMN())),OFFSET($AT$2,0,0,ROW()-1,40),ROW()-1,FALSE))</f>
        <v>0</v>
      </c>
      <c r="P260">
        <f ca="1">IF(AND(ISNUMBER($P$353),$B$294=1),$P$353,HLOOKUP(INDIRECT(ADDRESS(2,COLUMN())),OFFSET($AT$2,0,0,ROW()-1,40),ROW()-1,FALSE))</f>
        <v>0</v>
      </c>
      <c r="Q260">
        <f ca="1">IF(AND(ISNUMBER($Q$353),$B$294=1),$Q$353,HLOOKUP(INDIRECT(ADDRESS(2,COLUMN())),OFFSET($AT$2,0,0,ROW()-1,40),ROW()-1,FALSE))</f>
        <v>0</v>
      </c>
      <c r="R260">
        <f ca="1">IF(AND(ISNUMBER($R$353),$B$294=1),$R$353,HLOOKUP(INDIRECT(ADDRESS(2,COLUMN())),OFFSET($AT$2,0,0,ROW()-1,40),ROW()-1,FALSE))</f>
        <v>0</v>
      </c>
      <c r="S260">
        <f ca="1">IF(AND(ISNUMBER($S$353),$B$294=1),$S$353,HLOOKUP(INDIRECT(ADDRESS(2,COLUMN())),OFFSET($AT$2,0,0,ROW()-1,40),ROW()-1,FALSE))</f>
        <v>0</v>
      </c>
      <c r="T260">
        <f ca="1">IF(AND(ISNUMBER($T$353),$B$294=1),$T$353,HLOOKUP(INDIRECT(ADDRESS(2,COLUMN())),OFFSET($AT$2,0,0,ROW()-1,40),ROW()-1,FALSE))</f>
        <v>0</v>
      </c>
      <c r="U260">
        <f ca="1">IF(AND(ISNUMBER($U$353),$B$294=1),$U$353,HLOOKUP(INDIRECT(ADDRESS(2,COLUMN())),OFFSET($AT$2,0,0,ROW()-1,40),ROW()-1,FALSE))</f>
        <v>0</v>
      </c>
      <c r="V260">
        <f ca="1">IF(AND(ISNUMBER($V$353),$B$294=1),$V$353,HLOOKUP(INDIRECT(ADDRESS(2,COLUMN())),OFFSET($AT$2,0,0,ROW()-1,40),ROW()-1,FALSE))</f>
        <v>0</v>
      </c>
      <c r="W260">
        <f ca="1">IF(AND(ISNUMBER($W$353),$B$294=1),$W$353,HLOOKUP(INDIRECT(ADDRESS(2,COLUMN())),OFFSET($AT$2,0,0,ROW()-1,40),ROW()-1,FALSE))</f>
        <v>0</v>
      </c>
      <c r="X260">
        <f ca="1">IF(AND(ISNUMBER($X$353),$B$294=1),$X$353,HLOOKUP(INDIRECT(ADDRESS(2,COLUMN())),OFFSET($AT$2,0,0,ROW()-1,40),ROW()-1,FALSE))</f>
        <v>0</v>
      </c>
      <c r="Y260">
        <f ca="1">IF(AND(ISNUMBER($Y$353),$B$294=1),$Y$353,HLOOKUP(INDIRECT(ADDRESS(2,COLUMN())),OFFSET($AT$2,0,0,ROW()-1,40),ROW()-1,FALSE))</f>
        <v>0</v>
      </c>
      <c r="Z260">
        <f ca="1">IF(AND(ISNUMBER($Z$353),$B$294=1),$Z$353,HLOOKUP(INDIRECT(ADDRESS(2,COLUMN())),OFFSET($AT$2,0,0,ROW()-1,40),ROW()-1,FALSE))</f>
        <v>0</v>
      </c>
      <c r="AA260">
        <f ca="1">IF(AND(ISNUMBER($AA$353),$B$294=1),$AA$353,HLOOKUP(INDIRECT(ADDRESS(2,COLUMN())),OFFSET($AT$2,0,0,ROW()-1,40),ROW()-1,FALSE))</f>
        <v>0</v>
      </c>
      <c r="AB260" t="str">
        <f ca="1">IF(AND(ISNUMBER($AB$353),$B$294=1),$AB$353,HLOOKUP(INDIRECT(ADDRESS(2,COLUMN())),OFFSET($AT$2,0,0,ROW()-1,40),ROW()-1,FALSE))</f>
        <v/>
      </c>
      <c r="AC260" t="str">
        <f ca="1">IF(AND(ISNUMBER($AC$353),$B$294=1),$AC$353,HLOOKUP(INDIRECT(ADDRESS(2,COLUMN())),OFFSET($AT$2,0,0,ROW()-1,40),ROW()-1,FALSE))</f>
        <v/>
      </c>
      <c r="AD260" t="str">
        <f ca="1">IF(AND(ISNUMBER($AD$353),$B$294=1),$AD$353,HLOOKUP(INDIRECT(ADDRESS(2,COLUMN())),OFFSET($AT$2,0,0,ROW()-1,40),ROW()-1,FALSE))</f>
        <v/>
      </c>
      <c r="AE260" t="str">
        <f ca="1">IF(AND(ISNUMBER($AE$353),$B$294=1),$AE$353,HLOOKUP(INDIRECT(ADDRESS(2,COLUMN())),OFFSET($AT$2,0,0,ROW()-1,40),ROW()-1,FALSE))</f>
        <v/>
      </c>
      <c r="AF260" t="str">
        <f ca="1">IF(AND(ISNUMBER($AF$353),$B$294=1),$AF$353,HLOOKUP(INDIRECT(ADDRESS(2,COLUMN())),OFFSET($AT$2,0,0,ROW()-1,40),ROW()-1,FALSE))</f>
        <v/>
      </c>
      <c r="AG260" t="str">
        <f ca="1">IF(AND(ISNUMBER($AG$353),$B$294=1),$AG$353,HLOOKUP(INDIRECT(ADDRESS(2,COLUMN())),OFFSET($AT$2,0,0,ROW()-1,40),ROW()-1,FALSE))</f>
        <v/>
      </c>
      <c r="AH260" t="str">
        <f ca="1">IF(AND(ISNUMBER($AH$353),$B$294=1),$AH$353,HLOOKUP(INDIRECT(ADDRESS(2,COLUMN())),OFFSET($AT$2,0,0,ROW()-1,40),ROW()-1,FALSE))</f>
        <v/>
      </c>
      <c r="AI260" t="str">
        <f ca="1">IF(AND(ISNUMBER($AI$353),$B$294=1),$AI$353,HLOOKUP(INDIRECT(ADDRESS(2,COLUMN())),OFFSET($AT$2,0,0,ROW()-1,40),ROW()-1,FALSE))</f>
        <v/>
      </c>
      <c r="AJ260" t="str">
        <f ca="1">IF(AND(ISNUMBER($AJ$353),$B$294=1),$AJ$353,HLOOKUP(INDIRECT(ADDRESS(2,COLUMN())),OFFSET($AT$2,0,0,ROW()-1,40),ROW()-1,FALSE))</f>
        <v/>
      </c>
      <c r="AK260" t="str">
        <f ca="1">IF(AND(ISNUMBER($AK$353),$B$294=1),$AK$353,HLOOKUP(INDIRECT(ADDRESS(2,COLUMN())),OFFSET($AT$2,0,0,ROW()-1,40),ROW()-1,FALSE))</f>
        <v/>
      </c>
      <c r="AL260" t="str">
        <f ca="1">IF(AND(ISNUMBER($AL$353),$B$294=1),$AL$353,HLOOKUP(INDIRECT(ADDRESS(2,COLUMN())),OFFSET($AT$2,0,0,ROW()-1,40),ROW()-1,FALSE))</f>
        <v/>
      </c>
      <c r="AM260" t="str">
        <f ca="1">IF(AND(ISNUMBER($AM$353),$B$294=1),$AM$353,HLOOKUP(INDIRECT(ADDRESS(2,COLUMN())),OFFSET($AT$2,0,0,ROW()-1,40),ROW()-1,FALSE))</f>
        <v/>
      </c>
      <c r="AN260" t="str">
        <f ca="1">IF(AND(ISNUMBER($AN$353),$B$294=1),$AN$353,HLOOKUP(INDIRECT(ADDRESS(2,COLUMN())),OFFSET($AT$2,0,0,ROW()-1,40),ROW()-1,FALSE))</f>
        <v/>
      </c>
      <c r="AO260" t="str">
        <f ca="1">IF(AND(ISNUMBER($AO$353),$B$294=1),$AO$353,HLOOKUP(INDIRECT(ADDRESS(2,COLUMN())),OFFSET($AT$2,0,0,ROW()-1,40),ROW()-1,FALSE))</f>
        <v/>
      </c>
      <c r="AP260" t="str">
        <f ca="1">IF(AND(ISNUMBER($AP$353),$B$294=1),$AP$353,HLOOKUP(INDIRECT(ADDRESS(2,COLUMN())),OFFSET($AT$2,0,0,ROW()-1,40),ROW()-1,FALSE))</f>
        <v/>
      </c>
      <c r="AQ260" t="str">
        <f ca="1">IF(AND(ISNUMBER($AQ$353),$B$294=1),$AQ$353,HLOOKUP(INDIRECT(ADDRESS(2,COLUMN())),OFFSET($AT$2,0,0,ROW()-1,40),ROW()-1,FALSE))</f>
        <v/>
      </c>
      <c r="AR260" t="str">
        <f ca="1">IF(AND(ISNUMBER($AR$353),$B$294=1),$AR$353,HLOOKUP(INDIRECT(ADDRESS(2,COLUMN())),OFFSET($AT$2,0,0,ROW()-1,40),ROW()-1,FALSE))</f>
        <v/>
      </c>
      <c r="AS260" t="str">
        <f ca="1">IF(AND(ISNUMBER($AS$353),$B$294=1),$AS$353,HLOOKUP(INDIRECT(ADDRESS(2,COLUMN())),OFFSET($AT$2,0,0,ROW()-1,40),ROW()-1,FALSE))</f>
        <v/>
      </c>
      <c r="AT260">
        <f>2</f>
        <v>2</v>
      </c>
      <c r="AU260">
        <f>1</f>
        <v>1</v>
      </c>
      <c r="AV260">
        <f>1</f>
        <v>1</v>
      </c>
      <c r="AW260">
        <f>0</f>
        <v>0</v>
      </c>
      <c r="AX260">
        <f>0</f>
        <v>0</v>
      </c>
      <c r="AY260">
        <f>0</f>
        <v>0</v>
      </c>
      <c r="AZ260">
        <f>0</f>
        <v>0</v>
      </c>
      <c r="BA260">
        <f>0</f>
        <v>0</v>
      </c>
      <c r="BB260">
        <f>0</f>
        <v>0</v>
      </c>
      <c r="BC260">
        <f>0</f>
        <v>0</v>
      </c>
      <c r="BD260">
        <f>0</f>
        <v>0</v>
      </c>
      <c r="BE260">
        <f>0</f>
        <v>0</v>
      </c>
      <c r="BF260">
        <f>0</f>
        <v>0</v>
      </c>
      <c r="BG260">
        <f>0</f>
        <v>0</v>
      </c>
      <c r="BH260">
        <f>0</f>
        <v>0</v>
      </c>
      <c r="BI260">
        <f>0</f>
        <v>0</v>
      </c>
      <c r="BJ260">
        <f>0</f>
        <v>0</v>
      </c>
      <c r="BK260">
        <f>0</f>
        <v>0</v>
      </c>
      <c r="BL260">
        <f>0</f>
        <v>0</v>
      </c>
      <c r="BM260">
        <f>0</f>
        <v>0</v>
      </c>
      <c r="BN260">
        <f>0</f>
        <v>0</v>
      </c>
      <c r="BO260">
        <f>0</f>
        <v>0</v>
      </c>
      <c r="BP260" t="str">
        <f>""</f>
        <v/>
      </c>
      <c r="BQ260" t="str">
        <f>""</f>
        <v/>
      </c>
      <c r="BR260" t="str">
        <f>""</f>
        <v/>
      </c>
      <c r="BS260" t="str">
        <f>""</f>
        <v/>
      </c>
      <c r="BT260" t="str">
        <f>""</f>
        <v/>
      </c>
      <c r="BU260" t="str">
        <f>""</f>
        <v/>
      </c>
      <c r="BV260" t="str">
        <f>""</f>
        <v/>
      </c>
      <c r="BW260" t="str">
        <f>""</f>
        <v/>
      </c>
      <c r="BX260" t="str">
        <f>""</f>
        <v/>
      </c>
      <c r="BY260" t="str">
        <f>""</f>
        <v/>
      </c>
      <c r="BZ260" t="str">
        <f>""</f>
        <v/>
      </c>
      <c r="CA260" t="str">
        <f>""</f>
        <v/>
      </c>
      <c r="CB260" t="str">
        <f>""</f>
        <v/>
      </c>
      <c r="CC260" t="str">
        <f>""</f>
        <v/>
      </c>
      <c r="CD260" t="str">
        <f>""</f>
        <v/>
      </c>
      <c r="CE260" t="str">
        <f>""</f>
        <v/>
      </c>
      <c r="CF260" t="str">
        <f>""</f>
        <v/>
      </c>
      <c r="CG260" t="str">
        <f>""</f>
        <v/>
      </c>
    </row>
    <row r="261" spans="1:85" x14ac:dyDescent="0.25">
      <c r="A261" t="str">
        <f>"    General Motors - GMC"</f>
        <v xml:space="preserve">    General Motors - GMC</v>
      </c>
      <c r="B261" t="str">
        <f>"MTLQQ US Equity"</f>
        <v>MTLQQ US Equity</v>
      </c>
      <c r="C261" t="str">
        <f t="shared" si="23"/>
        <v>X1701</v>
      </c>
      <c r="D261" t="str">
        <f t="shared" si="24"/>
        <v>WARDS_RETAIL_SALES_UNITS</v>
      </c>
      <c r="E261" t="str">
        <f t="shared" si="22"/>
        <v>Dynamic</v>
      </c>
      <c r="F261" t="str">
        <f ca="1">IF(AND(ISNUMBER($F$354),$B$294=1),$F$354,HLOOKUP(INDIRECT(ADDRESS(2,COLUMN())),OFFSET($AT$2,0,0,ROW()-1,40),ROW()-1,FALSE))</f>
        <v/>
      </c>
      <c r="G261" t="str">
        <f ca="1">IF(AND(ISNUMBER($G$354),$B$294=1),$G$354,HLOOKUP(INDIRECT(ADDRESS(2,COLUMN())),OFFSET($AT$2,0,0,ROW()-1,40),ROW()-1,FALSE))</f>
        <v/>
      </c>
      <c r="H261" t="str">
        <f ca="1">IF(AND(ISNUMBER($H$354),$B$294=1),$H$354,HLOOKUP(INDIRECT(ADDRESS(2,COLUMN())),OFFSET($AT$2,0,0,ROW()-1,40),ROW()-1,FALSE))</f>
        <v/>
      </c>
      <c r="I261" t="str">
        <f ca="1">IF(AND(ISNUMBER($I$354),$B$294=1),$I$354,HLOOKUP(INDIRECT(ADDRESS(2,COLUMN())),OFFSET($AT$2,0,0,ROW()-1,40),ROW()-1,FALSE))</f>
        <v/>
      </c>
      <c r="J261" t="str">
        <f ca="1">IF(AND(ISNUMBER($J$354),$B$294=1),$J$354,HLOOKUP(INDIRECT(ADDRESS(2,COLUMN())),OFFSET($AT$2,0,0,ROW()-1,40),ROW()-1,FALSE))</f>
        <v/>
      </c>
      <c r="K261" t="str">
        <f ca="1">IF(AND(ISNUMBER($K$354),$B$294=1),$K$354,HLOOKUP(INDIRECT(ADDRESS(2,COLUMN())),OFFSET($AT$2,0,0,ROW()-1,40),ROW()-1,FALSE))</f>
        <v/>
      </c>
      <c r="L261" t="str">
        <f ca="1">IF(AND(ISNUMBER($L$354),$B$294=1),$L$354,HLOOKUP(INDIRECT(ADDRESS(2,COLUMN())),OFFSET($AT$2,0,0,ROW()-1,40),ROW()-1,FALSE))</f>
        <v/>
      </c>
      <c r="M261" t="str">
        <f ca="1">IF(AND(ISNUMBER($M$354),$B$294=1),$M$354,HLOOKUP(INDIRECT(ADDRESS(2,COLUMN())),OFFSET($AT$2,0,0,ROW()-1,40),ROW()-1,FALSE))</f>
        <v/>
      </c>
      <c r="N261" t="str">
        <f ca="1">IF(AND(ISNUMBER($N$354),$B$294=1),$N$354,HLOOKUP(INDIRECT(ADDRESS(2,COLUMN())),OFFSET($AT$2,0,0,ROW()-1,40),ROW()-1,FALSE))</f>
        <v/>
      </c>
      <c r="O261" t="str">
        <f ca="1">IF(AND(ISNUMBER($O$354),$B$294=1),$O$354,HLOOKUP(INDIRECT(ADDRESS(2,COLUMN())),OFFSET($AT$2,0,0,ROW()-1,40),ROW()-1,FALSE))</f>
        <v/>
      </c>
      <c r="P261" t="str">
        <f ca="1">IF(AND(ISNUMBER($P$354),$B$294=1),$P$354,HLOOKUP(INDIRECT(ADDRESS(2,COLUMN())),OFFSET($AT$2,0,0,ROW()-1,40),ROW()-1,FALSE))</f>
        <v/>
      </c>
      <c r="Q261" t="str">
        <f ca="1">IF(AND(ISNUMBER($Q$354),$B$294=1),$Q$354,HLOOKUP(INDIRECT(ADDRESS(2,COLUMN())),OFFSET($AT$2,0,0,ROW()-1,40),ROW()-1,FALSE))</f>
        <v/>
      </c>
      <c r="R261" t="str">
        <f ca="1">IF(AND(ISNUMBER($R$354),$B$294=1),$R$354,HLOOKUP(INDIRECT(ADDRESS(2,COLUMN())),OFFSET($AT$2,0,0,ROW()-1,40),ROW()-1,FALSE))</f>
        <v/>
      </c>
      <c r="S261" t="str">
        <f ca="1">IF(AND(ISNUMBER($S$354),$B$294=1),$S$354,HLOOKUP(INDIRECT(ADDRESS(2,COLUMN())),OFFSET($AT$2,0,0,ROW()-1,40),ROW()-1,FALSE))</f>
        <v/>
      </c>
      <c r="T261" t="str">
        <f ca="1">IF(AND(ISNUMBER($T$354),$B$294=1),$T$354,HLOOKUP(INDIRECT(ADDRESS(2,COLUMN())),OFFSET($AT$2,0,0,ROW()-1,40),ROW()-1,FALSE))</f>
        <v/>
      </c>
      <c r="U261" t="str">
        <f ca="1">IF(AND(ISNUMBER($U$354),$B$294=1),$U$354,HLOOKUP(INDIRECT(ADDRESS(2,COLUMN())),OFFSET($AT$2,0,0,ROW()-1,40),ROW()-1,FALSE))</f>
        <v/>
      </c>
      <c r="V261" t="str">
        <f ca="1">IF(AND(ISNUMBER($V$354),$B$294=1),$V$354,HLOOKUP(INDIRECT(ADDRESS(2,COLUMN())),OFFSET($AT$2,0,0,ROW()-1,40),ROW()-1,FALSE))</f>
        <v/>
      </c>
      <c r="W261" t="str">
        <f ca="1">IF(AND(ISNUMBER($W$354),$B$294=1),$W$354,HLOOKUP(INDIRECT(ADDRESS(2,COLUMN())),OFFSET($AT$2,0,0,ROW()-1,40),ROW()-1,FALSE))</f>
        <v/>
      </c>
      <c r="X261" t="str">
        <f ca="1">IF(AND(ISNUMBER($X$354),$B$294=1),$X$354,HLOOKUP(INDIRECT(ADDRESS(2,COLUMN())),OFFSET($AT$2,0,0,ROW()-1,40),ROW()-1,FALSE))</f>
        <v/>
      </c>
      <c r="Y261" t="str">
        <f ca="1">IF(AND(ISNUMBER($Y$354),$B$294=1),$Y$354,HLOOKUP(INDIRECT(ADDRESS(2,COLUMN())),OFFSET($AT$2,0,0,ROW()-1,40),ROW()-1,FALSE))</f>
        <v/>
      </c>
      <c r="Z261" t="str">
        <f ca="1">IF(AND(ISNUMBER($Z$354),$B$294=1),$Z$354,HLOOKUP(INDIRECT(ADDRESS(2,COLUMN())),OFFSET($AT$2,0,0,ROW()-1,40),ROW()-1,FALSE))</f>
        <v/>
      </c>
      <c r="AA261" t="str">
        <f ca="1">IF(AND(ISNUMBER($AA$354),$B$294=1),$AA$354,HLOOKUP(INDIRECT(ADDRESS(2,COLUMN())),OFFSET($AT$2,0,0,ROW()-1,40),ROW()-1,FALSE))</f>
        <v/>
      </c>
      <c r="AB261" t="str">
        <f ca="1">IF(AND(ISNUMBER($AB$354),$B$294=1),$AB$354,HLOOKUP(INDIRECT(ADDRESS(2,COLUMN())),OFFSET($AT$2,0,0,ROW()-1,40),ROW()-1,FALSE))</f>
        <v/>
      </c>
      <c r="AC261" t="str">
        <f ca="1">IF(AND(ISNUMBER($AC$354),$B$294=1),$AC$354,HLOOKUP(INDIRECT(ADDRESS(2,COLUMN())),OFFSET($AT$2,0,0,ROW()-1,40),ROW()-1,FALSE))</f>
        <v/>
      </c>
      <c r="AD261" t="str">
        <f ca="1">IF(AND(ISNUMBER($AD$354),$B$294=1),$AD$354,HLOOKUP(INDIRECT(ADDRESS(2,COLUMN())),OFFSET($AT$2,0,0,ROW()-1,40),ROW()-1,FALSE))</f>
        <v/>
      </c>
      <c r="AE261" t="str">
        <f ca="1">IF(AND(ISNUMBER($AE$354),$B$294=1),$AE$354,HLOOKUP(INDIRECT(ADDRESS(2,COLUMN())),OFFSET($AT$2,0,0,ROW()-1,40),ROW()-1,FALSE))</f>
        <v/>
      </c>
      <c r="AF261" t="str">
        <f ca="1">IF(AND(ISNUMBER($AF$354),$B$294=1),$AF$354,HLOOKUP(INDIRECT(ADDRESS(2,COLUMN())),OFFSET($AT$2,0,0,ROW()-1,40),ROW()-1,FALSE))</f>
        <v/>
      </c>
      <c r="AG261" t="str">
        <f ca="1">IF(AND(ISNUMBER($AG$354),$B$294=1),$AG$354,HLOOKUP(INDIRECT(ADDRESS(2,COLUMN())),OFFSET($AT$2,0,0,ROW()-1,40),ROW()-1,FALSE))</f>
        <v/>
      </c>
      <c r="AH261" t="str">
        <f ca="1">IF(AND(ISNUMBER($AH$354),$B$294=1),$AH$354,HLOOKUP(INDIRECT(ADDRESS(2,COLUMN())),OFFSET($AT$2,0,0,ROW()-1,40),ROW()-1,FALSE))</f>
        <v/>
      </c>
      <c r="AI261" t="str">
        <f ca="1">IF(AND(ISNUMBER($AI$354),$B$294=1),$AI$354,HLOOKUP(INDIRECT(ADDRESS(2,COLUMN())),OFFSET($AT$2,0,0,ROW()-1,40),ROW()-1,FALSE))</f>
        <v/>
      </c>
      <c r="AJ261" t="str">
        <f ca="1">IF(AND(ISNUMBER($AJ$354),$B$294=1),$AJ$354,HLOOKUP(INDIRECT(ADDRESS(2,COLUMN())),OFFSET($AT$2,0,0,ROW()-1,40),ROW()-1,FALSE))</f>
        <v/>
      </c>
      <c r="AK261" t="str">
        <f ca="1">IF(AND(ISNUMBER($AK$354),$B$294=1),$AK$354,HLOOKUP(INDIRECT(ADDRESS(2,COLUMN())),OFFSET($AT$2,0,0,ROW()-1,40),ROW()-1,FALSE))</f>
        <v/>
      </c>
      <c r="AL261" t="str">
        <f ca="1">IF(AND(ISNUMBER($AL$354),$B$294=1),$AL$354,HLOOKUP(INDIRECT(ADDRESS(2,COLUMN())),OFFSET($AT$2,0,0,ROW()-1,40),ROW()-1,FALSE))</f>
        <v/>
      </c>
      <c r="AM261" t="str">
        <f ca="1">IF(AND(ISNUMBER($AM$354),$B$294=1),$AM$354,HLOOKUP(INDIRECT(ADDRESS(2,COLUMN())),OFFSET($AT$2,0,0,ROW()-1,40),ROW()-1,FALSE))</f>
        <v/>
      </c>
      <c r="AN261" t="str">
        <f ca="1">IF(AND(ISNUMBER($AN$354),$B$294=1),$AN$354,HLOOKUP(INDIRECT(ADDRESS(2,COLUMN())),OFFSET($AT$2,0,0,ROW()-1,40),ROW()-1,FALSE))</f>
        <v/>
      </c>
      <c r="AO261" t="str">
        <f ca="1">IF(AND(ISNUMBER($AO$354),$B$294=1),$AO$354,HLOOKUP(INDIRECT(ADDRESS(2,COLUMN())),OFFSET($AT$2,0,0,ROW()-1,40),ROW()-1,FALSE))</f>
        <v/>
      </c>
      <c r="AP261" t="str">
        <f ca="1">IF(AND(ISNUMBER($AP$354),$B$294=1),$AP$354,HLOOKUP(INDIRECT(ADDRESS(2,COLUMN())),OFFSET($AT$2,0,0,ROW()-1,40),ROW()-1,FALSE))</f>
        <v/>
      </c>
      <c r="AQ261" t="str">
        <f ca="1">IF(AND(ISNUMBER($AQ$354),$B$294=1),$AQ$354,HLOOKUP(INDIRECT(ADDRESS(2,COLUMN())),OFFSET($AT$2,0,0,ROW()-1,40),ROW()-1,FALSE))</f>
        <v/>
      </c>
      <c r="AR261" t="str">
        <f ca="1">IF(AND(ISNUMBER($AR$354),$B$294=1),$AR$354,HLOOKUP(INDIRECT(ADDRESS(2,COLUMN())),OFFSET($AT$2,0,0,ROW()-1,40),ROW()-1,FALSE))</f>
        <v/>
      </c>
      <c r="AS261" t="str">
        <f ca="1">IF(AND(ISNUMBER($AS$354),$B$294=1),$AS$354,HLOOKUP(INDIRECT(ADDRESS(2,COLUMN())),OFFSET($AT$2,0,0,ROW()-1,40),ROW()-1,FALSE))</f>
        <v/>
      </c>
      <c r="AT261" t="str">
        <f>""</f>
        <v/>
      </c>
      <c r="AU261" t="str">
        <f>""</f>
        <v/>
      </c>
      <c r="AV261" t="str">
        <f>""</f>
        <v/>
      </c>
      <c r="AW261" t="str">
        <f>""</f>
        <v/>
      </c>
      <c r="AX261" t="str">
        <f>""</f>
        <v/>
      </c>
      <c r="AY261" t="str">
        <f>""</f>
        <v/>
      </c>
      <c r="AZ261" t="str">
        <f>""</f>
        <v/>
      </c>
      <c r="BA261" t="str">
        <f>""</f>
        <v/>
      </c>
      <c r="BB261" t="str">
        <f>""</f>
        <v/>
      </c>
      <c r="BC261" t="str">
        <f>""</f>
        <v/>
      </c>
      <c r="BD261" t="str">
        <f>""</f>
        <v/>
      </c>
      <c r="BE261" t="str">
        <f>""</f>
        <v/>
      </c>
      <c r="BF261" t="str">
        <f>""</f>
        <v/>
      </c>
      <c r="BG261" t="str">
        <f>""</f>
        <v/>
      </c>
      <c r="BH261" t="str">
        <f>""</f>
        <v/>
      </c>
      <c r="BI261" t="str">
        <f>""</f>
        <v/>
      </c>
      <c r="BJ261" t="str">
        <f>""</f>
        <v/>
      </c>
      <c r="BK261" t="str">
        <f>""</f>
        <v/>
      </c>
      <c r="BL261" t="str">
        <f>""</f>
        <v/>
      </c>
      <c r="BM261" t="str">
        <f>""</f>
        <v/>
      </c>
      <c r="BN261" t="str">
        <f>""</f>
        <v/>
      </c>
      <c r="BO261" t="str">
        <f>""</f>
        <v/>
      </c>
      <c r="BP261" t="str">
        <f>""</f>
        <v/>
      </c>
      <c r="BQ261" t="str">
        <f>""</f>
        <v/>
      </c>
      <c r="BR261" t="str">
        <f>""</f>
        <v/>
      </c>
      <c r="BS261" t="str">
        <f>""</f>
        <v/>
      </c>
      <c r="BT261" t="str">
        <f>""</f>
        <v/>
      </c>
      <c r="BU261" t="str">
        <f>""</f>
        <v/>
      </c>
      <c r="BV261" t="str">
        <f>""</f>
        <v/>
      </c>
      <c r="BW261" t="str">
        <f>""</f>
        <v/>
      </c>
      <c r="BX261" t="str">
        <f>""</f>
        <v/>
      </c>
      <c r="BY261" t="str">
        <f>""</f>
        <v/>
      </c>
      <c r="BZ261" t="str">
        <f>""</f>
        <v/>
      </c>
      <c r="CA261" t="str">
        <f>""</f>
        <v/>
      </c>
      <c r="CB261" t="str">
        <f>""</f>
        <v/>
      </c>
      <c r="CC261" t="str">
        <f>""</f>
        <v/>
      </c>
      <c r="CD261" t="str">
        <f>""</f>
        <v/>
      </c>
      <c r="CE261" t="str">
        <f>""</f>
        <v/>
      </c>
      <c r="CF261" t="str">
        <f>""</f>
        <v/>
      </c>
      <c r="CG261" t="str">
        <f>""</f>
        <v/>
      </c>
    </row>
    <row r="262" spans="1:85" x14ac:dyDescent="0.25">
      <c r="A262" t="str">
        <f>"    General Motors - Chevrolet"</f>
        <v xml:space="preserve">    General Motors - Chevrolet</v>
      </c>
      <c r="B262" t="str">
        <f>"MTLQQ US Equity"</f>
        <v>MTLQQ US Equity</v>
      </c>
      <c r="C262" t="str">
        <f t="shared" si="23"/>
        <v>X1701</v>
      </c>
      <c r="D262" t="str">
        <f t="shared" si="24"/>
        <v>WARDS_RETAIL_SALES_UNITS</v>
      </c>
      <c r="E262" t="str">
        <f t="shared" si="22"/>
        <v>Dynamic</v>
      </c>
      <c r="F262" t="str">
        <f ca="1">IF(AND(ISNUMBER($F$355),$B$294=1),$F$355,HLOOKUP(INDIRECT(ADDRESS(2,COLUMN())),OFFSET($AT$2,0,0,ROW()-1,40),ROW()-1,FALSE))</f>
        <v/>
      </c>
      <c r="G262" t="str">
        <f ca="1">IF(AND(ISNUMBER($G$355),$B$294=1),$G$355,HLOOKUP(INDIRECT(ADDRESS(2,COLUMN())),OFFSET($AT$2,0,0,ROW()-1,40),ROW()-1,FALSE))</f>
        <v/>
      </c>
      <c r="H262" t="str">
        <f ca="1">IF(AND(ISNUMBER($H$355),$B$294=1),$H$355,HLOOKUP(INDIRECT(ADDRESS(2,COLUMN())),OFFSET($AT$2,0,0,ROW()-1,40),ROW()-1,FALSE))</f>
        <v/>
      </c>
      <c r="I262" t="str">
        <f ca="1">IF(AND(ISNUMBER($I$355),$B$294=1),$I$355,HLOOKUP(INDIRECT(ADDRESS(2,COLUMN())),OFFSET($AT$2,0,0,ROW()-1,40),ROW()-1,FALSE))</f>
        <v/>
      </c>
      <c r="J262" t="str">
        <f ca="1">IF(AND(ISNUMBER($J$355),$B$294=1),$J$355,HLOOKUP(INDIRECT(ADDRESS(2,COLUMN())),OFFSET($AT$2,0,0,ROW()-1,40),ROW()-1,FALSE))</f>
        <v/>
      </c>
      <c r="K262" t="str">
        <f ca="1">IF(AND(ISNUMBER($K$355),$B$294=1),$K$355,HLOOKUP(INDIRECT(ADDRESS(2,COLUMN())),OFFSET($AT$2,0,0,ROW()-1,40),ROW()-1,FALSE))</f>
        <v/>
      </c>
      <c r="L262" t="str">
        <f ca="1">IF(AND(ISNUMBER($L$355),$B$294=1),$L$355,HLOOKUP(INDIRECT(ADDRESS(2,COLUMN())),OFFSET($AT$2,0,0,ROW()-1,40),ROW()-1,FALSE))</f>
        <v/>
      </c>
      <c r="M262" t="str">
        <f ca="1">IF(AND(ISNUMBER($M$355),$B$294=1),$M$355,HLOOKUP(INDIRECT(ADDRESS(2,COLUMN())),OFFSET($AT$2,0,0,ROW()-1,40),ROW()-1,FALSE))</f>
        <v/>
      </c>
      <c r="N262" t="str">
        <f ca="1">IF(AND(ISNUMBER($N$355),$B$294=1),$N$355,HLOOKUP(INDIRECT(ADDRESS(2,COLUMN())),OFFSET($AT$2,0,0,ROW()-1,40),ROW()-1,FALSE))</f>
        <v/>
      </c>
      <c r="O262" t="str">
        <f ca="1">IF(AND(ISNUMBER($O$355),$B$294=1),$O$355,HLOOKUP(INDIRECT(ADDRESS(2,COLUMN())),OFFSET($AT$2,0,0,ROW()-1,40),ROW()-1,FALSE))</f>
        <v/>
      </c>
      <c r="P262" t="str">
        <f ca="1">IF(AND(ISNUMBER($P$355),$B$294=1),$P$355,HLOOKUP(INDIRECT(ADDRESS(2,COLUMN())),OFFSET($AT$2,0,0,ROW()-1,40),ROW()-1,FALSE))</f>
        <v/>
      </c>
      <c r="Q262" t="str">
        <f ca="1">IF(AND(ISNUMBER($Q$355),$B$294=1),$Q$355,HLOOKUP(INDIRECT(ADDRESS(2,COLUMN())),OFFSET($AT$2,0,0,ROW()-1,40),ROW()-1,FALSE))</f>
        <v/>
      </c>
      <c r="R262" t="str">
        <f ca="1">IF(AND(ISNUMBER($R$355),$B$294=1),$R$355,HLOOKUP(INDIRECT(ADDRESS(2,COLUMN())),OFFSET($AT$2,0,0,ROW()-1,40),ROW()-1,FALSE))</f>
        <v/>
      </c>
      <c r="S262" t="str">
        <f ca="1">IF(AND(ISNUMBER($S$355),$B$294=1),$S$355,HLOOKUP(INDIRECT(ADDRESS(2,COLUMN())),OFFSET($AT$2,0,0,ROW()-1,40),ROW()-1,FALSE))</f>
        <v/>
      </c>
      <c r="T262" t="str">
        <f ca="1">IF(AND(ISNUMBER($T$355),$B$294=1),$T$355,HLOOKUP(INDIRECT(ADDRESS(2,COLUMN())),OFFSET($AT$2,0,0,ROW()-1,40),ROW()-1,FALSE))</f>
        <v/>
      </c>
      <c r="U262" t="str">
        <f ca="1">IF(AND(ISNUMBER($U$355),$B$294=1),$U$355,HLOOKUP(INDIRECT(ADDRESS(2,COLUMN())),OFFSET($AT$2,0,0,ROW()-1,40),ROW()-1,FALSE))</f>
        <v/>
      </c>
      <c r="V262" t="str">
        <f ca="1">IF(AND(ISNUMBER($V$355),$B$294=1),$V$355,HLOOKUP(INDIRECT(ADDRESS(2,COLUMN())),OFFSET($AT$2,0,0,ROW()-1,40),ROW()-1,FALSE))</f>
        <v/>
      </c>
      <c r="W262" t="str">
        <f ca="1">IF(AND(ISNUMBER($W$355),$B$294=1),$W$355,HLOOKUP(INDIRECT(ADDRESS(2,COLUMN())),OFFSET($AT$2,0,0,ROW()-1,40),ROW()-1,FALSE))</f>
        <v/>
      </c>
      <c r="X262" t="str">
        <f ca="1">IF(AND(ISNUMBER($X$355),$B$294=1),$X$355,HLOOKUP(INDIRECT(ADDRESS(2,COLUMN())),OFFSET($AT$2,0,0,ROW()-1,40),ROW()-1,FALSE))</f>
        <v/>
      </c>
      <c r="Y262" t="str">
        <f ca="1">IF(AND(ISNUMBER($Y$355),$B$294=1),$Y$355,HLOOKUP(INDIRECT(ADDRESS(2,COLUMN())),OFFSET($AT$2,0,0,ROW()-1,40),ROW()-1,FALSE))</f>
        <v/>
      </c>
      <c r="Z262" t="str">
        <f ca="1">IF(AND(ISNUMBER($Z$355),$B$294=1),$Z$355,HLOOKUP(INDIRECT(ADDRESS(2,COLUMN())),OFFSET($AT$2,0,0,ROW()-1,40),ROW()-1,FALSE))</f>
        <v/>
      </c>
      <c r="AA262" t="str">
        <f ca="1">IF(AND(ISNUMBER($AA$355),$B$294=1),$AA$355,HLOOKUP(INDIRECT(ADDRESS(2,COLUMN())),OFFSET($AT$2,0,0,ROW()-1,40),ROW()-1,FALSE))</f>
        <v/>
      </c>
      <c r="AB262" t="str">
        <f ca="1">IF(AND(ISNUMBER($AB$355),$B$294=1),$AB$355,HLOOKUP(INDIRECT(ADDRESS(2,COLUMN())),OFFSET($AT$2,0,0,ROW()-1,40),ROW()-1,FALSE))</f>
        <v/>
      </c>
      <c r="AC262" t="str">
        <f ca="1">IF(AND(ISNUMBER($AC$355),$B$294=1),$AC$355,HLOOKUP(INDIRECT(ADDRESS(2,COLUMN())),OFFSET($AT$2,0,0,ROW()-1,40),ROW()-1,FALSE))</f>
        <v/>
      </c>
      <c r="AD262" t="str">
        <f ca="1">IF(AND(ISNUMBER($AD$355),$B$294=1),$AD$355,HLOOKUP(INDIRECT(ADDRESS(2,COLUMN())),OFFSET($AT$2,0,0,ROW()-1,40),ROW()-1,FALSE))</f>
        <v/>
      </c>
      <c r="AE262" t="str">
        <f ca="1">IF(AND(ISNUMBER($AE$355),$B$294=1),$AE$355,HLOOKUP(INDIRECT(ADDRESS(2,COLUMN())),OFFSET($AT$2,0,0,ROW()-1,40),ROW()-1,FALSE))</f>
        <v/>
      </c>
      <c r="AF262" t="str">
        <f ca="1">IF(AND(ISNUMBER($AF$355),$B$294=1),$AF$355,HLOOKUP(INDIRECT(ADDRESS(2,COLUMN())),OFFSET($AT$2,0,0,ROW()-1,40),ROW()-1,FALSE))</f>
        <v/>
      </c>
      <c r="AG262" t="str">
        <f ca="1">IF(AND(ISNUMBER($AG$355),$B$294=1),$AG$355,HLOOKUP(INDIRECT(ADDRESS(2,COLUMN())),OFFSET($AT$2,0,0,ROW()-1,40),ROW()-1,FALSE))</f>
        <v/>
      </c>
      <c r="AH262" t="str">
        <f ca="1">IF(AND(ISNUMBER($AH$355),$B$294=1),$AH$355,HLOOKUP(INDIRECT(ADDRESS(2,COLUMN())),OFFSET($AT$2,0,0,ROW()-1,40),ROW()-1,FALSE))</f>
        <v/>
      </c>
      <c r="AI262" t="str">
        <f ca="1">IF(AND(ISNUMBER($AI$355),$B$294=1),$AI$355,HLOOKUP(INDIRECT(ADDRESS(2,COLUMN())),OFFSET($AT$2,0,0,ROW()-1,40),ROW()-1,FALSE))</f>
        <v/>
      </c>
      <c r="AJ262" t="str">
        <f ca="1">IF(AND(ISNUMBER($AJ$355),$B$294=1),$AJ$355,HLOOKUP(INDIRECT(ADDRESS(2,COLUMN())),OFFSET($AT$2,0,0,ROW()-1,40),ROW()-1,FALSE))</f>
        <v/>
      </c>
      <c r="AK262" t="str">
        <f ca="1">IF(AND(ISNUMBER($AK$355),$B$294=1),$AK$355,HLOOKUP(INDIRECT(ADDRESS(2,COLUMN())),OFFSET($AT$2,0,0,ROW()-1,40),ROW()-1,FALSE))</f>
        <v/>
      </c>
      <c r="AL262" t="str">
        <f ca="1">IF(AND(ISNUMBER($AL$355),$B$294=1),$AL$355,HLOOKUP(INDIRECT(ADDRESS(2,COLUMN())),OFFSET($AT$2,0,0,ROW()-1,40),ROW()-1,FALSE))</f>
        <v/>
      </c>
      <c r="AM262" t="str">
        <f ca="1">IF(AND(ISNUMBER($AM$355),$B$294=1),$AM$355,HLOOKUP(INDIRECT(ADDRESS(2,COLUMN())),OFFSET($AT$2,0,0,ROW()-1,40),ROW()-1,FALSE))</f>
        <v/>
      </c>
      <c r="AN262" t="str">
        <f ca="1">IF(AND(ISNUMBER($AN$355),$B$294=1),$AN$355,HLOOKUP(INDIRECT(ADDRESS(2,COLUMN())),OFFSET($AT$2,0,0,ROW()-1,40),ROW()-1,FALSE))</f>
        <v/>
      </c>
      <c r="AO262" t="str">
        <f ca="1">IF(AND(ISNUMBER($AO$355),$B$294=1),$AO$355,HLOOKUP(INDIRECT(ADDRESS(2,COLUMN())),OFFSET($AT$2,0,0,ROW()-1,40),ROW()-1,FALSE))</f>
        <v/>
      </c>
      <c r="AP262" t="str">
        <f ca="1">IF(AND(ISNUMBER($AP$355),$B$294=1),$AP$355,HLOOKUP(INDIRECT(ADDRESS(2,COLUMN())),OFFSET($AT$2,0,0,ROW()-1,40),ROW()-1,FALSE))</f>
        <v/>
      </c>
      <c r="AQ262" t="str">
        <f ca="1">IF(AND(ISNUMBER($AQ$355),$B$294=1),$AQ$355,HLOOKUP(INDIRECT(ADDRESS(2,COLUMN())),OFFSET($AT$2,0,0,ROW()-1,40),ROW()-1,FALSE))</f>
        <v/>
      </c>
      <c r="AR262" t="str">
        <f ca="1">IF(AND(ISNUMBER($AR$355),$B$294=1),$AR$355,HLOOKUP(INDIRECT(ADDRESS(2,COLUMN())),OFFSET($AT$2,0,0,ROW()-1,40),ROW()-1,FALSE))</f>
        <v/>
      </c>
      <c r="AS262" t="str">
        <f ca="1">IF(AND(ISNUMBER($AS$355),$B$294=1),$AS$355,HLOOKUP(INDIRECT(ADDRESS(2,COLUMN())),OFFSET($AT$2,0,0,ROW()-1,40),ROW()-1,FALSE))</f>
        <v/>
      </c>
      <c r="AT262" t="str">
        <f>""</f>
        <v/>
      </c>
      <c r="AU262" t="str">
        <f>""</f>
        <v/>
      </c>
      <c r="AV262" t="str">
        <f>""</f>
        <v/>
      </c>
      <c r="AW262" t="str">
        <f>""</f>
        <v/>
      </c>
      <c r="AX262" t="str">
        <f>""</f>
        <v/>
      </c>
      <c r="AY262" t="str">
        <f>""</f>
        <v/>
      </c>
      <c r="AZ262" t="str">
        <f>""</f>
        <v/>
      </c>
      <c r="BA262" t="str">
        <f>""</f>
        <v/>
      </c>
      <c r="BB262" t="str">
        <f>""</f>
        <v/>
      </c>
      <c r="BC262" t="str">
        <f>""</f>
        <v/>
      </c>
      <c r="BD262" t="str">
        <f>""</f>
        <v/>
      </c>
      <c r="BE262" t="str">
        <f>""</f>
        <v/>
      </c>
      <c r="BF262" t="str">
        <f>""</f>
        <v/>
      </c>
      <c r="BG262" t="str">
        <f>""</f>
        <v/>
      </c>
      <c r="BH262" t="str">
        <f>""</f>
        <v/>
      </c>
      <c r="BI262" t="str">
        <f>""</f>
        <v/>
      </c>
      <c r="BJ262" t="str">
        <f>""</f>
        <v/>
      </c>
      <c r="BK262" t="str">
        <f>""</f>
        <v/>
      </c>
      <c r="BL262" t="str">
        <f>""</f>
        <v/>
      </c>
      <c r="BM262" t="str">
        <f>""</f>
        <v/>
      </c>
      <c r="BN262" t="str">
        <f>""</f>
        <v/>
      </c>
      <c r="BO262" t="str">
        <f>""</f>
        <v/>
      </c>
      <c r="BP262" t="str">
        <f>""</f>
        <v/>
      </c>
      <c r="BQ262" t="str">
        <f>""</f>
        <v/>
      </c>
      <c r="BR262" t="str">
        <f>""</f>
        <v/>
      </c>
      <c r="BS262" t="str">
        <f>""</f>
        <v/>
      </c>
      <c r="BT262" t="str">
        <f>""</f>
        <v/>
      </c>
      <c r="BU262" t="str">
        <f>""</f>
        <v/>
      </c>
      <c r="BV262" t="str">
        <f>""</f>
        <v/>
      </c>
      <c r="BW262" t="str">
        <f>""</f>
        <v/>
      </c>
      <c r="BX262" t="str">
        <f>""</f>
        <v/>
      </c>
      <c r="BY262" t="str">
        <f>""</f>
        <v/>
      </c>
      <c r="BZ262" t="str">
        <f>""</f>
        <v/>
      </c>
      <c r="CA262" t="str">
        <f>""</f>
        <v/>
      </c>
      <c r="CB262" t="str">
        <f>""</f>
        <v/>
      </c>
      <c r="CC262" t="str">
        <f>""</f>
        <v/>
      </c>
      <c r="CD262" t="str">
        <f>""</f>
        <v/>
      </c>
      <c r="CE262" t="str">
        <f>""</f>
        <v/>
      </c>
      <c r="CF262" t="str">
        <f>""</f>
        <v/>
      </c>
      <c r="CG262" t="str">
        <f>""</f>
        <v/>
      </c>
    </row>
    <row r="263" spans="1:85" x14ac:dyDescent="0.25">
      <c r="A263" t="str">
        <f>"    Volvo - Mack"</f>
        <v xml:space="preserve">    Volvo - Mack</v>
      </c>
      <c r="B263" t="str">
        <f>"VOLVB SS Equity"</f>
        <v>VOLVB SS Equity</v>
      </c>
      <c r="C263" t="str">
        <f t="shared" si="23"/>
        <v>X1701</v>
      </c>
      <c r="D263" t="str">
        <f t="shared" si="24"/>
        <v>WARDS_RETAIL_SALES_UNITS</v>
      </c>
      <c r="E263" t="str">
        <f t="shared" si="22"/>
        <v>Dynamic</v>
      </c>
      <c r="F263" t="str">
        <f ca="1">IF(AND(ISNUMBER($F$356),$B$294=1),$F$356,HLOOKUP(INDIRECT(ADDRESS(2,COLUMN())),OFFSET($AT$2,0,0,ROW()-1,40),ROW()-1,FALSE))</f>
        <v/>
      </c>
      <c r="G263" t="str">
        <f ca="1">IF(AND(ISNUMBER($G$356),$B$294=1),$G$356,HLOOKUP(INDIRECT(ADDRESS(2,COLUMN())),OFFSET($AT$2,0,0,ROW()-1,40),ROW()-1,FALSE))</f>
        <v/>
      </c>
      <c r="H263" t="str">
        <f ca="1">IF(AND(ISNUMBER($H$356),$B$294=1),$H$356,HLOOKUP(INDIRECT(ADDRESS(2,COLUMN())),OFFSET($AT$2,0,0,ROW()-1,40),ROW()-1,FALSE))</f>
        <v/>
      </c>
      <c r="I263" t="str">
        <f ca="1">IF(AND(ISNUMBER($I$356),$B$294=1),$I$356,HLOOKUP(INDIRECT(ADDRESS(2,COLUMN())),OFFSET($AT$2,0,0,ROW()-1,40),ROW()-1,FALSE))</f>
        <v/>
      </c>
      <c r="J263" t="str">
        <f ca="1">IF(AND(ISNUMBER($J$356),$B$294=1),$J$356,HLOOKUP(INDIRECT(ADDRESS(2,COLUMN())),OFFSET($AT$2,0,0,ROW()-1,40),ROW()-1,FALSE))</f>
        <v/>
      </c>
      <c r="K263" t="str">
        <f ca="1">IF(AND(ISNUMBER($K$356),$B$294=1),$K$356,HLOOKUP(INDIRECT(ADDRESS(2,COLUMN())),OFFSET($AT$2,0,0,ROW()-1,40),ROW()-1,FALSE))</f>
        <v/>
      </c>
      <c r="L263" t="str">
        <f ca="1">IF(AND(ISNUMBER($L$356),$B$294=1),$L$356,HLOOKUP(INDIRECT(ADDRESS(2,COLUMN())),OFFSET($AT$2,0,0,ROW()-1,40),ROW()-1,FALSE))</f>
        <v/>
      </c>
      <c r="M263" t="str">
        <f ca="1">IF(AND(ISNUMBER($M$356),$B$294=1),$M$356,HLOOKUP(INDIRECT(ADDRESS(2,COLUMN())),OFFSET($AT$2,0,0,ROW()-1,40),ROW()-1,FALSE))</f>
        <v/>
      </c>
      <c r="N263" t="str">
        <f ca="1">IF(AND(ISNUMBER($N$356),$B$294=1),$N$356,HLOOKUP(INDIRECT(ADDRESS(2,COLUMN())),OFFSET($AT$2,0,0,ROW()-1,40),ROW()-1,FALSE))</f>
        <v/>
      </c>
      <c r="O263" t="str">
        <f ca="1">IF(AND(ISNUMBER($O$356),$B$294=1),$O$356,HLOOKUP(INDIRECT(ADDRESS(2,COLUMN())),OFFSET($AT$2,0,0,ROW()-1,40),ROW()-1,FALSE))</f>
        <v/>
      </c>
      <c r="P263" t="str">
        <f ca="1">IF(AND(ISNUMBER($P$356),$B$294=1),$P$356,HLOOKUP(INDIRECT(ADDRESS(2,COLUMN())),OFFSET($AT$2,0,0,ROW()-1,40),ROW()-1,FALSE))</f>
        <v/>
      </c>
      <c r="Q263" t="str">
        <f ca="1">IF(AND(ISNUMBER($Q$356),$B$294=1),$Q$356,HLOOKUP(INDIRECT(ADDRESS(2,COLUMN())),OFFSET($AT$2,0,0,ROW()-1,40),ROW()-1,FALSE))</f>
        <v/>
      </c>
      <c r="R263" t="str">
        <f ca="1">IF(AND(ISNUMBER($R$356),$B$294=1),$R$356,HLOOKUP(INDIRECT(ADDRESS(2,COLUMN())),OFFSET($AT$2,0,0,ROW()-1,40),ROW()-1,FALSE))</f>
        <v/>
      </c>
      <c r="S263" t="str">
        <f ca="1">IF(AND(ISNUMBER($S$356),$B$294=1),$S$356,HLOOKUP(INDIRECT(ADDRESS(2,COLUMN())),OFFSET($AT$2,0,0,ROW()-1,40),ROW()-1,FALSE))</f>
        <v/>
      </c>
      <c r="T263" t="str">
        <f ca="1">IF(AND(ISNUMBER($T$356),$B$294=1),$T$356,HLOOKUP(INDIRECT(ADDRESS(2,COLUMN())),OFFSET($AT$2,0,0,ROW()-1,40),ROW()-1,FALSE))</f>
        <v/>
      </c>
      <c r="U263" t="str">
        <f ca="1">IF(AND(ISNUMBER($U$356),$B$294=1),$U$356,HLOOKUP(INDIRECT(ADDRESS(2,COLUMN())),OFFSET($AT$2,0,0,ROW()-1,40),ROW()-1,FALSE))</f>
        <v/>
      </c>
      <c r="V263" t="str">
        <f ca="1">IF(AND(ISNUMBER($V$356),$B$294=1),$V$356,HLOOKUP(INDIRECT(ADDRESS(2,COLUMN())),OFFSET($AT$2,0,0,ROW()-1,40),ROW()-1,FALSE))</f>
        <v/>
      </c>
      <c r="W263" t="str">
        <f ca="1">IF(AND(ISNUMBER($W$356),$B$294=1),$W$356,HLOOKUP(INDIRECT(ADDRESS(2,COLUMN())),OFFSET($AT$2,0,0,ROW()-1,40),ROW()-1,FALSE))</f>
        <v/>
      </c>
      <c r="X263" t="str">
        <f ca="1">IF(AND(ISNUMBER($X$356),$B$294=1),$X$356,HLOOKUP(INDIRECT(ADDRESS(2,COLUMN())),OFFSET($AT$2,0,0,ROW()-1,40),ROW()-1,FALSE))</f>
        <v/>
      </c>
      <c r="Y263" t="str">
        <f ca="1">IF(AND(ISNUMBER($Y$356),$B$294=1),$Y$356,HLOOKUP(INDIRECT(ADDRESS(2,COLUMN())),OFFSET($AT$2,0,0,ROW()-1,40),ROW()-1,FALSE))</f>
        <v/>
      </c>
      <c r="Z263" t="str">
        <f ca="1">IF(AND(ISNUMBER($Z$356),$B$294=1),$Z$356,HLOOKUP(INDIRECT(ADDRESS(2,COLUMN())),OFFSET($AT$2,0,0,ROW()-1,40),ROW()-1,FALSE))</f>
        <v/>
      </c>
      <c r="AA263" t="str">
        <f ca="1">IF(AND(ISNUMBER($AA$356),$B$294=1),$AA$356,HLOOKUP(INDIRECT(ADDRESS(2,COLUMN())),OFFSET($AT$2,0,0,ROW()-1,40),ROW()-1,FALSE))</f>
        <v/>
      </c>
      <c r="AB263" t="str">
        <f ca="1">IF(AND(ISNUMBER($AB$356),$B$294=1),$AB$356,HLOOKUP(INDIRECT(ADDRESS(2,COLUMN())),OFFSET($AT$2,0,0,ROW()-1,40),ROW()-1,FALSE))</f>
        <v/>
      </c>
      <c r="AC263" t="str">
        <f ca="1">IF(AND(ISNUMBER($AC$356),$B$294=1),$AC$356,HLOOKUP(INDIRECT(ADDRESS(2,COLUMN())),OFFSET($AT$2,0,0,ROW()-1,40),ROW()-1,FALSE))</f>
        <v/>
      </c>
      <c r="AD263" t="str">
        <f ca="1">IF(AND(ISNUMBER($AD$356),$B$294=1),$AD$356,HLOOKUP(INDIRECT(ADDRESS(2,COLUMN())),OFFSET($AT$2,0,0,ROW()-1,40),ROW()-1,FALSE))</f>
        <v/>
      </c>
      <c r="AE263" t="str">
        <f ca="1">IF(AND(ISNUMBER($AE$356),$B$294=1),$AE$356,HLOOKUP(INDIRECT(ADDRESS(2,COLUMN())),OFFSET($AT$2,0,0,ROW()-1,40),ROW()-1,FALSE))</f>
        <v/>
      </c>
      <c r="AF263" t="str">
        <f ca="1">IF(AND(ISNUMBER($AF$356),$B$294=1),$AF$356,HLOOKUP(INDIRECT(ADDRESS(2,COLUMN())),OFFSET($AT$2,0,0,ROW()-1,40),ROW()-1,FALSE))</f>
        <v/>
      </c>
      <c r="AG263" t="str">
        <f ca="1">IF(AND(ISNUMBER($AG$356),$B$294=1),$AG$356,HLOOKUP(INDIRECT(ADDRESS(2,COLUMN())),OFFSET($AT$2,0,0,ROW()-1,40),ROW()-1,FALSE))</f>
        <v/>
      </c>
      <c r="AH263" t="str">
        <f ca="1">IF(AND(ISNUMBER($AH$356),$B$294=1),$AH$356,HLOOKUP(INDIRECT(ADDRESS(2,COLUMN())),OFFSET($AT$2,0,0,ROW()-1,40),ROW()-1,FALSE))</f>
        <v/>
      </c>
      <c r="AI263" t="str">
        <f ca="1">IF(AND(ISNUMBER($AI$356),$B$294=1),$AI$356,HLOOKUP(INDIRECT(ADDRESS(2,COLUMN())),OFFSET($AT$2,0,0,ROW()-1,40),ROW()-1,FALSE))</f>
        <v/>
      </c>
      <c r="AJ263" t="str">
        <f ca="1">IF(AND(ISNUMBER($AJ$356),$B$294=1),$AJ$356,HLOOKUP(INDIRECT(ADDRESS(2,COLUMN())),OFFSET($AT$2,0,0,ROW()-1,40),ROW()-1,FALSE))</f>
        <v/>
      </c>
      <c r="AK263" t="str">
        <f ca="1">IF(AND(ISNUMBER($AK$356),$B$294=1),$AK$356,HLOOKUP(INDIRECT(ADDRESS(2,COLUMN())),OFFSET($AT$2,0,0,ROW()-1,40),ROW()-1,FALSE))</f>
        <v/>
      </c>
      <c r="AL263" t="str">
        <f ca="1">IF(AND(ISNUMBER($AL$356),$B$294=1),$AL$356,HLOOKUP(INDIRECT(ADDRESS(2,COLUMN())),OFFSET($AT$2,0,0,ROW()-1,40),ROW()-1,FALSE))</f>
        <v/>
      </c>
      <c r="AM263" t="str">
        <f ca="1">IF(AND(ISNUMBER($AM$356),$B$294=1),$AM$356,HLOOKUP(INDIRECT(ADDRESS(2,COLUMN())),OFFSET($AT$2,0,0,ROW()-1,40),ROW()-1,FALSE))</f>
        <v/>
      </c>
      <c r="AN263" t="str">
        <f ca="1">IF(AND(ISNUMBER($AN$356),$B$294=1),$AN$356,HLOOKUP(INDIRECT(ADDRESS(2,COLUMN())),OFFSET($AT$2,0,0,ROW()-1,40),ROW()-1,FALSE))</f>
        <v/>
      </c>
      <c r="AO263" t="str">
        <f ca="1">IF(AND(ISNUMBER($AO$356),$B$294=1),$AO$356,HLOOKUP(INDIRECT(ADDRESS(2,COLUMN())),OFFSET($AT$2,0,0,ROW()-1,40),ROW()-1,FALSE))</f>
        <v/>
      </c>
      <c r="AP263" t="str">
        <f ca="1">IF(AND(ISNUMBER($AP$356),$B$294=1),$AP$356,HLOOKUP(INDIRECT(ADDRESS(2,COLUMN())),OFFSET($AT$2,0,0,ROW()-1,40),ROW()-1,FALSE))</f>
        <v/>
      </c>
      <c r="AQ263" t="str">
        <f ca="1">IF(AND(ISNUMBER($AQ$356),$B$294=1),$AQ$356,HLOOKUP(INDIRECT(ADDRESS(2,COLUMN())),OFFSET($AT$2,0,0,ROW()-1,40),ROW()-1,FALSE))</f>
        <v/>
      </c>
      <c r="AR263" t="str">
        <f ca="1">IF(AND(ISNUMBER($AR$356),$B$294=1),$AR$356,HLOOKUP(INDIRECT(ADDRESS(2,COLUMN())),OFFSET($AT$2,0,0,ROW()-1,40),ROW()-1,FALSE))</f>
        <v/>
      </c>
      <c r="AS263" t="str">
        <f ca="1">IF(AND(ISNUMBER($AS$356),$B$294=1),$AS$356,HLOOKUP(INDIRECT(ADDRESS(2,COLUMN())),OFFSET($AT$2,0,0,ROW()-1,40),ROW()-1,FALSE))</f>
        <v/>
      </c>
      <c r="AT263" t="str">
        <f>""</f>
        <v/>
      </c>
      <c r="AU263" t="str">
        <f>""</f>
        <v/>
      </c>
      <c r="AV263" t="str">
        <f>""</f>
        <v/>
      </c>
      <c r="AW263" t="str">
        <f>""</f>
        <v/>
      </c>
      <c r="AX263" t="str">
        <f>""</f>
        <v/>
      </c>
      <c r="AY263" t="str">
        <f>""</f>
        <v/>
      </c>
      <c r="AZ263" t="str">
        <f>""</f>
        <v/>
      </c>
      <c r="BA263" t="str">
        <f>""</f>
        <v/>
      </c>
      <c r="BB263" t="str">
        <f>""</f>
        <v/>
      </c>
      <c r="BC263" t="str">
        <f>""</f>
        <v/>
      </c>
      <c r="BD263" t="str">
        <f>""</f>
        <v/>
      </c>
      <c r="BE263" t="str">
        <f>""</f>
        <v/>
      </c>
      <c r="BF263" t="str">
        <f>""</f>
        <v/>
      </c>
      <c r="BG263" t="str">
        <f>""</f>
        <v/>
      </c>
      <c r="BH263" t="str">
        <f>""</f>
        <v/>
      </c>
      <c r="BI263" t="str">
        <f>""</f>
        <v/>
      </c>
      <c r="BJ263" t="str">
        <f>""</f>
        <v/>
      </c>
      <c r="BK263" t="str">
        <f>""</f>
        <v/>
      </c>
      <c r="BL263" t="str">
        <f>""</f>
        <v/>
      </c>
      <c r="BM263" t="str">
        <f>""</f>
        <v/>
      </c>
      <c r="BN263" t="str">
        <f>""</f>
        <v/>
      </c>
      <c r="BO263" t="str">
        <f>""</f>
        <v/>
      </c>
      <c r="BP263" t="str">
        <f>""</f>
        <v/>
      </c>
      <c r="BQ263" t="str">
        <f>""</f>
        <v/>
      </c>
      <c r="BR263" t="str">
        <f>""</f>
        <v/>
      </c>
      <c r="BS263" t="str">
        <f>""</f>
        <v/>
      </c>
      <c r="BT263" t="str">
        <f>""</f>
        <v/>
      </c>
      <c r="BU263" t="str">
        <f>""</f>
        <v/>
      </c>
      <c r="BV263" t="str">
        <f>""</f>
        <v/>
      </c>
      <c r="BW263" t="str">
        <f>""</f>
        <v/>
      </c>
      <c r="BX263" t="str">
        <f>""</f>
        <v/>
      </c>
      <c r="BY263" t="str">
        <f>""</f>
        <v/>
      </c>
      <c r="BZ263" t="str">
        <f>""</f>
        <v/>
      </c>
      <c r="CA263" t="str">
        <f>""</f>
        <v/>
      </c>
      <c r="CB263" t="str">
        <f>""</f>
        <v/>
      </c>
      <c r="CC263" t="str">
        <f>""</f>
        <v/>
      </c>
      <c r="CD263" t="str">
        <f>""</f>
        <v/>
      </c>
      <c r="CE263" t="str">
        <f>""</f>
        <v/>
      </c>
      <c r="CF263" t="str">
        <f>""</f>
        <v/>
      </c>
      <c r="CG263" t="str">
        <f>""</f>
        <v/>
      </c>
    </row>
    <row r="264" spans="1:85" x14ac:dyDescent="0.25">
      <c r="A264" t="str">
        <f>"Mexico (Class 6-7)"</f>
        <v>Mexico (Class 6-7)</v>
      </c>
      <c r="B264" t="str">
        <f>"TRCKMX6S Index"</f>
        <v>TRCKMX6S Index</v>
      </c>
      <c r="C264" t="str">
        <f>"PR005"</f>
        <v>PR005</v>
      </c>
      <c r="D264" t="str">
        <f>"PX_LAST"</f>
        <v>PX_LAST</v>
      </c>
      <c r="E264" t="str">
        <f t="shared" si="22"/>
        <v>Dynamic</v>
      </c>
      <c r="F264">
        <f ca="1">IF(AND(ISNUMBER($F$357),$B$294=1),$F$357,HLOOKUP(INDIRECT(ADDRESS(2,COLUMN())),OFFSET($AT$2,0,0,ROW()-1,40),ROW()-1,FALSE))</f>
        <v>742</v>
      </c>
      <c r="G264">
        <f ca="1">IF(AND(ISNUMBER($G$357),$B$294=1),$G$357,HLOOKUP(INDIRECT(ADDRESS(2,COLUMN())),OFFSET($AT$2,0,0,ROW()-1,40),ROW()-1,FALSE))</f>
        <v>718</v>
      </c>
      <c r="H264">
        <f ca="1">IF(AND(ISNUMBER($H$357),$B$294=1),$H$357,HLOOKUP(INDIRECT(ADDRESS(2,COLUMN())),OFFSET($AT$2,0,0,ROW()-1,40),ROW()-1,FALSE))</f>
        <v>803</v>
      </c>
      <c r="I264">
        <f ca="1">IF(AND(ISNUMBER($I$357),$B$294=1),$I$357,HLOOKUP(INDIRECT(ADDRESS(2,COLUMN())),OFFSET($AT$2,0,0,ROW()-1,40),ROW()-1,FALSE))</f>
        <v>688</v>
      </c>
      <c r="J264">
        <f ca="1">IF(AND(ISNUMBER($J$357),$B$294=1),$J$357,HLOOKUP(INDIRECT(ADDRESS(2,COLUMN())),OFFSET($AT$2,0,0,ROW()-1,40),ROW()-1,FALSE))</f>
        <v>745</v>
      </c>
      <c r="K264">
        <f ca="1">IF(AND(ISNUMBER($K$357),$B$294=1),$K$357,HLOOKUP(INDIRECT(ADDRESS(2,COLUMN())),OFFSET($AT$2,0,0,ROW()-1,40),ROW()-1,FALSE))</f>
        <v>646</v>
      </c>
      <c r="L264">
        <f ca="1">IF(AND(ISNUMBER($L$357),$B$294=1),$L$357,HLOOKUP(INDIRECT(ADDRESS(2,COLUMN())),OFFSET($AT$2,0,0,ROW()-1,40),ROW()-1,FALSE))</f>
        <v>645</v>
      </c>
      <c r="M264">
        <f ca="1">IF(AND(ISNUMBER($M$357),$B$294=1),$M$357,HLOOKUP(INDIRECT(ADDRESS(2,COLUMN())),OFFSET($AT$2,0,0,ROW()-1,40),ROW()-1,FALSE))</f>
        <v>737</v>
      </c>
      <c r="N264">
        <f ca="1">IF(AND(ISNUMBER($N$357),$B$294=1),$N$357,HLOOKUP(INDIRECT(ADDRESS(2,COLUMN())),OFFSET($AT$2,0,0,ROW()-1,40),ROW()-1,FALSE))</f>
        <v>688</v>
      </c>
      <c r="O264">
        <f ca="1">IF(AND(ISNUMBER($O$357),$B$294=1),$O$357,HLOOKUP(INDIRECT(ADDRESS(2,COLUMN())),OFFSET($AT$2,0,0,ROW()-1,40),ROW()-1,FALSE))</f>
        <v>721</v>
      </c>
      <c r="P264">
        <f ca="1">IF(AND(ISNUMBER($P$357),$B$294=1),$P$357,HLOOKUP(INDIRECT(ADDRESS(2,COLUMN())),OFFSET($AT$2,0,0,ROW()-1,40),ROW()-1,FALSE))</f>
        <v>967</v>
      </c>
      <c r="Q264">
        <f ca="1">IF(AND(ISNUMBER($Q$357),$B$294=1),$Q$357,HLOOKUP(INDIRECT(ADDRESS(2,COLUMN())),OFFSET($AT$2,0,0,ROW()-1,40),ROW()-1,FALSE))</f>
        <v>768</v>
      </c>
      <c r="R264">
        <f ca="1">IF(AND(ISNUMBER($R$357),$B$294=1),$R$357,HLOOKUP(INDIRECT(ADDRESS(2,COLUMN())),OFFSET($AT$2,0,0,ROW()-1,40),ROW()-1,FALSE))</f>
        <v>688</v>
      </c>
      <c r="S264">
        <f ca="1">IF(AND(ISNUMBER($S$357),$B$294=1),$S$357,HLOOKUP(INDIRECT(ADDRESS(2,COLUMN())),OFFSET($AT$2,0,0,ROW()-1,40),ROW()-1,FALSE))</f>
        <v>801</v>
      </c>
      <c r="T264">
        <f ca="1">IF(AND(ISNUMBER($T$357),$B$294=1),$T$357,HLOOKUP(INDIRECT(ADDRESS(2,COLUMN())),OFFSET($AT$2,0,0,ROW()-1,40),ROW()-1,FALSE))</f>
        <v>880</v>
      </c>
      <c r="U264">
        <f ca="1">IF(AND(ISNUMBER($U$357),$B$294=1),$U$357,HLOOKUP(INDIRECT(ADDRESS(2,COLUMN())),OFFSET($AT$2,0,0,ROW()-1,40),ROW()-1,FALSE))</f>
        <v>814</v>
      </c>
      <c r="V264">
        <f ca="1">IF(AND(ISNUMBER($V$357),$B$294=1),$V$357,HLOOKUP(INDIRECT(ADDRESS(2,COLUMN())),OFFSET($AT$2,0,0,ROW()-1,40),ROW()-1,FALSE))</f>
        <v>885</v>
      </c>
      <c r="W264">
        <f ca="1">IF(AND(ISNUMBER($W$357),$B$294=1),$W$357,HLOOKUP(INDIRECT(ADDRESS(2,COLUMN())),OFFSET($AT$2,0,0,ROW()-1,40),ROW()-1,FALSE))</f>
        <v>665</v>
      </c>
      <c r="X264">
        <f ca="1">IF(AND(ISNUMBER($X$357),$B$294=1),$X$357,HLOOKUP(INDIRECT(ADDRESS(2,COLUMN())),OFFSET($AT$2,0,0,ROW()-1,40),ROW()-1,FALSE))</f>
        <v>656</v>
      </c>
      <c r="Y264">
        <f ca="1">IF(AND(ISNUMBER($Y$357),$B$294=1),$Y$357,HLOOKUP(INDIRECT(ADDRESS(2,COLUMN())),OFFSET($AT$2,0,0,ROW()-1,40),ROW()-1,FALSE))</f>
        <v>760</v>
      </c>
      <c r="Z264">
        <f ca="1">IF(AND(ISNUMBER($Z$357),$B$294=1),$Z$357,HLOOKUP(INDIRECT(ADDRESS(2,COLUMN())),OFFSET($AT$2,0,0,ROW()-1,40),ROW()-1,FALSE))</f>
        <v>602</v>
      </c>
      <c r="AA264">
        <f ca="1">IF(AND(ISNUMBER($AA$357),$B$294=1),$AA$357,HLOOKUP(INDIRECT(ADDRESS(2,COLUMN())),OFFSET($AT$2,0,0,ROW()-1,40),ROW()-1,FALSE))</f>
        <v>478</v>
      </c>
      <c r="AB264">
        <f ca="1">IF(AND(ISNUMBER($AB$357),$B$294=1),$AB$357,HLOOKUP(INDIRECT(ADDRESS(2,COLUMN())),OFFSET($AT$2,0,0,ROW()-1,40),ROW()-1,FALSE))</f>
        <v>915</v>
      </c>
      <c r="AC264">
        <f ca="1">IF(AND(ISNUMBER($AC$357),$B$294=1),$AC$357,HLOOKUP(INDIRECT(ADDRESS(2,COLUMN())),OFFSET($AT$2,0,0,ROW()-1,40),ROW()-1,FALSE))</f>
        <v>727</v>
      </c>
      <c r="AD264">
        <f ca="1">IF(AND(ISNUMBER($AD$357),$B$294=1),$AD$357,HLOOKUP(INDIRECT(ADDRESS(2,COLUMN())),OFFSET($AT$2,0,0,ROW()-1,40),ROW()-1,FALSE))</f>
        <v>696</v>
      </c>
      <c r="AE264">
        <f ca="1">IF(AND(ISNUMBER($AE$357),$B$294=1),$AE$357,HLOOKUP(INDIRECT(ADDRESS(2,COLUMN())),OFFSET($AT$2,0,0,ROW()-1,40),ROW()-1,FALSE))</f>
        <v>655</v>
      </c>
      <c r="AF264">
        <f ca="1">IF(AND(ISNUMBER($AF$357),$B$294=1),$AF$357,HLOOKUP(INDIRECT(ADDRESS(2,COLUMN())),OFFSET($AT$2,0,0,ROW()-1,40),ROW()-1,FALSE))</f>
        <v>645</v>
      </c>
      <c r="AG264">
        <f ca="1">IF(AND(ISNUMBER($AG$357),$B$294=1),$AG$357,HLOOKUP(INDIRECT(ADDRESS(2,COLUMN())),OFFSET($AT$2,0,0,ROW()-1,40),ROW()-1,FALSE))</f>
        <v>687</v>
      </c>
      <c r="AH264">
        <f ca="1">IF(AND(ISNUMBER($AH$357),$B$294=1),$AH$357,HLOOKUP(INDIRECT(ADDRESS(2,COLUMN())),OFFSET($AT$2,0,0,ROW()-1,40),ROW()-1,FALSE))</f>
        <v>699</v>
      </c>
      <c r="AI264">
        <f ca="1">IF(AND(ISNUMBER($AI$357),$B$294=1),$AI$357,HLOOKUP(INDIRECT(ADDRESS(2,COLUMN())),OFFSET($AT$2,0,0,ROW()-1,40),ROW()-1,FALSE))</f>
        <v>575</v>
      </c>
      <c r="AJ264">
        <f ca="1">IF(AND(ISNUMBER($AJ$357),$B$294=1),$AJ$357,HLOOKUP(INDIRECT(ADDRESS(2,COLUMN())),OFFSET($AT$2,0,0,ROW()-1,40),ROW()-1,FALSE))</f>
        <v>778</v>
      </c>
      <c r="AK264">
        <f ca="1">IF(AND(ISNUMBER($AK$357),$B$294=1),$AK$357,HLOOKUP(INDIRECT(ADDRESS(2,COLUMN())),OFFSET($AT$2,0,0,ROW()-1,40),ROW()-1,FALSE))</f>
        <v>584</v>
      </c>
      <c r="AL264">
        <f ca="1">IF(AND(ISNUMBER($AL$357),$B$294=1),$AL$357,HLOOKUP(INDIRECT(ADDRESS(2,COLUMN())),OFFSET($AT$2,0,0,ROW()-1,40),ROW()-1,FALSE))</f>
        <v>606</v>
      </c>
      <c r="AM264">
        <f ca="1">IF(AND(ISNUMBER($AM$357),$B$294=1),$AM$357,HLOOKUP(INDIRECT(ADDRESS(2,COLUMN())),OFFSET($AT$2,0,0,ROW()-1,40),ROW()-1,FALSE))</f>
        <v>605</v>
      </c>
      <c r="AN264">
        <f ca="1">IF(AND(ISNUMBER($AN$357),$B$294=1),$AN$357,HLOOKUP(INDIRECT(ADDRESS(2,COLUMN())),OFFSET($AT$2,0,0,ROW()-1,40),ROW()-1,FALSE))</f>
        <v>788</v>
      </c>
      <c r="AO264">
        <f ca="1">IF(AND(ISNUMBER($AO$357),$B$294=1),$AO$357,HLOOKUP(INDIRECT(ADDRESS(2,COLUMN())),OFFSET($AT$2,0,0,ROW()-1,40),ROW()-1,FALSE))</f>
        <v>726</v>
      </c>
      <c r="AP264">
        <f ca="1">IF(AND(ISNUMBER($AP$357),$B$294=1),$AP$357,HLOOKUP(INDIRECT(ADDRESS(2,COLUMN())),OFFSET($AT$2,0,0,ROW()-1,40),ROW()-1,FALSE))</f>
        <v>733</v>
      </c>
      <c r="AQ264">
        <f ca="1">IF(AND(ISNUMBER($AQ$357),$B$294=1),$AQ$357,HLOOKUP(INDIRECT(ADDRESS(2,COLUMN())),OFFSET($AT$2,0,0,ROW()-1,40),ROW()-1,FALSE))</f>
        <v>579</v>
      </c>
      <c r="AR264">
        <f ca="1">IF(AND(ISNUMBER($AR$357),$B$294=1),$AR$357,HLOOKUP(INDIRECT(ADDRESS(2,COLUMN())),OFFSET($AT$2,0,0,ROW()-1,40),ROW()-1,FALSE))</f>
        <v>623</v>
      </c>
      <c r="AS264">
        <f ca="1">IF(AND(ISNUMBER($AS$357),$B$294=1),$AS$357,HLOOKUP(INDIRECT(ADDRESS(2,COLUMN())),OFFSET($AT$2,0,0,ROW()-1,40),ROW()-1,FALSE))</f>
        <v>573</v>
      </c>
      <c r="AT264">
        <f>742</f>
        <v>742</v>
      </c>
      <c r="AU264">
        <f>718</f>
        <v>718</v>
      </c>
      <c r="AV264">
        <f>803</f>
        <v>803</v>
      </c>
      <c r="AW264">
        <f>688</f>
        <v>688</v>
      </c>
      <c r="AX264">
        <f>745</f>
        <v>745</v>
      </c>
      <c r="AY264">
        <f>646</f>
        <v>646</v>
      </c>
      <c r="AZ264">
        <f>645</f>
        <v>645</v>
      </c>
      <c r="BA264">
        <f>737</f>
        <v>737</v>
      </c>
      <c r="BB264">
        <f>688</f>
        <v>688</v>
      </c>
      <c r="BC264">
        <f>721</f>
        <v>721</v>
      </c>
      <c r="BD264">
        <f>967</f>
        <v>967</v>
      </c>
      <c r="BE264">
        <f>768</f>
        <v>768</v>
      </c>
      <c r="BF264">
        <f>688</f>
        <v>688</v>
      </c>
      <c r="BG264">
        <f>801</f>
        <v>801</v>
      </c>
      <c r="BH264">
        <f>880</f>
        <v>880</v>
      </c>
      <c r="BI264">
        <f>814</f>
        <v>814</v>
      </c>
      <c r="BJ264">
        <f>885</f>
        <v>885</v>
      </c>
      <c r="BK264">
        <f>665</f>
        <v>665</v>
      </c>
      <c r="BL264">
        <f>656</f>
        <v>656</v>
      </c>
      <c r="BM264">
        <f>760</f>
        <v>760</v>
      </c>
      <c r="BN264">
        <f>602</f>
        <v>602</v>
      </c>
      <c r="BO264">
        <f>478</f>
        <v>478</v>
      </c>
      <c r="BP264">
        <f>915</f>
        <v>915</v>
      </c>
      <c r="BQ264">
        <f>727</f>
        <v>727</v>
      </c>
      <c r="BR264">
        <f>696</f>
        <v>696</v>
      </c>
      <c r="BS264">
        <f>655</f>
        <v>655</v>
      </c>
      <c r="BT264">
        <f>645</f>
        <v>645</v>
      </c>
      <c r="BU264">
        <f>687</f>
        <v>687</v>
      </c>
      <c r="BV264">
        <f>699</f>
        <v>699</v>
      </c>
      <c r="BW264">
        <f>575</f>
        <v>575</v>
      </c>
      <c r="BX264">
        <f>778</f>
        <v>778</v>
      </c>
      <c r="BY264">
        <f>584</f>
        <v>584</v>
      </c>
      <c r="BZ264">
        <f>606</f>
        <v>606</v>
      </c>
      <c r="CA264">
        <f>605</f>
        <v>605</v>
      </c>
      <c r="CB264">
        <f>788</f>
        <v>788</v>
      </c>
      <c r="CC264">
        <f>726</f>
        <v>726</v>
      </c>
      <c r="CD264">
        <f>733</f>
        <v>733</v>
      </c>
      <c r="CE264">
        <f>579</f>
        <v>579</v>
      </c>
      <c r="CF264">
        <f>623</f>
        <v>623</v>
      </c>
      <c r="CG264">
        <f>573</f>
        <v>573</v>
      </c>
    </row>
    <row r="265" spans="1:85" x14ac:dyDescent="0.25">
      <c r="A265" t="str">
        <f>"    Daimler - Freightliner"</f>
        <v xml:space="preserve">    Daimler - Freightliner</v>
      </c>
      <c r="B265" t="str">
        <f>"DAI GR Equity"</f>
        <v>DAI GR Equity</v>
      </c>
      <c r="C265" t="str">
        <f t="shared" ref="C265:C277" si="25">"X1701"</f>
        <v>X1701</v>
      </c>
      <c r="D265" t="str">
        <f t="shared" ref="D265:D277" si="26">"WARDS_RETAIL_SALES_UNITS"</f>
        <v>WARDS_RETAIL_SALES_UNITS</v>
      </c>
      <c r="E265" t="str">
        <f t="shared" si="22"/>
        <v>Dynamic</v>
      </c>
      <c r="F265">
        <f ca="1">IF(AND(ISNUMBER($F$358),$B$294=1),$F$358,HLOOKUP(INDIRECT(ADDRESS(2,COLUMN())),OFFSET($AT$2,0,0,ROW()-1,40),ROW()-1,FALSE))</f>
        <v>98</v>
      </c>
      <c r="G265">
        <f ca="1">IF(AND(ISNUMBER($G$358),$B$294=1),$G$358,HLOOKUP(INDIRECT(ADDRESS(2,COLUMN())),OFFSET($AT$2,0,0,ROW()-1,40),ROW()-1,FALSE))</f>
        <v>92</v>
      </c>
      <c r="H265">
        <f ca="1">IF(AND(ISNUMBER($H$358),$B$294=1),$H$358,HLOOKUP(INDIRECT(ADDRESS(2,COLUMN())),OFFSET($AT$2,0,0,ROW()-1,40),ROW()-1,FALSE))</f>
        <v>98</v>
      </c>
      <c r="I265">
        <f ca="1">IF(AND(ISNUMBER($I$358),$B$294=1),$I$358,HLOOKUP(INDIRECT(ADDRESS(2,COLUMN())),OFFSET($AT$2,0,0,ROW()-1,40),ROW()-1,FALSE))</f>
        <v>98</v>
      </c>
      <c r="J265">
        <f ca="1">IF(AND(ISNUMBER($J$358),$B$294=1),$J$358,HLOOKUP(INDIRECT(ADDRESS(2,COLUMN())),OFFSET($AT$2,0,0,ROW()-1,40),ROW()-1,FALSE))</f>
        <v>102</v>
      </c>
      <c r="K265">
        <f ca="1">IF(AND(ISNUMBER($K$358),$B$294=1),$K$358,HLOOKUP(INDIRECT(ADDRESS(2,COLUMN())),OFFSET($AT$2,0,0,ROW()-1,40),ROW()-1,FALSE))</f>
        <v>98</v>
      </c>
      <c r="L265">
        <f ca="1">IF(AND(ISNUMBER($L$358),$B$294=1),$L$358,HLOOKUP(INDIRECT(ADDRESS(2,COLUMN())),OFFSET($AT$2,0,0,ROW()-1,40),ROW()-1,FALSE))</f>
        <v>92</v>
      </c>
      <c r="M265">
        <f ca="1">IF(AND(ISNUMBER($M$358),$B$294=1),$M$358,HLOOKUP(INDIRECT(ADDRESS(2,COLUMN())),OFFSET($AT$2,0,0,ROW()-1,40),ROW()-1,FALSE))</f>
        <v>107</v>
      </c>
      <c r="N265">
        <f ca="1">IF(AND(ISNUMBER($N$358),$B$294=1),$N$358,HLOOKUP(INDIRECT(ADDRESS(2,COLUMN())),OFFSET($AT$2,0,0,ROW()-1,40),ROW()-1,FALSE))</f>
        <v>92</v>
      </c>
      <c r="O265">
        <f ca="1">IF(AND(ISNUMBER($O$358),$B$294=1),$O$358,HLOOKUP(INDIRECT(ADDRESS(2,COLUMN())),OFFSET($AT$2,0,0,ROW()-1,40),ROW()-1,FALSE))</f>
        <v>98</v>
      </c>
      <c r="P265">
        <f ca="1">IF(AND(ISNUMBER($P$358),$B$294=1),$P$358,HLOOKUP(INDIRECT(ADDRESS(2,COLUMN())),OFFSET($AT$2,0,0,ROW()-1,40),ROW()-1,FALSE))</f>
        <v>140</v>
      </c>
      <c r="Q265">
        <f ca="1">IF(AND(ISNUMBER($Q$358),$B$294=1),$Q$358,HLOOKUP(INDIRECT(ADDRESS(2,COLUMN())),OFFSET($AT$2,0,0,ROW()-1,40),ROW()-1,FALSE))</f>
        <v>118</v>
      </c>
      <c r="R265">
        <f ca="1">IF(AND(ISNUMBER($R$358),$B$294=1),$R$358,HLOOKUP(INDIRECT(ADDRESS(2,COLUMN())),OFFSET($AT$2,0,0,ROW()-1,40),ROW()-1,FALSE))</f>
        <v>81</v>
      </c>
      <c r="S265">
        <f ca="1">IF(AND(ISNUMBER($S$358),$B$294=1),$S$358,HLOOKUP(INDIRECT(ADDRESS(2,COLUMN())),OFFSET($AT$2,0,0,ROW()-1,40),ROW()-1,FALSE))</f>
        <v>104</v>
      </c>
      <c r="T265">
        <f ca="1">IF(AND(ISNUMBER($T$358),$B$294=1),$T$358,HLOOKUP(INDIRECT(ADDRESS(2,COLUMN())),OFFSET($AT$2,0,0,ROW()-1,40),ROW()-1,FALSE))</f>
        <v>131</v>
      </c>
      <c r="U265">
        <f ca="1">IF(AND(ISNUMBER($U$358),$B$294=1),$U$358,HLOOKUP(INDIRECT(ADDRESS(2,COLUMN())),OFFSET($AT$2,0,0,ROW()-1,40),ROW()-1,FALSE))</f>
        <v>111</v>
      </c>
      <c r="V265">
        <f ca="1">IF(AND(ISNUMBER($V$358),$B$294=1),$V$358,HLOOKUP(INDIRECT(ADDRESS(2,COLUMN())),OFFSET($AT$2,0,0,ROW()-1,40),ROW()-1,FALSE))</f>
        <v>121</v>
      </c>
      <c r="W265">
        <f ca="1">IF(AND(ISNUMBER($W$358),$B$294=1),$W$358,HLOOKUP(INDIRECT(ADDRESS(2,COLUMN())),OFFSET($AT$2,0,0,ROW()-1,40),ROW()-1,FALSE))</f>
        <v>98</v>
      </c>
      <c r="X265">
        <f ca="1">IF(AND(ISNUMBER($X$358),$B$294=1),$X$358,HLOOKUP(INDIRECT(ADDRESS(2,COLUMN())),OFFSET($AT$2,0,0,ROW()-1,40),ROW()-1,FALSE))</f>
        <v>97</v>
      </c>
      <c r="Y265">
        <f ca="1">IF(AND(ISNUMBER($Y$358),$B$294=1),$Y$358,HLOOKUP(INDIRECT(ADDRESS(2,COLUMN())),OFFSET($AT$2,0,0,ROW()-1,40),ROW()-1,FALSE))</f>
        <v>98</v>
      </c>
      <c r="Z265">
        <f ca="1">IF(AND(ISNUMBER($Z$358),$B$294=1),$Z$358,HLOOKUP(INDIRECT(ADDRESS(2,COLUMN())),OFFSET($AT$2,0,0,ROW()-1,40),ROW()-1,FALSE))</f>
        <v>88</v>
      </c>
      <c r="AA265">
        <f ca="1">IF(AND(ISNUMBER($AA$358),$B$294=1),$AA$358,HLOOKUP(INDIRECT(ADDRESS(2,COLUMN())),OFFSET($AT$2,0,0,ROW()-1,40),ROW()-1,FALSE))</f>
        <v>68</v>
      </c>
      <c r="AB265">
        <f ca="1">IF(AND(ISNUMBER($AB$358),$B$294=1),$AB$358,HLOOKUP(INDIRECT(ADDRESS(2,COLUMN())),OFFSET($AT$2,0,0,ROW()-1,40),ROW()-1,FALSE))</f>
        <v>129</v>
      </c>
      <c r="AC265">
        <f ca="1">IF(AND(ISNUMBER($AC$358),$B$294=1),$AC$358,HLOOKUP(INDIRECT(ADDRESS(2,COLUMN())),OFFSET($AT$2,0,0,ROW()-1,40),ROW()-1,FALSE))</f>
        <v>103</v>
      </c>
      <c r="AD265">
        <f ca="1">IF(AND(ISNUMBER($AD$358),$B$294=1),$AD$358,HLOOKUP(INDIRECT(ADDRESS(2,COLUMN())),OFFSET($AT$2,0,0,ROW()-1,40),ROW()-1,FALSE))</f>
        <v>96</v>
      </c>
      <c r="AE265">
        <f ca="1">IF(AND(ISNUMBER($AE$358),$B$294=1),$AE$358,HLOOKUP(INDIRECT(ADDRESS(2,COLUMN())),OFFSET($AT$2,0,0,ROW()-1,40),ROW()-1,FALSE))</f>
        <v>90</v>
      </c>
      <c r="AF265">
        <f ca="1">IF(AND(ISNUMBER($AF$358),$B$294=1),$AF$358,HLOOKUP(INDIRECT(ADDRESS(2,COLUMN())),OFFSET($AT$2,0,0,ROW()-1,40),ROW()-1,FALSE))</f>
        <v>90</v>
      </c>
      <c r="AG265">
        <f ca="1">IF(AND(ISNUMBER($AG$358),$B$294=1),$AG$358,HLOOKUP(INDIRECT(ADDRESS(2,COLUMN())),OFFSET($AT$2,0,0,ROW()-1,40),ROW()-1,FALSE))</f>
        <v>90</v>
      </c>
      <c r="AH265">
        <f ca="1">IF(AND(ISNUMBER($AH$358),$B$294=1),$AH$358,HLOOKUP(INDIRECT(ADDRESS(2,COLUMN())),OFFSET($AT$2,0,0,ROW()-1,40),ROW()-1,FALSE))</f>
        <v>105</v>
      </c>
      <c r="AI265">
        <f ca="1">IF(AND(ISNUMBER($AI$358),$B$294=1),$AI$358,HLOOKUP(INDIRECT(ADDRESS(2,COLUMN())),OFFSET($AT$2,0,0,ROW()-1,40),ROW()-1,FALSE))</f>
        <v>61</v>
      </c>
      <c r="AJ265">
        <f ca="1">IF(AND(ISNUMBER($AJ$358),$B$294=1),$AJ$358,HLOOKUP(INDIRECT(ADDRESS(2,COLUMN())),OFFSET($AT$2,0,0,ROW()-1,40),ROW()-1,FALSE))</f>
        <v>234</v>
      </c>
      <c r="AK265">
        <f ca="1">IF(AND(ISNUMBER($AK$358),$B$294=1),$AK$358,HLOOKUP(INDIRECT(ADDRESS(2,COLUMN())),OFFSET($AT$2,0,0,ROW()-1,40),ROW()-1,FALSE))</f>
        <v>86</v>
      </c>
      <c r="AL265">
        <f ca="1">IF(AND(ISNUMBER($AL$358),$B$294=1),$AL$358,HLOOKUP(INDIRECT(ADDRESS(2,COLUMN())),OFFSET($AT$2,0,0,ROW()-1,40),ROW()-1,FALSE))</f>
        <v>118</v>
      </c>
      <c r="AM265">
        <f ca="1">IF(AND(ISNUMBER($AM$358),$B$294=1),$AM$358,HLOOKUP(INDIRECT(ADDRESS(2,COLUMN())),OFFSET($AT$2,0,0,ROW()-1,40),ROW()-1,FALSE))</f>
        <v>113</v>
      </c>
      <c r="AN265">
        <f ca="1">IF(AND(ISNUMBER($AN$358),$B$294=1),$AN$358,HLOOKUP(INDIRECT(ADDRESS(2,COLUMN())),OFFSET($AT$2,0,0,ROW()-1,40),ROW()-1,FALSE))</f>
        <v>116</v>
      </c>
      <c r="AO265">
        <f ca="1">IF(AND(ISNUMBER($AO$358),$B$294=1),$AO$358,HLOOKUP(INDIRECT(ADDRESS(2,COLUMN())),OFFSET($AT$2,0,0,ROW()-1,40),ROW()-1,FALSE))</f>
        <v>107</v>
      </c>
      <c r="AP265">
        <f ca="1">IF(AND(ISNUMBER($AP$358),$B$294=1),$AP$358,HLOOKUP(INDIRECT(ADDRESS(2,COLUMN())),OFFSET($AT$2,0,0,ROW()-1,40),ROW()-1,FALSE))</f>
        <v>107</v>
      </c>
      <c r="AQ265">
        <f ca="1">IF(AND(ISNUMBER($AQ$358),$B$294=1),$AQ$358,HLOOKUP(INDIRECT(ADDRESS(2,COLUMN())),OFFSET($AT$2,0,0,ROW()-1,40),ROW()-1,FALSE))</f>
        <v>64</v>
      </c>
      <c r="AR265">
        <f ca="1">IF(AND(ISNUMBER($AR$358),$B$294=1),$AR$358,HLOOKUP(INDIRECT(ADDRESS(2,COLUMN())),OFFSET($AT$2,0,0,ROW()-1,40),ROW()-1,FALSE))</f>
        <v>119</v>
      </c>
      <c r="AS265">
        <f ca="1">IF(AND(ISNUMBER($AS$358),$B$294=1),$AS$358,HLOOKUP(INDIRECT(ADDRESS(2,COLUMN())),OFFSET($AT$2,0,0,ROW()-1,40),ROW()-1,FALSE))</f>
        <v>129</v>
      </c>
      <c r="AT265">
        <f>98</f>
        <v>98</v>
      </c>
      <c r="AU265">
        <f>92</f>
        <v>92</v>
      </c>
      <c r="AV265">
        <f>98</f>
        <v>98</v>
      </c>
      <c r="AW265">
        <f>98</f>
        <v>98</v>
      </c>
      <c r="AX265">
        <f>102</f>
        <v>102</v>
      </c>
      <c r="AY265">
        <f>98</f>
        <v>98</v>
      </c>
      <c r="AZ265">
        <f>92</f>
        <v>92</v>
      </c>
      <c r="BA265">
        <f>107</f>
        <v>107</v>
      </c>
      <c r="BB265">
        <f>92</f>
        <v>92</v>
      </c>
      <c r="BC265">
        <f>98</f>
        <v>98</v>
      </c>
      <c r="BD265">
        <f>140</f>
        <v>140</v>
      </c>
      <c r="BE265">
        <f>118</f>
        <v>118</v>
      </c>
      <c r="BF265">
        <f>81</f>
        <v>81</v>
      </c>
      <c r="BG265">
        <f>104</f>
        <v>104</v>
      </c>
      <c r="BH265">
        <f>131</f>
        <v>131</v>
      </c>
      <c r="BI265">
        <f>111</f>
        <v>111</v>
      </c>
      <c r="BJ265">
        <f>121</f>
        <v>121</v>
      </c>
      <c r="BK265">
        <f>98</f>
        <v>98</v>
      </c>
      <c r="BL265">
        <f>97</f>
        <v>97</v>
      </c>
      <c r="BM265">
        <f>98</f>
        <v>98</v>
      </c>
      <c r="BN265">
        <f>88</f>
        <v>88</v>
      </c>
      <c r="BO265">
        <f>68</f>
        <v>68</v>
      </c>
      <c r="BP265">
        <f>129</f>
        <v>129</v>
      </c>
      <c r="BQ265">
        <f>103</f>
        <v>103</v>
      </c>
      <c r="BR265">
        <f>96</f>
        <v>96</v>
      </c>
      <c r="BS265">
        <f>90</f>
        <v>90</v>
      </c>
      <c r="BT265">
        <f>90</f>
        <v>90</v>
      </c>
      <c r="BU265">
        <f>90</f>
        <v>90</v>
      </c>
      <c r="BV265">
        <f>105</f>
        <v>105</v>
      </c>
      <c r="BW265">
        <f>61</f>
        <v>61</v>
      </c>
      <c r="BX265">
        <f>234</f>
        <v>234</v>
      </c>
      <c r="BY265">
        <f>86</f>
        <v>86</v>
      </c>
      <c r="BZ265">
        <f>118</f>
        <v>118</v>
      </c>
      <c r="CA265">
        <f>113</f>
        <v>113</v>
      </c>
      <c r="CB265">
        <f>116</f>
        <v>116</v>
      </c>
      <c r="CC265">
        <f>107</f>
        <v>107</v>
      </c>
      <c r="CD265">
        <f>107</f>
        <v>107</v>
      </c>
      <c r="CE265">
        <f>64</f>
        <v>64</v>
      </c>
      <c r="CF265">
        <f>119</f>
        <v>119</v>
      </c>
      <c r="CG265">
        <f>129</f>
        <v>129</v>
      </c>
    </row>
    <row r="266" spans="1:85" x14ac:dyDescent="0.25">
      <c r="A266" t="str">
        <f>"    Daimler - Mercedes-Benz"</f>
        <v xml:space="preserve">    Daimler - Mercedes-Benz</v>
      </c>
      <c r="B266" t="str">
        <f>"DAI GR Equity"</f>
        <v>DAI GR Equity</v>
      </c>
      <c r="C266" t="str">
        <f t="shared" si="25"/>
        <v>X1701</v>
      </c>
      <c r="D266" t="str">
        <f t="shared" si="26"/>
        <v>WARDS_RETAIL_SALES_UNITS</v>
      </c>
      <c r="E266" t="str">
        <f t="shared" si="22"/>
        <v>Dynamic</v>
      </c>
      <c r="F266" t="str">
        <f ca="1">IF(AND(ISNUMBER($F$359),$B$294=1),$F$359,HLOOKUP(INDIRECT(ADDRESS(2,COLUMN())),OFFSET($AT$2,0,0,ROW()-1,40),ROW()-1,FALSE))</f>
        <v/>
      </c>
      <c r="G266" t="str">
        <f ca="1">IF(AND(ISNUMBER($G$359),$B$294=1),$G$359,HLOOKUP(INDIRECT(ADDRESS(2,COLUMN())),OFFSET($AT$2,0,0,ROW()-1,40),ROW()-1,FALSE))</f>
        <v/>
      </c>
      <c r="H266" t="str">
        <f ca="1">IF(AND(ISNUMBER($H$359),$B$294=1),$H$359,HLOOKUP(INDIRECT(ADDRESS(2,COLUMN())),OFFSET($AT$2,0,0,ROW()-1,40),ROW()-1,FALSE))</f>
        <v/>
      </c>
      <c r="I266" t="str">
        <f ca="1">IF(AND(ISNUMBER($I$359),$B$294=1),$I$359,HLOOKUP(INDIRECT(ADDRESS(2,COLUMN())),OFFSET($AT$2,0,0,ROW()-1,40),ROW()-1,FALSE))</f>
        <v/>
      </c>
      <c r="J266" t="str">
        <f ca="1">IF(AND(ISNUMBER($J$359),$B$294=1),$J$359,HLOOKUP(INDIRECT(ADDRESS(2,COLUMN())),OFFSET($AT$2,0,0,ROW()-1,40),ROW()-1,FALSE))</f>
        <v/>
      </c>
      <c r="K266" t="str">
        <f ca="1">IF(AND(ISNUMBER($K$359),$B$294=1),$K$359,HLOOKUP(INDIRECT(ADDRESS(2,COLUMN())),OFFSET($AT$2,0,0,ROW()-1,40),ROW()-1,FALSE))</f>
        <v/>
      </c>
      <c r="L266" t="str">
        <f ca="1">IF(AND(ISNUMBER($L$359),$B$294=1),$L$359,HLOOKUP(INDIRECT(ADDRESS(2,COLUMN())),OFFSET($AT$2,0,0,ROW()-1,40),ROW()-1,FALSE))</f>
        <v/>
      </c>
      <c r="M266" t="str">
        <f ca="1">IF(AND(ISNUMBER($M$359),$B$294=1),$M$359,HLOOKUP(INDIRECT(ADDRESS(2,COLUMN())),OFFSET($AT$2,0,0,ROW()-1,40),ROW()-1,FALSE))</f>
        <v/>
      </c>
      <c r="N266" t="str">
        <f ca="1">IF(AND(ISNUMBER($N$359),$B$294=1),$N$359,HLOOKUP(INDIRECT(ADDRESS(2,COLUMN())),OFFSET($AT$2,0,0,ROW()-1,40),ROW()-1,FALSE))</f>
        <v/>
      </c>
      <c r="O266" t="str">
        <f ca="1">IF(AND(ISNUMBER($O$359),$B$294=1),$O$359,HLOOKUP(INDIRECT(ADDRESS(2,COLUMN())),OFFSET($AT$2,0,0,ROW()-1,40),ROW()-1,FALSE))</f>
        <v/>
      </c>
      <c r="P266">
        <f ca="1">IF(AND(ISNUMBER($P$359),$B$294=1),$P$359,HLOOKUP(INDIRECT(ADDRESS(2,COLUMN())),OFFSET($AT$2,0,0,ROW()-1,40),ROW()-1,FALSE))</f>
        <v>433</v>
      </c>
      <c r="Q266">
        <f ca="1">IF(AND(ISNUMBER($Q$359),$B$294=1),$Q$359,HLOOKUP(INDIRECT(ADDRESS(2,COLUMN())),OFFSET($AT$2,0,0,ROW()-1,40),ROW()-1,FALSE))</f>
        <v>361</v>
      </c>
      <c r="R266">
        <f ca="1">IF(AND(ISNUMBER($R$359),$B$294=1),$R$359,HLOOKUP(INDIRECT(ADDRESS(2,COLUMN())),OFFSET($AT$2,0,0,ROW()-1,40),ROW()-1,FALSE))</f>
        <v>293</v>
      </c>
      <c r="S266">
        <f ca="1">IF(AND(ISNUMBER($S$359),$B$294=1),$S$359,HLOOKUP(INDIRECT(ADDRESS(2,COLUMN())),OFFSET($AT$2,0,0,ROW()-1,40),ROW()-1,FALSE))</f>
        <v>318</v>
      </c>
      <c r="T266">
        <f ca="1">IF(AND(ISNUMBER($T$359),$B$294=1),$T$359,HLOOKUP(INDIRECT(ADDRESS(2,COLUMN())),OFFSET($AT$2,0,0,ROW()-1,40),ROW()-1,FALSE))</f>
        <v>418</v>
      </c>
      <c r="U266">
        <f ca="1">IF(AND(ISNUMBER($U$359),$B$294=1),$U$359,HLOOKUP(INDIRECT(ADDRESS(2,COLUMN())),OFFSET($AT$2,0,0,ROW()-1,40),ROW()-1,FALSE))</f>
        <v>367</v>
      </c>
      <c r="V266">
        <f ca="1">IF(AND(ISNUMBER($V$359),$B$294=1),$V$359,HLOOKUP(INDIRECT(ADDRESS(2,COLUMN())),OFFSET($AT$2,0,0,ROW()-1,40),ROW()-1,FALSE))</f>
        <v>454</v>
      </c>
      <c r="W266">
        <f ca="1">IF(AND(ISNUMBER($W$359),$B$294=1),$W$359,HLOOKUP(INDIRECT(ADDRESS(2,COLUMN())),OFFSET($AT$2,0,0,ROW()-1,40),ROW()-1,FALSE))</f>
        <v>293</v>
      </c>
      <c r="X266">
        <f ca="1">IF(AND(ISNUMBER($X$359),$B$294=1),$X$359,HLOOKUP(INDIRECT(ADDRESS(2,COLUMN())),OFFSET($AT$2,0,0,ROW()-1,40),ROW()-1,FALSE))</f>
        <v>272</v>
      </c>
      <c r="Y266">
        <f ca="1">IF(AND(ISNUMBER($Y$359),$B$294=1),$Y$359,HLOOKUP(INDIRECT(ADDRESS(2,COLUMN())),OFFSET($AT$2,0,0,ROW()-1,40),ROW()-1,FALSE))</f>
        <v>368</v>
      </c>
      <c r="Z266">
        <f ca="1">IF(AND(ISNUMBER($Z$359),$B$294=1),$Z$359,HLOOKUP(INDIRECT(ADDRESS(2,COLUMN())),OFFSET($AT$2,0,0,ROW()-1,40),ROW()-1,FALSE))</f>
        <v>260</v>
      </c>
      <c r="AA266">
        <f ca="1">IF(AND(ISNUMBER($AA$359),$B$294=1),$AA$359,HLOOKUP(INDIRECT(ADDRESS(2,COLUMN())),OFFSET($AT$2,0,0,ROW()-1,40),ROW()-1,FALSE))</f>
        <v>188</v>
      </c>
      <c r="AB266">
        <f ca="1">IF(AND(ISNUMBER($AB$359),$B$294=1),$AB$359,HLOOKUP(INDIRECT(ADDRESS(2,COLUMN())),OFFSET($AT$2,0,0,ROW()-1,40),ROW()-1,FALSE))</f>
        <v>342</v>
      </c>
      <c r="AC266">
        <f ca="1">IF(AND(ISNUMBER($AC$359),$B$294=1),$AC$359,HLOOKUP(INDIRECT(ADDRESS(2,COLUMN())),OFFSET($AT$2,0,0,ROW()-1,40),ROW()-1,FALSE))</f>
        <v>274</v>
      </c>
      <c r="AD266">
        <f ca="1">IF(AND(ISNUMBER($AD$359),$B$294=1),$AD$359,HLOOKUP(INDIRECT(ADDRESS(2,COLUMN())),OFFSET($AT$2,0,0,ROW()-1,40),ROW()-1,FALSE))</f>
        <v>257</v>
      </c>
      <c r="AE266">
        <f ca="1">IF(AND(ISNUMBER($AE$359),$B$294=1),$AE$359,HLOOKUP(INDIRECT(ADDRESS(2,COLUMN())),OFFSET($AT$2,0,0,ROW()-1,40),ROW()-1,FALSE))</f>
        <v>239</v>
      </c>
      <c r="AF266">
        <f ca="1">IF(AND(ISNUMBER($AF$359),$B$294=1),$AF$359,HLOOKUP(INDIRECT(ADDRESS(2,COLUMN())),OFFSET($AT$2,0,0,ROW()-1,40),ROW()-1,FALSE))</f>
        <v>239</v>
      </c>
      <c r="AG266">
        <f ca="1">IF(AND(ISNUMBER($AG$359),$B$294=1),$AG$359,HLOOKUP(INDIRECT(ADDRESS(2,COLUMN())),OFFSET($AT$2,0,0,ROW()-1,40),ROW()-1,FALSE))</f>
        <v>287</v>
      </c>
      <c r="AH266">
        <f ca="1">IF(AND(ISNUMBER($AH$359),$B$294=1),$AH$359,HLOOKUP(INDIRECT(ADDRESS(2,COLUMN())),OFFSET($AT$2,0,0,ROW()-1,40),ROW()-1,FALSE))</f>
        <v>282</v>
      </c>
      <c r="AI266">
        <f ca="1">IF(AND(ISNUMBER($AI$359),$B$294=1),$AI$359,HLOOKUP(INDIRECT(ADDRESS(2,COLUMN())),OFFSET($AT$2,0,0,ROW()-1,40),ROW()-1,FALSE))</f>
        <v>194</v>
      </c>
      <c r="AJ266">
        <f ca="1">IF(AND(ISNUMBER($AJ$359),$B$294=1),$AJ$359,HLOOKUP(INDIRECT(ADDRESS(2,COLUMN())),OFFSET($AT$2,0,0,ROW()-1,40),ROW()-1,FALSE))</f>
        <v>238</v>
      </c>
      <c r="AK266">
        <f ca="1">IF(AND(ISNUMBER($AK$359),$B$294=1),$AK$359,HLOOKUP(INDIRECT(ADDRESS(2,COLUMN())),OFFSET($AT$2,0,0,ROW()-1,40),ROW()-1,FALSE))</f>
        <v>195</v>
      </c>
      <c r="AL266">
        <f ca="1">IF(AND(ISNUMBER($AL$359),$B$294=1),$AL$359,HLOOKUP(INDIRECT(ADDRESS(2,COLUMN())),OFFSET($AT$2,0,0,ROW()-1,40),ROW()-1,FALSE))</f>
        <v>152</v>
      </c>
      <c r="AM266">
        <f ca="1">IF(AND(ISNUMBER($AM$359),$B$294=1),$AM$359,HLOOKUP(INDIRECT(ADDRESS(2,COLUMN())),OFFSET($AT$2,0,0,ROW()-1,40),ROW()-1,FALSE))</f>
        <v>187</v>
      </c>
      <c r="AN266">
        <f ca="1">IF(AND(ISNUMBER($AN$359),$B$294=1),$AN$359,HLOOKUP(INDIRECT(ADDRESS(2,COLUMN())),OFFSET($AT$2,0,0,ROW()-1,40),ROW()-1,FALSE))</f>
        <v>222</v>
      </c>
      <c r="AO266">
        <f ca="1">IF(AND(ISNUMBER($AO$359),$B$294=1),$AO$359,HLOOKUP(INDIRECT(ADDRESS(2,COLUMN())),OFFSET($AT$2,0,0,ROW()-1,40),ROW()-1,FALSE))</f>
        <v>204</v>
      </c>
      <c r="AP266">
        <f ca="1">IF(AND(ISNUMBER($AP$359),$B$294=1),$AP$359,HLOOKUP(INDIRECT(ADDRESS(2,COLUMN())),OFFSET($AT$2,0,0,ROW()-1,40),ROW()-1,FALSE))</f>
        <v>205</v>
      </c>
      <c r="AQ266">
        <f ca="1">IF(AND(ISNUMBER($AQ$359),$B$294=1),$AQ$359,HLOOKUP(INDIRECT(ADDRESS(2,COLUMN())),OFFSET($AT$2,0,0,ROW()-1,40),ROW()-1,FALSE))</f>
        <v>206</v>
      </c>
      <c r="AR266">
        <f ca="1">IF(AND(ISNUMBER($AR$359),$B$294=1),$AR$359,HLOOKUP(INDIRECT(ADDRESS(2,COLUMN())),OFFSET($AT$2,0,0,ROW()-1,40),ROW()-1,FALSE))</f>
        <v>280</v>
      </c>
      <c r="AS266">
        <f ca="1">IF(AND(ISNUMBER($AS$359),$B$294=1),$AS$359,HLOOKUP(INDIRECT(ADDRESS(2,COLUMN())),OFFSET($AT$2,0,0,ROW()-1,40),ROW()-1,FALSE))</f>
        <v>250</v>
      </c>
      <c r="AT266" t="str">
        <f>""</f>
        <v/>
      </c>
      <c r="AU266" t="str">
        <f>""</f>
        <v/>
      </c>
      <c r="AV266" t="str">
        <f>""</f>
        <v/>
      </c>
      <c r="AW266" t="str">
        <f>""</f>
        <v/>
      </c>
      <c r="AX266" t="str">
        <f>""</f>
        <v/>
      </c>
      <c r="AY266" t="str">
        <f>""</f>
        <v/>
      </c>
      <c r="AZ266" t="str">
        <f>""</f>
        <v/>
      </c>
      <c r="BA266" t="str">
        <f>""</f>
        <v/>
      </c>
      <c r="BB266" t="str">
        <f>""</f>
        <v/>
      </c>
      <c r="BC266" t="str">
        <f>""</f>
        <v/>
      </c>
      <c r="BD266">
        <f>433</f>
        <v>433</v>
      </c>
      <c r="BE266">
        <f>361</f>
        <v>361</v>
      </c>
      <c r="BF266">
        <f>293</f>
        <v>293</v>
      </c>
      <c r="BG266">
        <f>318</f>
        <v>318</v>
      </c>
      <c r="BH266">
        <f>418</f>
        <v>418</v>
      </c>
      <c r="BI266">
        <f>367</f>
        <v>367</v>
      </c>
      <c r="BJ266">
        <f>454</f>
        <v>454</v>
      </c>
      <c r="BK266">
        <f>293</f>
        <v>293</v>
      </c>
      <c r="BL266">
        <f>272</f>
        <v>272</v>
      </c>
      <c r="BM266">
        <f>368</f>
        <v>368</v>
      </c>
      <c r="BN266">
        <f>260</f>
        <v>260</v>
      </c>
      <c r="BO266">
        <f>188</f>
        <v>188</v>
      </c>
      <c r="BP266">
        <f>342</f>
        <v>342</v>
      </c>
      <c r="BQ266">
        <f>274</f>
        <v>274</v>
      </c>
      <c r="BR266">
        <f>257</f>
        <v>257</v>
      </c>
      <c r="BS266">
        <f>239</f>
        <v>239</v>
      </c>
      <c r="BT266">
        <f>239</f>
        <v>239</v>
      </c>
      <c r="BU266">
        <f>287</f>
        <v>287</v>
      </c>
      <c r="BV266">
        <f>282</f>
        <v>282</v>
      </c>
      <c r="BW266">
        <f>194</f>
        <v>194</v>
      </c>
      <c r="BX266">
        <f>238</f>
        <v>238</v>
      </c>
      <c r="BY266">
        <f>195</f>
        <v>195</v>
      </c>
      <c r="BZ266">
        <f>152</f>
        <v>152</v>
      </c>
      <c r="CA266">
        <f>187</f>
        <v>187</v>
      </c>
      <c r="CB266">
        <f>222</f>
        <v>222</v>
      </c>
      <c r="CC266">
        <f>204</f>
        <v>204</v>
      </c>
      <c r="CD266">
        <f>205</f>
        <v>205</v>
      </c>
      <c r="CE266">
        <f>206</f>
        <v>206</v>
      </c>
      <c r="CF266">
        <f>280</f>
        <v>280</v>
      </c>
      <c r="CG266">
        <f>250</f>
        <v>250</v>
      </c>
    </row>
    <row r="267" spans="1:85" x14ac:dyDescent="0.25">
      <c r="A267" t="str">
        <f>"    Daimler - Sterling"</f>
        <v xml:space="preserve">    Daimler - Sterling</v>
      </c>
      <c r="B267" t="str">
        <f>"DAI GR Equity"</f>
        <v>DAI GR Equity</v>
      </c>
      <c r="C267" t="str">
        <f t="shared" si="25"/>
        <v>X1701</v>
      </c>
      <c r="D267" t="str">
        <f t="shared" si="26"/>
        <v>WARDS_RETAIL_SALES_UNITS</v>
      </c>
      <c r="E267" t="str">
        <f t="shared" si="22"/>
        <v>Dynamic</v>
      </c>
      <c r="F267" t="str">
        <f ca="1">IF(AND(ISNUMBER($F$360),$B$294=1),$F$360,HLOOKUP(INDIRECT(ADDRESS(2,COLUMN())),OFFSET($AT$2,0,0,ROW()-1,40),ROW()-1,FALSE))</f>
        <v/>
      </c>
      <c r="G267" t="str">
        <f ca="1">IF(AND(ISNUMBER($G$360),$B$294=1),$G$360,HLOOKUP(INDIRECT(ADDRESS(2,COLUMN())),OFFSET($AT$2,0,0,ROW()-1,40),ROW()-1,FALSE))</f>
        <v/>
      </c>
      <c r="H267" t="str">
        <f ca="1">IF(AND(ISNUMBER($H$360),$B$294=1),$H$360,HLOOKUP(INDIRECT(ADDRESS(2,COLUMN())),OFFSET($AT$2,0,0,ROW()-1,40),ROW()-1,FALSE))</f>
        <v/>
      </c>
      <c r="I267" t="str">
        <f ca="1">IF(AND(ISNUMBER($I$360),$B$294=1),$I$360,HLOOKUP(INDIRECT(ADDRESS(2,COLUMN())),OFFSET($AT$2,0,0,ROW()-1,40),ROW()-1,FALSE))</f>
        <v/>
      </c>
      <c r="J267" t="str">
        <f ca="1">IF(AND(ISNUMBER($J$360),$B$294=1),$J$360,HLOOKUP(INDIRECT(ADDRESS(2,COLUMN())),OFFSET($AT$2,0,0,ROW()-1,40),ROW()-1,FALSE))</f>
        <v/>
      </c>
      <c r="K267" t="str">
        <f ca="1">IF(AND(ISNUMBER($K$360),$B$294=1),$K$360,HLOOKUP(INDIRECT(ADDRESS(2,COLUMN())),OFFSET($AT$2,0,0,ROW()-1,40),ROW()-1,FALSE))</f>
        <v/>
      </c>
      <c r="L267" t="str">
        <f ca="1">IF(AND(ISNUMBER($L$360),$B$294=1),$L$360,HLOOKUP(INDIRECT(ADDRESS(2,COLUMN())),OFFSET($AT$2,0,0,ROW()-1,40),ROW()-1,FALSE))</f>
        <v/>
      </c>
      <c r="M267" t="str">
        <f ca="1">IF(AND(ISNUMBER($M$360),$B$294=1),$M$360,HLOOKUP(INDIRECT(ADDRESS(2,COLUMN())),OFFSET($AT$2,0,0,ROW()-1,40),ROW()-1,FALSE))</f>
        <v/>
      </c>
      <c r="N267" t="str">
        <f ca="1">IF(AND(ISNUMBER($N$360),$B$294=1),$N$360,HLOOKUP(INDIRECT(ADDRESS(2,COLUMN())),OFFSET($AT$2,0,0,ROW()-1,40),ROW()-1,FALSE))</f>
        <v/>
      </c>
      <c r="O267" t="str">
        <f ca="1">IF(AND(ISNUMBER($O$360),$B$294=1),$O$360,HLOOKUP(INDIRECT(ADDRESS(2,COLUMN())),OFFSET($AT$2,0,0,ROW()-1,40),ROW()-1,FALSE))</f>
        <v/>
      </c>
      <c r="P267" t="str">
        <f ca="1">IF(AND(ISNUMBER($P$360),$B$294=1),$P$360,HLOOKUP(INDIRECT(ADDRESS(2,COLUMN())),OFFSET($AT$2,0,0,ROW()-1,40),ROW()-1,FALSE))</f>
        <v/>
      </c>
      <c r="Q267" t="str">
        <f ca="1">IF(AND(ISNUMBER($Q$360),$B$294=1),$Q$360,HLOOKUP(INDIRECT(ADDRESS(2,COLUMN())),OFFSET($AT$2,0,0,ROW()-1,40),ROW()-1,FALSE))</f>
        <v/>
      </c>
      <c r="R267" t="str">
        <f ca="1">IF(AND(ISNUMBER($R$360),$B$294=1),$R$360,HLOOKUP(INDIRECT(ADDRESS(2,COLUMN())),OFFSET($AT$2,0,0,ROW()-1,40),ROW()-1,FALSE))</f>
        <v/>
      </c>
      <c r="S267" t="str">
        <f ca="1">IF(AND(ISNUMBER($S$360),$B$294=1),$S$360,HLOOKUP(INDIRECT(ADDRESS(2,COLUMN())),OFFSET($AT$2,0,0,ROW()-1,40),ROW()-1,FALSE))</f>
        <v/>
      </c>
      <c r="T267" t="str">
        <f ca="1">IF(AND(ISNUMBER($T$360),$B$294=1),$T$360,HLOOKUP(INDIRECT(ADDRESS(2,COLUMN())),OFFSET($AT$2,0,0,ROW()-1,40),ROW()-1,FALSE))</f>
        <v/>
      </c>
      <c r="U267" t="str">
        <f ca="1">IF(AND(ISNUMBER($U$360),$B$294=1),$U$360,HLOOKUP(INDIRECT(ADDRESS(2,COLUMN())),OFFSET($AT$2,0,0,ROW()-1,40),ROW()-1,FALSE))</f>
        <v/>
      </c>
      <c r="V267" t="str">
        <f ca="1">IF(AND(ISNUMBER($V$360),$B$294=1),$V$360,HLOOKUP(INDIRECT(ADDRESS(2,COLUMN())),OFFSET($AT$2,0,0,ROW()-1,40),ROW()-1,FALSE))</f>
        <v/>
      </c>
      <c r="W267" t="str">
        <f ca="1">IF(AND(ISNUMBER($W$360),$B$294=1),$W$360,HLOOKUP(INDIRECT(ADDRESS(2,COLUMN())),OFFSET($AT$2,0,0,ROW()-1,40),ROW()-1,FALSE))</f>
        <v/>
      </c>
      <c r="X267" t="str">
        <f ca="1">IF(AND(ISNUMBER($X$360),$B$294=1),$X$360,HLOOKUP(INDIRECT(ADDRESS(2,COLUMN())),OFFSET($AT$2,0,0,ROW()-1,40),ROW()-1,FALSE))</f>
        <v/>
      </c>
      <c r="Y267" t="str">
        <f ca="1">IF(AND(ISNUMBER($Y$360),$B$294=1),$Y$360,HLOOKUP(INDIRECT(ADDRESS(2,COLUMN())),OFFSET($AT$2,0,0,ROW()-1,40),ROW()-1,FALSE))</f>
        <v/>
      </c>
      <c r="Z267" t="str">
        <f ca="1">IF(AND(ISNUMBER($Z$360),$B$294=1),$Z$360,HLOOKUP(INDIRECT(ADDRESS(2,COLUMN())),OFFSET($AT$2,0,0,ROW()-1,40),ROW()-1,FALSE))</f>
        <v/>
      </c>
      <c r="AA267" t="str">
        <f ca="1">IF(AND(ISNUMBER($AA$360),$B$294=1),$AA$360,HLOOKUP(INDIRECT(ADDRESS(2,COLUMN())),OFFSET($AT$2,0,0,ROW()-1,40),ROW()-1,FALSE))</f>
        <v/>
      </c>
      <c r="AB267" t="str">
        <f ca="1">IF(AND(ISNUMBER($AB$360),$B$294=1),$AB$360,HLOOKUP(INDIRECT(ADDRESS(2,COLUMN())),OFFSET($AT$2,0,0,ROW()-1,40),ROW()-1,FALSE))</f>
        <v/>
      </c>
      <c r="AC267" t="str">
        <f ca="1">IF(AND(ISNUMBER($AC$360),$B$294=1),$AC$360,HLOOKUP(INDIRECT(ADDRESS(2,COLUMN())),OFFSET($AT$2,0,0,ROW()-1,40),ROW()-1,FALSE))</f>
        <v/>
      </c>
      <c r="AD267" t="str">
        <f ca="1">IF(AND(ISNUMBER($AD$360),$B$294=1),$AD$360,HLOOKUP(INDIRECT(ADDRESS(2,COLUMN())),OFFSET($AT$2,0,0,ROW()-1,40),ROW()-1,FALSE))</f>
        <v/>
      </c>
      <c r="AE267" t="str">
        <f ca="1">IF(AND(ISNUMBER($AE$360),$B$294=1),$AE$360,HLOOKUP(INDIRECT(ADDRESS(2,COLUMN())),OFFSET($AT$2,0,0,ROW()-1,40),ROW()-1,FALSE))</f>
        <v/>
      </c>
      <c r="AF267" t="str">
        <f ca="1">IF(AND(ISNUMBER($AF$360),$B$294=1),$AF$360,HLOOKUP(INDIRECT(ADDRESS(2,COLUMN())),OFFSET($AT$2,0,0,ROW()-1,40),ROW()-1,FALSE))</f>
        <v/>
      </c>
      <c r="AG267" t="str">
        <f ca="1">IF(AND(ISNUMBER($AG$360),$B$294=1),$AG$360,HLOOKUP(INDIRECT(ADDRESS(2,COLUMN())),OFFSET($AT$2,0,0,ROW()-1,40),ROW()-1,FALSE))</f>
        <v/>
      </c>
      <c r="AH267" t="str">
        <f ca="1">IF(AND(ISNUMBER($AH$360),$B$294=1),$AH$360,HLOOKUP(INDIRECT(ADDRESS(2,COLUMN())),OFFSET($AT$2,0,0,ROW()-1,40),ROW()-1,FALSE))</f>
        <v/>
      </c>
      <c r="AI267" t="str">
        <f ca="1">IF(AND(ISNUMBER($AI$360),$B$294=1),$AI$360,HLOOKUP(INDIRECT(ADDRESS(2,COLUMN())),OFFSET($AT$2,0,0,ROW()-1,40),ROW()-1,FALSE))</f>
        <v/>
      </c>
      <c r="AJ267" t="str">
        <f ca="1">IF(AND(ISNUMBER($AJ$360),$B$294=1),$AJ$360,HLOOKUP(INDIRECT(ADDRESS(2,COLUMN())),OFFSET($AT$2,0,0,ROW()-1,40),ROW()-1,FALSE))</f>
        <v/>
      </c>
      <c r="AK267" t="str">
        <f ca="1">IF(AND(ISNUMBER($AK$360),$B$294=1),$AK$360,HLOOKUP(INDIRECT(ADDRESS(2,COLUMN())),OFFSET($AT$2,0,0,ROW()-1,40),ROW()-1,FALSE))</f>
        <v/>
      </c>
      <c r="AL267" t="str">
        <f ca="1">IF(AND(ISNUMBER($AL$360),$B$294=1),$AL$360,HLOOKUP(INDIRECT(ADDRESS(2,COLUMN())),OFFSET($AT$2,0,0,ROW()-1,40),ROW()-1,FALSE))</f>
        <v/>
      </c>
      <c r="AM267" t="str">
        <f ca="1">IF(AND(ISNUMBER($AM$360),$B$294=1),$AM$360,HLOOKUP(INDIRECT(ADDRESS(2,COLUMN())),OFFSET($AT$2,0,0,ROW()-1,40),ROW()-1,FALSE))</f>
        <v/>
      </c>
      <c r="AN267" t="str">
        <f ca="1">IF(AND(ISNUMBER($AN$360),$B$294=1),$AN$360,HLOOKUP(INDIRECT(ADDRESS(2,COLUMN())),OFFSET($AT$2,0,0,ROW()-1,40),ROW()-1,FALSE))</f>
        <v/>
      </c>
      <c r="AO267" t="str">
        <f ca="1">IF(AND(ISNUMBER($AO$360),$B$294=1),$AO$360,HLOOKUP(INDIRECT(ADDRESS(2,COLUMN())),OFFSET($AT$2,0,0,ROW()-1,40),ROW()-1,FALSE))</f>
        <v/>
      </c>
      <c r="AP267" t="str">
        <f ca="1">IF(AND(ISNUMBER($AP$360),$B$294=1),$AP$360,HLOOKUP(INDIRECT(ADDRESS(2,COLUMN())),OFFSET($AT$2,0,0,ROW()-1,40),ROW()-1,FALSE))</f>
        <v/>
      </c>
      <c r="AQ267" t="str">
        <f ca="1">IF(AND(ISNUMBER($AQ$360),$B$294=1),$AQ$360,HLOOKUP(INDIRECT(ADDRESS(2,COLUMN())),OFFSET($AT$2,0,0,ROW()-1,40),ROW()-1,FALSE))</f>
        <v/>
      </c>
      <c r="AR267" t="str">
        <f ca="1">IF(AND(ISNUMBER($AR$360),$B$294=1),$AR$360,HLOOKUP(INDIRECT(ADDRESS(2,COLUMN())),OFFSET($AT$2,0,0,ROW()-1,40),ROW()-1,FALSE))</f>
        <v/>
      </c>
      <c r="AS267" t="str">
        <f ca="1">IF(AND(ISNUMBER($AS$360),$B$294=1),$AS$360,HLOOKUP(INDIRECT(ADDRESS(2,COLUMN())),OFFSET($AT$2,0,0,ROW()-1,40),ROW()-1,FALSE))</f>
        <v/>
      </c>
      <c r="AT267" t="str">
        <f>""</f>
        <v/>
      </c>
      <c r="AU267" t="str">
        <f>""</f>
        <v/>
      </c>
      <c r="AV267" t="str">
        <f>""</f>
        <v/>
      </c>
      <c r="AW267" t="str">
        <f>""</f>
        <v/>
      </c>
      <c r="AX267" t="str">
        <f>""</f>
        <v/>
      </c>
      <c r="AY267" t="str">
        <f>""</f>
        <v/>
      </c>
      <c r="AZ267" t="str">
        <f>""</f>
        <v/>
      </c>
      <c r="BA267" t="str">
        <f>""</f>
        <v/>
      </c>
      <c r="BB267" t="str">
        <f>""</f>
        <v/>
      </c>
      <c r="BC267" t="str">
        <f>""</f>
        <v/>
      </c>
      <c r="BD267" t="str">
        <f>""</f>
        <v/>
      </c>
      <c r="BE267" t="str">
        <f>""</f>
        <v/>
      </c>
      <c r="BF267" t="str">
        <f>""</f>
        <v/>
      </c>
      <c r="BG267" t="str">
        <f>""</f>
        <v/>
      </c>
      <c r="BH267" t="str">
        <f>""</f>
        <v/>
      </c>
      <c r="BI267" t="str">
        <f>""</f>
        <v/>
      </c>
      <c r="BJ267" t="str">
        <f>""</f>
        <v/>
      </c>
      <c r="BK267" t="str">
        <f>""</f>
        <v/>
      </c>
      <c r="BL267" t="str">
        <f>""</f>
        <v/>
      </c>
      <c r="BM267" t="str">
        <f>""</f>
        <v/>
      </c>
      <c r="BN267" t="str">
        <f>""</f>
        <v/>
      </c>
      <c r="BO267" t="str">
        <f>""</f>
        <v/>
      </c>
      <c r="BP267" t="str">
        <f>""</f>
        <v/>
      </c>
      <c r="BQ267" t="str">
        <f>""</f>
        <v/>
      </c>
      <c r="BR267" t="str">
        <f>""</f>
        <v/>
      </c>
      <c r="BS267" t="str">
        <f>""</f>
        <v/>
      </c>
      <c r="BT267" t="str">
        <f>""</f>
        <v/>
      </c>
      <c r="BU267" t="str">
        <f>""</f>
        <v/>
      </c>
      <c r="BV267" t="str">
        <f>""</f>
        <v/>
      </c>
      <c r="BW267" t="str">
        <f>""</f>
        <v/>
      </c>
      <c r="BX267" t="str">
        <f>""</f>
        <v/>
      </c>
      <c r="BY267" t="str">
        <f>""</f>
        <v/>
      </c>
      <c r="BZ267" t="str">
        <f>""</f>
        <v/>
      </c>
      <c r="CA267" t="str">
        <f>""</f>
        <v/>
      </c>
      <c r="CB267" t="str">
        <f>""</f>
        <v/>
      </c>
      <c r="CC267" t="str">
        <f>""</f>
        <v/>
      </c>
      <c r="CD267" t="str">
        <f>""</f>
        <v/>
      </c>
      <c r="CE267" t="str">
        <f>""</f>
        <v/>
      </c>
      <c r="CF267" t="str">
        <f>""</f>
        <v/>
      </c>
      <c r="CG267" t="str">
        <f>""</f>
        <v/>
      </c>
    </row>
    <row r="268" spans="1:85" x14ac:dyDescent="0.25">
      <c r="A268" t="str">
        <f>"    Navistar - International"</f>
        <v xml:space="preserve">    Navistar - International</v>
      </c>
      <c r="B268" t="str">
        <f>"NAV US Equity"</f>
        <v>NAV US Equity</v>
      </c>
      <c r="C268" t="str">
        <f t="shared" si="25"/>
        <v>X1701</v>
      </c>
      <c r="D268" t="str">
        <f t="shared" si="26"/>
        <v>WARDS_RETAIL_SALES_UNITS</v>
      </c>
      <c r="E268" t="str">
        <f t="shared" si="22"/>
        <v>Dynamic</v>
      </c>
      <c r="F268">
        <f ca="1">IF(AND(ISNUMBER($F$361),$B$294=1),$F$361,HLOOKUP(INDIRECT(ADDRESS(2,COLUMN())),OFFSET($AT$2,0,0,ROW()-1,40),ROW()-1,FALSE))</f>
        <v>169</v>
      </c>
      <c r="G268">
        <f ca="1">IF(AND(ISNUMBER($G$361),$B$294=1),$G$361,HLOOKUP(INDIRECT(ADDRESS(2,COLUMN())),OFFSET($AT$2,0,0,ROW()-1,40),ROW()-1,FALSE))</f>
        <v>120</v>
      </c>
      <c r="H268">
        <f ca="1">IF(AND(ISNUMBER($H$361),$B$294=1),$H$361,HLOOKUP(INDIRECT(ADDRESS(2,COLUMN())),OFFSET($AT$2,0,0,ROW()-1,40),ROW()-1,FALSE))</f>
        <v>180</v>
      </c>
      <c r="I268">
        <f ca="1">IF(AND(ISNUMBER($I$361),$B$294=1),$I$361,HLOOKUP(INDIRECT(ADDRESS(2,COLUMN())),OFFSET($AT$2,0,0,ROW()-1,40),ROW()-1,FALSE))</f>
        <v>115</v>
      </c>
      <c r="J268">
        <f ca="1">IF(AND(ISNUMBER($J$361),$B$294=1),$J$361,HLOOKUP(INDIRECT(ADDRESS(2,COLUMN())),OFFSET($AT$2,0,0,ROW()-1,40),ROW()-1,FALSE))</f>
        <v>117</v>
      </c>
      <c r="K268">
        <f ca="1">IF(AND(ISNUMBER($K$361),$B$294=1),$K$361,HLOOKUP(INDIRECT(ADDRESS(2,COLUMN())),OFFSET($AT$2,0,0,ROW()-1,40),ROW()-1,FALSE))</f>
        <v>109</v>
      </c>
      <c r="L268">
        <f ca="1">IF(AND(ISNUMBER($L$361),$B$294=1),$L$361,HLOOKUP(INDIRECT(ADDRESS(2,COLUMN())),OFFSET($AT$2,0,0,ROW()-1,40),ROW()-1,FALSE))</f>
        <v>113</v>
      </c>
      <c r="M268">
        <f ca="1">IF(AND(ISNUMBER($M$361),$B$294=1),$M$361,HLOOKUP(INDIRECT(ADDRESS(2,COLUMN())),OFFSET($AT$2,0,0,ROW()-1,40),ROW()-1,FALSE))</f>
        <v>118</v>
      </c>
      <c r="N268">
        <f ca="1">IF(AND(ISNUMBER($N$361),$B$294=1),$N$361,HLOOKUP(INDIRECT(ADDRESS(2,COLUMN())),OFFSET($AT$2,0,0,ROW()-1,40),ROW()-1,FALSE))</f>
        <v>161</v>
      </c>
      <c r="O268">
        <f ca="1">IF(AND(ISNUMBER($O$361),$B$294=1),$O$361,HLOOKUP(INDIRECT(ADDRESS(2,COLUMN())),OFFSET($AT$2,0,0,ROW()-1,40),ROW()-1,FALSE))</f>
        <v>173</v>
      </c>
      <c r="P268">
        <f ca="1">IF(AND(ISNUMBER($P$361),$B$294=1),$P$361,HLOOKUP(INDIRECT(ADDRESS(2,COLUMN())),OFFSET($AT$2,0,0,ROW()-1,40),ROW()-1,FALSE))</f>
        <v>134</v>
      </c>
      <c r="Q268">
        <f ca="1">IF(AND(ISNUMBER($Q$361),$B$294=1),$Q$361,HLOOKUP(INDIRECT(ADDRESS(2,COLUMN())),OFFSET($AT$2,0,0,ROW()-1,40),ROW()-1,FALSE))</f>
        <v>79</v>
      </c>
      <c r="R268">
        <f ca="1">IF(AND(ISNUMBER($R$361),$B$294=1),$R$361,HLOOKUP(INDIRECT(ADDRESS(2,COLUMN())),OFFSET($AT$2,0,0,ROW()-1,40),ROW()-1,FALSE))</f>
        <v>150</v>
      </c>
      <c r="S268">
        <f ca="1">IF(AND(ISNUMBER($S$361),$B$294=1),$S$361,HLOOKUP(INDIRECT(ADDRESS(2,COLUMN())),OFFSET($AT$2,0,0,ROW()-1,40),ROW()-1,FALSE))</f>
        <v>197</v>
      </c>
      <c r="T268">
        <f ca="1">IF(AND(ISNUMBER($T$361),$B$294=1),$T$361,HLOOKUP(INDIRECT(ADDRESS(2,COLUMN())),OFFSET($AT$2,0,0,ROW()-1,40),ROW()-1,FALSE))</f>
        <v>153</v>
      </c>
      <c r="U268">
        <f ca="1">IF(AND(ISNUMBER($U$361),$B$294=1),$U$361,HLOOKUP(INDIRECT(ADDRESS(2,COLUMN())),OFFSET($AT$2,0,0,ROW()-1,40),ROW()-1,FALSE))</f>
        <v>182</v>
      </c>
      <c r="V268">
        <f ca="1">IF(AND(ISNUMBER($V$361),$B$294=1),$V$361,HLOOKUP(INDIRECT(ADDRESS(2,COLUMN())),OFFSET($AT$2,0,0,ROW()-1,40),ROW()-1,FALSE))</f>
        <v>157</v>
      </c>
      <c r="W268">
        <f ca="1">IF(AND(ISNUMBER($W$361),$B$294=1),$W$361,HLOOKUP(INDIRECT(ADDRESS(2,COLUMN())),OFFSET($AT$2,0,0,ROW()-1,40),ROW()-1,FALSE))</f>
        <v>103</v>
      </c>
      <c r="X268">
        <f ca="1">IF(AND(ISNUMBER($X$361),$B$294=1),$X$361,HLOOKUP(INDIRECT(ADDRESS(2,COLUMN())),OFFSET($AT$2,0,0,ROW()-1,40),ROW()-1,FALSE))</f>
        <v>121</v>
      </c>
      <c r="Y268">
        <f ca="1">IF(AND(ISNUMBER($Y$361),$B$294=1),$Y$361,HLOOKUP(INDIRECT(ADDRESS(2,COLUMN())),OFFSET($AT$2,0,0,ROW()-1,40),ROW()-1,FALSE))</f>
        <v>145</v>
      </c>
      <c r="Z268">
        <f ca="1">IF(AND(ISNUMBER($Z$361),$B$294=1),$Z$361,HLOOKUP(INDIRECT(ADDRESS(2,COLUMN())),OFFSET($AT$2,0,0,ROW()-1,40),ROW()-1,FALSE))</f>
        <v>125</v>
      </c>
      <c r="AA268">
        <f ca="1">IF(AND(ISNUMBER($AA$361),$B$294=1),$AA$361,HLOOKUP(INDIRECT(ADDRESS(2,COLUMN())),OFFSET($AT$2,0,0,ROW()-1,40),ROW()-1,FALSE))</f>
        <v>76</v>
      </c>
      <c r="AB268">
        <f ca="1">IF(AND(ISNUMBER($AB$361),$B$294=1),$AB$361,HLOOKUP(INDIRECT(ADDRESS(2,COLUMN())),OFFSET($AT$2,0,0,ROW()-1,40),ROW()-1,FALSE))</f>
        <v>143</v>
      </c>
      <c r="AC268">
        <f ca="1">IF(AND(ISNUMBER($AC$361),$B$294=1),$AC$361,HLOOKUP(INDIRECT(ADDRESS(2,COLUMN())),OFFSET($AT$2,0,0,ROW()-1,40),ROW()-1,FALSE))</f>
        <v>113</v>
      </c>
      <c r="AD268">
        <f ca="1">IF(AND(ISNUMBER($AD$361),$B$294=1),$AD$361,HLOOKUP(INDIRECT(ADDRESS(2,COLUMN())),OFFSET($AT$2,0,0,ROW()-1,40),ROW()-1,FALSE))</f>
        <v>112</v>
      </c>
      <c r="AE268">
        <f ca="1">IF(AND(ISNUMBER($AE$361),$B$294=1),$AE$361,HLOOKUP(INDIRECT(ADDRESS(2,COLUMN())),OFFSET($AT$2,0,0,ROW()-1,40),ROW()-1,FALSE))</f>
        <v>122</v>
      </c>
      <c r="AF268">
        <f ca="1">IF(AND(ISNUMBER($AF$361),$B$294=1),$AF$361,HLOOKUP(INDIRECT(ADDRESS(2,COLUMN())),OFFSET($AT$2,0,0,ROW()-1,40),ROW()-1,FALSE))</f>
        <v>90</v>
      </c>
      <c r="AG268">
        <f ca="1">IF(AND(ISNUMBER($AG$361),$B$294=1),$AG$361,HLOOKUP(INDIRECT(ADDRESS(2,COLUMN())),OFFSET($AT$2,0,0,ROW()-1,40),ROW()-1,FALSE))</f>
        <v>92</v>
      </c>
      <c r="AH268">
        <f ca="1">IF(AND(ISNUMBER($AH$361),$B$294=1),$AH$361,HLOOKUP(INDIRECT(ADDRESS(2,COLUMN())),OFFSET($AT$2,0,0,ROW()-1,40),ROW()-1,FALSE))</f>
        <v>108</v>
      </c>
      <c r="AI268">
        <f ca="1">IF(AND(ISNUMBER($AI$361),$B$294=1),$AI$361,HLOOKUP(INDIRECT(ADDRESS(2,COLUMN())),OFFSET($AT$2,0,0,ROW()-1,40),ROW()-1,FALSE))</f>
        <v>128</v>
      </c>
      <c r="AJ268">
        <f ca="1">IF(AND(ISNUMBER($AJ$361),$B$294=1),$AJ$361,HLOOKUP(INDIRECT(ADDRESS(2,COLUMN())),OFFSET($AT$2,0,0,ROW()-1,40),ROW()-1,FALSE))</f>
        <v>129</v>
      </c>
      <c r="AK268">
        <f ca="1">IF(AND(ISNUMBER($AK$361),$B$294=1),$AK$361,HLOOKUP(INDIRECT(ADDRESS(2,COLUMN())),OFFSET($AT$2,0,0,ROW()-1,40),ROW()-1,FALSE))</f>
        <v>70</v>
      </c>
      <c r="AL268">
        <f ca="1">IF(AND(ISNUMBER($AL$361),$B$294=1),$AL$361,HLOOKUP(INDIRECT(ADDRESS(2,COLUMN())),OFFSET($AT$2,0,0,ROW()-1,40),ROW()-1,FALSE))</f>
        <v>119</v>
      </c>
      <c r="AM268">
        <f ca="1">IF(AND(ISNUMBER($AM$361),$B$294=1),$AM$361,HLOOKUP(INDIRECT(ADDRESS(2,COLUMN())),OFFSET($AT$2,0,0,ROW()-1,40),ROW()-1,FALSE))</f>
        <v>74</v>
      </c>
      <c r="AN268">
        <f ca="1">IF(AND(ISNUMBER($AN$361),$B$294=1),$AN$361,HLOOKUP(INDIRECT(ADDRESS(2,COLUMN())),OFFSET($AT$2,0,0,ROW()-1,40),ROW()-1,FALSE))</f>
        <v>139</v>
      </c>
      <c r="AO268">
        <f ca="1">IF(AND(ISNUMBER($AO$361),$B$294=1),$AO$361,HLOOKUP(INDIRECT(ADDRESS(2,COLUMN())),OFFSET($AT$2,0,0,ROW()-1,40),ROW()-1,FALSE))</f>
        <v>126</v>
      </c>
      <c r="AP268">
        <f ca="1">IF(AND(ISNUMBER($AP$361),$B$294=1),$AP$361,HLOOKUP(INDIRECT(ADDRESS(2,COLUMN())),OFFSET($AT$2,0,0,ROW()-1,40),ROW()-1,FALSE))</f>
        <v>128</v>
      </c>
      <c r="AQ268">
        <f ca="1">IF(AND(ISNUMBER($AQ$361),$B$294=1),$AQ$361,HLOOKUP(INDIRECT(ADDRESS(2,COLUMN())),OFFSET($AT$2,0,0,ROW()-1,40),ROW()-1,FALSE))</f>
        <v>75</v>
      </c>
      <c r="AR268">
        <f ca="1">IF(AND(ISNUMBER($AR$361),$B$294=1),$AR$361,HLOOKUP(INDIRECT(ADDRESS(2,COLUMN())),OFFSET($AT$2,0,0,ROW()-1,40),ROW()-1,FALSE))</f>
        <v>99</v>
      </c>
      <c r="AS268">
        <f ca="1">IF(AND(ISNUMBER($AS$361),$B$294=1),$AS$361,HLOOKUP(INDIRECT(ADDRESS(2,COLUMN())),OFFSET($AT$2,0,0,ROW()-1,40),ROW()-1,FALSE))</f>
        <v>98</v>
      </c>
      <c r="AT268">
        <f>169</f>
        <v>169</v>
      </c>
      <c r="AU268">
        <f>120</f>
        <v>120</v>
      </c>
      <c r="AV268">
        <f>180</f>
        <v>180</v>
      </c>
      <c r="AW268">
        <f>115</f>
        <v>115</v>
      </c>
      <c r="AX268">
        <f>117</f>
        <v>117</v>
      </c>
      <c r="AY268">
        <f>109</f>
        <v>109</v>
      </c>
      <c r="AZ268">
        <f>113</f>
        <v>113</v>
      </c>
      <c r="BA268">
        <f>118</f>
        <v>118</v>
      </c>
      <c r="BB268">
        <f>161</f>
        <v>161</v>
      </c>
      <c r="BC268">
        <f>173</f>
        <v>173</v>
      </c>
      <c r="BD268">
        <f>134</f>
        <v>134</v>
      </c>
      <c r="BE268">
        <f>79</f>
        <v>79</v>
      </c>
      <c r="BF268">
        <f>150</f>
        <v>150</v>
      </c>
      <c r="BG268">
        <f>197</f>
        <v>197</v>
      </c>
      <c r="BH268">
        <f>153</f>
        <v>153</v>
      </c>
      <c r="BI268">
        <f>182</f>
        <v>182</v>
      </c>
      <c r="BJ268">
        <f>157</f>
        <v>157</v>
      </c>
      <c r="BK268">
        <f>103</f>
        <v>103</v>
      </c>
      <c r="BL268">
        <f>121</f>
        <v>121</v>
      </c>
      <c r="BM268">
        <f>145</f>
        <v>145</v>
      </c>
      <c r="BN268">
        <f>125</f>
        <v>125</v>
      </c>
      <c r="BO268">
        <f>76</f>
        <v>76</v>
      </c>
      <c r="BP268">
        <f>143</f>
        <v>143</v>
      </c>
      <c r="BQ268">
        <f>113</f>
        <v>113</v>
      </c>
      <c r="BR268">
        <f>112</f>
        <v>112</v>
      </c>
      <c r="BS268">
        <f>122</f>
        <v>122</v>
      </c>
      <c r="BT268">
        <f>90</f>
        <v>90</v>
      </c>
      <c r="BU268">
        <f>92</f>
        <v>92</v>
      </c>
      <c r="BV268">
        <f>108</f>
        <v>108</v>
      </c>
      <c r="BW268">
        <f>128</f>
        <v>128</v>
      </c>
      <c r="BX268">
        <f>129</f>
        <v>129</v>
      </c>
      <c r="BY268">
        <f>70</f>
        <v>70</v>
      </c>
      <c r="BZ268">
        <f>119</f>
        <v>119</v>
      </c>
      <c r="CA268">
        <f>74</f>
        <v>74</v>
      </c>
      <c r="CB268">
        <f>139</f>
        <v>139</v>
      </c>
      <c r="CC268">
        <f>126</f>
        <v>126</v>
      </c>
      <c r="CD268">
        <f>128</f>
        <v>128</v>
      </c>
      <c r="CE268">
        <f>75</f>
        <v>75</v>
      </c>
      <c r="CF268">
        <f>99</f>
        <v>99</v>
      </c>
      <c r="CG268">
        <f>98</f>
        <v>98</v>
      </c>
    </row>
    <row r="269" spans="1:85" x14ac:dyDescent="0.25">
      <c r="A269" t="str">
        <f>"    Isuzu"</f>
        <v xml:space="preserve">    Isuzu</v>
      </c>
      <c r="B269" t="str">
        <f>"7202 JP Equity"</f>
        <v>7202 JP Equity</v>
      </c>
      <c r="C269" t="str">
        <f t="shared" si="25"/>
        <v>X1701</v>
      </c>
      <c r="D269" t="str">
        <f t="shared" si="26"/>
        <v>WARDS_RETAIL_SALES_UNITS</v>
      </c>
      <c r="E269" t="str">
        <f t="shared" si="22"/>
        <v>Dynamic</v>
      </c>
      <c r="F269" t="str">
        <f ca="1">IF(AND(ISNUMBER($F$362),$B$294=1),$F$362,HLOOKUP(INDIRECT(ADDRESS(2,COLUMN())),OFFSET($AT$2,0,0,ROW()-1,40),ROW()-1,FALSE))</f>
        <v/>
      </c>
      <c r="G269">
        <f ca="1">IF(AND(ISNUMBER($G$362),$B$294=1),$G$362,HLOOKUP(INDIRECT(ADDRESS(2,COLUMN())),OFFSET($AT$2,0,0,ROW()-1,40),ROW()-1,FALSE))</f>
        <v>0</v>
      </c>
      <c r="H269">
        <f ca="1">IF(AND(ISNUMBER($H$362),$B$294=1),$H$362,HLOOKUP(INDIRECT(ADDRESS(2,COLUMN())),OFFSET($AT$2,0,0,ROW()-1,40),ROW()-1,FALSE))</f>
        <v>0</v>
      </c>
      <c r="I269">
        <f ca="1">IF(AND(ISNUMBER($I$362),$B$294=1),$I$362,HLOOKUP(INDIRECT(ADDRESS(2,COLUMN())),OFFSET($AT$2,0,0,ROW()-1,40),ROW()-1,FALSE))</f>
        <v>0</v>
      </c>
      <c r="J269">
        <f ca="1">IF(AND(ISNUMBER($J$362),$B$294=1),$J$362,HLOOKUP(INDIRECT(ADDRESS(2,COLUMN())),OFFSET($AT$2,0,0,ROW()-1,40),ROW()-1,FALSE))</f>
        <v>0</v>
      </c>
      <c r="K269">
        <f ca="1">IF(AND(ISNUMBER($K$362),$B$294=1),$K$362,HLOOKUP(INDIRECT(ADDRESS(2,COLUMN())),OFFSET($AT$2,0,0,ROW()-1,40),ROW()-1,FALSE))</f>
        <v>0</v>
      </c>
      <c r="L269">
        <f ca="1">IF(AND(ISNUMBER($L$362),$B$294=1),$L$362,HLOOKUP(INDIRECT(ADDRESS(2,COLUMN())),OFFSET($AT$2,0,0,ROW()-1,40),ROW()-1,FALSE))</f>
        <v>0</v>
      </c>
      <c r="M269">
        <f ca="1">IF(AND(ISNUMBER($M$362),$B$294=1),$M$362,HLOOKUP(INDIRECT(ADDRESS(2,COLUMN())),OFFSET($AT$2,0,0,ROW()-1,40),ROW()-1,FALSE))</f>
        <v>0</v>
      </c>
      <c r="N269">
        <f ca="1">IF(AND(ISNUMBER($N$362),$B$294=1),$N$362,HLOOKUP(INDIRECT(ADDRESS(2,COLUMN())),OFFSET($AT$2,0,0,ROW()-1,40),ROW()-1,FALSE))</f>
        <v>0</v>
      </c>
      <c r="O269">
        <f ca="1">IF(AND(ISNUMBER($O$362),$B$294=1),$O$362,HLOOKUP(INDIRECT(ADDRESS(2,COLUMN())),OFFSET($AT$2,0,0,ROW()-1,40),ROW()-1,FALSE))</f>
        <v>0</v>
      </c>
      <c r="P269">
        <f ca="1">IF(AND(ISNUMBER($P$362),$B$294=1),$P$362,HLOOKUP(INDIRECT(ADDRESS(2,COLUMN())),OFFSET($AT$2,0,0,ROW()-1,40),ROW()-1,FALSE))</f>
        <v>42</v>
      </c>
      <c r="Q269">
        <f ca="1">IF(AND(ISNUMBER($Q$362),$B$294=1),$Q$362,HLOOKUP(INDIRECT(ADDRESS(2,COLUMN())),OFFSET($AT$2,0,0,ROW()-1,40),ROW()-1,FALSE))</f>
        <v>36</v>
      </c>
      <c r="R269">
        <f ca="1">IF(AND(ISNUMBER($R$362),$B$294=1),$R$362,HLOOKUP(INDIRECT(ADDRESS(2,COLUMN())),OFFSET($AT$2,0,0,ROW()-1,40),ROW()-1,FALSE))</f>
        <v>19</v>
      </c>
      <c r="S269">
        <f ca="1">IF(AND(ISNUMBER($S$362),$B$294=1),$S$362,HLOOKUP(INDIRECT(ADDRESS(2,COLUMN())),OFFSET($AT$2,0,0,ROW()-1,40),ROW()-1,FALSE))</f>
        <v>32</v>
      </c>
      <c r="T269">
        <f ca="1">IF(AND(ISNUMBER($T$362),$B$294=1),$T$362,HLOOKUP(INDIRECT(ADDRESS(2,COLUMN())),OFFSET($AT$2,0,0,ROW()-1,40),ROW()-1,FALSE))</f>
        <v>38</v>
      </c>
      <c r="U269">
        <f ca="1">IF(AND(ISNUMBER($U$362),$B$294=1),$U$362,HLOOKUP(INDIRECT(ADDRESS(2,COLUMN())),OFFSET($AT$2,0,0,ROW()-1,40),ROW()-1,FALSE))</f>
        <v>31</v>
      </c>
      <c r="V269">
        <f ca="1">IF(AND(ISNUMBER($V$362),$B$294=1),$V$362,HLOOKUP(INDIRECT(ADDRESS(2,COLUMN())),OFFSET($AT$2,0,0,ROW()-1,40),ROW()-1,FALSE))</f>
        <v>26</v>
      </c>
      <c r="W269">
        <f ca="1">IF(AND(ISNUMBER($W$362),$B$294=1),$W$362,HLOOKUP(INDIRECT(ADDRESS(2,COLUMN())),OFFSET($AT$2,0,0,ROW()-1,40),ROW()-1,FALSE))</f>
        <v>31</v>
      </c>
      <c r="X269">
        <f ca="1">IF(AND(ISNUMBER($X$362),$B$294=1),$X$362,HLOOKUP(INDIRECT(ADDRESS(2,COLUMN())),OFFSET($AT$2,0,0,ROW()-1,40),ROW()-1,FALSE))</f>
        <v>33</v>
      </c>
      <c r="Y269">
        <f ca="1">IF(AND(ISNUMBER($Y$362),$B$294=1),$Y$362,HLOOKUP(INDIRECT(ADDRESS(2,COLUMN())),OFFSET($AT$2,0,0,ROW()-1,40),ROW()-1,FALSE))</f>
        <v>21</v>
      </c>
      <c r="Z269">
        <f ca="1">IF(AND(ISNUMBER($Z$362),$B$294=1),$Z$362,HLOOKUP(INDIRECT(ADDRESS(2,COLUMN())),OFFSET($AT$2,0,0,ROW()-1,40),ROW()-1,FALSE))</f>
        <v>28</v>
      </c>
      <c r="AA269">
        <f ca="1">IF(AND(ISNUMBER($AA$362),$B$294=1),$AA$362,HLOOKUP(INDIRECT(ADDRESS(2,COLUMN())),OFFSET($AT$2,0,0,ROW()-1,40),ROW()-1,FALSE))</f>
        <v>23</v>
      </c>
      <c r="AB269">
        <f ca="1">IF(AND(ISNUMBER($AB$362),$B$294=1),$AB$362,HLOOKUP(INDIRECT(ADDRESS(2,COLUMN())),OFFSET($AT$2,0,0,ROW()-1,40),ROW()-1,FALSE))</f>
        <v>94</v>
      </c>
      <c r="AC269">
        <f ca="1">IF(AND(ISNUMBER($AC$362),$B$294=1),$AC$362,HLOOKUP(INDIRECT(ADDRESS(2,COLUMN())),OFFSET($AT$2,0,0,ROW()-1,40),ROW()-1,FALSE))</f>
        <v>75</v>
      </c>
      <c r="AD269">
        <f ca="1">IF(AND(ISNUMBER($AD$362),$B$294=1),$AD$362,HLOOKUP(INDIRECT(ADDRESS(2,COLUMN())),OFFSET($AT$2,0,0,ROW()-1,40),ROW()-1,FALSE))</f>
        <v>70</v>
      </c>
      <c r="AE269">
        <f ca="1">IF(AND(ISNUMBER($AE$362),$B$294=1),$AE$362,HLOOKUP(INDIRECT(ADDRESS(2,COLUMN())),OFFSET($AT$2,0,0,ROW()-1,40),ROW()-1,FALSE))</f>
        <v>66</v>
      </c>
      <c r="AF269">
        <f ca="1">IF(AND(ISNUMBER($AF$362),$B$294=1),$AF$362,HLOOKUP(INDIRECT(ADDRESS(2,COLUMN())),OFFSET($AT$2,0,0,ROW()-1,40),ROW()-1,FALSE))</f>
        <v>66</v>
      </c>
      <c r="AG269">
        <f ca="1">IF(AND(ISNUMBER($AG$362),$B$294=1),$AG$362,HLOOKUP(INDIRECT(ADDRESS(2,COLUMN())),OFFSET($AT$2,0,0,ROW()-1,40),ROW()-1,FALSE))</f>
        <v>66</v>
      </c>
      <c r="AH269">
        <f ca="1">IF(AND(ISNUMBER($AH$362),$B$294=1),$AH$362,HLOOKUP(INDIRECT(ADDRESS(2,COLUMN())),OFFSET($AT$2,0,0,ROW()-1,40),ROW()-1,FALSE))</f>
        <v>63</v>
      </c>
      <c r="AI269">
        <f ca="1">IF(AND(ISNUMBER($AI$362),$B$294=1),$AI$362,HLOOKUP(INDIRECT(ADDRESS(2,COLUMN())),OFFSET($AT$2,0,0,ROW()-1,40),ROW()-1,FALSE))</f>
        <v>59</v>
      </c>
      <c r="AJ269">
        <f ca="1">IF(AND(ISNUMBER($AJ$362),$B$294=1),$AJ$362,HLOOKUP(INDIRECT(ADDRESS(2,COLUMN())),OFFSET($AT$2,0,0,ROW()-1,40),ROW()-1,FALSE))</f>
        <v>56</v>
      </c>
      <c r="AK269">
        <f ca="1">IF(AND(ISNUMBER($AK$362),$B$294=1),$AK$362,HLOOKUP(INDIRECT(ADDRESS(2,COLUMN())),OFFSET($AT$2,0,0,ROW()-1,40),ROW()-1,FALSE))</f>
        <v>73</v>
      </c>
      <c r="AL269">
        <f ca="1">IF(AND(ISNUMBER($AL$362),$B$294=1),$AL$362,HLOOKUP(INDIRECT(ADDRESS(2,COLUMN())),OFFSET($AT$2,0,0,ROW()-1,40),ROW()-1,FALSE))</f>
        <v>68</v>
      </c>
      <c r="AM269">
        <f ca="1">IF(AND(ISNUMBER($AM$362),$B$294=1),$AM$362,HLOOKUP(INDIRECT(ADDRESS(2,COLUMN())),OFFSET($AT$2,0,0,ROW()-1,40),ROW()-1,FALSE))</f>
        <v>73</v>
      </c>
      <c r="AN269">
        <f ca="1">IF(AND(ISNUMBER($AN$362),$B$294=1),$AN$362,HLOOKUP(INDIRECT(ADDRESS(2,COLUMN())),OFFSET($AT$2,0,0,ROW()-1,40),ROW()-1,FALSE))</f>
        <v>100</v>
      </c>
      <c r="AO269">
        <f ca="1">IF(AND(ISNUMBER($AO$362),$B$294=1),$AO$362,HLOOKUP(INDIRECT(ADDRESS(2,COLUMN())),OFFSET($AT$2,0,0,ROW()-1,40),ROW()-1,FALSE))</f>
        <v>91</v>
      </c>
      <c r="AP269">
        <f ca="1">IF(AND(ISNUMBER($AP$362),$B$294=1),$AP$362,HLOOKUP(INDIRECT(ADDRESS(2,COLUMN())),OFFSET($AT$2,0,0,ROW()-1,40),ROW()-1,FALSE))</f>
        <v>94</v>
      </c>
      <c r="AQ269">
        <f ca="1">IF(AND(ISNUMBER($AQ$362),$B$294=1),$AQ$362,HLOOKUP(INDIRECT(ADDRESS(2,COLUMN())),OFFSET($AT$2,0,0,ROW()-1,40),ROW()-1,FALSE))</f>
        <v>28</v>
      </c>
      <c r="AR269">
        <f ca="1">IF(AND(ISNUMBER($AR$362),$B$294=1),$AR$362,HLOOKUP(INDIRECT(ADDRESS(2,COLUMN())),OFFSET($AT$2,0,0,ROW()-1,40),ROW()-1,FALSE))</f>
        <v>27</v>
      </c>
      <c r="AS269">
        <f ca="1">IF(AND(ISNUMBER($AS$362),$B$294=1),$AS$362,HLOOKUP(INDIRECT(ADDRESS(2,COLUMN())),OFFSET($AT$2,0,0,ROW()-1,40),ROW()-1,FALSE))</f>
        <v>25</v>
      </c>
      <c r="AT269" t="str">
        <f>""</f>
        <v/>
      </c>
      <c r="AU269">
        <f>0</f>
        <v>0</v>
      </c>
      <c r="AV269">
        <f>0</f>
        <v>0</v>
      </c>
      <c r="AW269">
        <f>0</f>
        <v>0</v>
      </c>
      <c r="AX269">
        <f>0</f>
        <v>0</v>
      </c>
      <c r="AY269">
        <f>0</f>
        <v>0</v>
      </c>
      <c r="AZ269">
        <f>0</f>
        <v>0</v>
      </c>
      <c r="BA269">
        <f>0</f>
        <v>0</v>
      </c>
      <c r="BB269">
        <f>0</f>
        <v>0</v>
      </c>
      <c r="BC269">
        <f>0</f>
        <v>0</v>
      </c>
      <c r="BD269">
        <f>42</f>
        <v>42</v>
      </c>
      <c r="BE269">
        <f>36</f>
        <v>36</v>
      </c>
      <c r="BF269">
        <f>19</f>
        <v>19</v>
      </c>
      <c r="BG269">
        <f>32</f>
        <v>32</v>
      </c>
      <c r="BH269">
        <f>38</f>
        <v>38</v>
      </c>
      <c r="BI269">
        <f>31</f>
        <v>31</v>
      </c>
      <c r="BJ269">
        <f>26</f>
        <v>26</v>
      </c>
      <c r="BK269">
        <f>31</f>
        <v>31</v>
      </c>
      <c r="BL269">
        <f>33</f>
        <v>33</v>
      </c>
      <c r="BM269">
        <f>21</f>
        <v>21</v>
      </c>
      <c r="BN269">
        <f>28</f>
        <v>28</v>
      </c>
      <c r="BO269">
        <f>23</f>
        <v>23</v>
      </c>
      <c r="BP269">
        <f>94</f>
        <v>94</v>
      </c>
      <c r="BQ269">
        <f>75</f>
        <v>75</v>
      </c>
      <c r="BR269">
        <f>70</f>
        <v>70</v>
      </c>
      <c r="BS269">
        <f>66</f>
        <v>66</v>
      </c>
      <c r="BT269">
        <f>66</f>
        <v>66</v>
      </c>
      <c r="BU269">
        <f>66</f>
        <v>66</v>
      </c>
      <c r="BV269">
        <f>63</f>
        <v>63</v>
      </c>
      <c r="BW269">
        <f>59</f>
        <v>59</v>
      </c>
      <c r="BX269">
        <f>56</f>
        <v>56</v>
      </c>
      <c r="BY269">
        <f>73</f>
        <v>73</v>
      </c>
      <c r="BZ269">
        <f>68</f>
        <v>68</v>
      </c>
      <c r="CA269">
        <f>73</f>
        <v>73</v>
      </c>
      <c r="CB269">
        <f>100</f>
        <v>100</v>
      </c>
      <c r="CC269">
        <f>91</f>
        <v>91</v>
      </c>
      <c r="CD269">
        <f>94</f>
        <v>94</v>
      </c>
      <c r="CE269">
        <f>28</f>
        <v>28</v>
      </c>
      <c r="CF269">
        <f>27</f>
        <v>27</v>
      </c>
      <c r="CG269">
        <f>25</f>
        <v>25</v>
      </c>
    </row>
    <row r="270" spans="1:85" x14ac:dyDescent="0.25">
      <c r="A270" t="str">
        <f>"    Hino"</f>
        <v xml:space="preserve">    Hino</v>
      </c>
      <c r="B270" t="str">
        <f>"7205 JP Equity"</f>
        <v>7205 JP Equity</v>
      </c>
      <c r="C270" t="str">
        <f t="shared" si="25"/>
        <v>X1701</v>
      </c>
      <c r="D270" t="str">
        <f t="shared" si="26"/>
        <v>WARDS_RETAIL_SALES_UNITS</v>
      </c>
      <c r="E270" t="str">
        <f t="shared" si="22"/>
        <v>Dynamic</v>
      </c>
      <c r="F270" t="str">
        <f ca="1">IF(AND(ISNUMBER($F$363),$B$294=1),$F$363,HLOOKUP(INDIRECT(ADDRESS(2,COLUMN())),OFFSET($AT$2,0,0,ROW()-1,40),ROW()-1,FALSE))</f>
        <v/>
      </c>
      <c r="G270" t="str">
        <f ca="1">IF(AND(ISNUMBER($G$363),$B$294=1),$G$363,HLOOKUP(INDIRECT(ADDRESS(2,COLUMN())),OFFSET($AT$2,0,0,ROW()-1,40),ROW()-1,FALSE))</f>
        <v/>
      </c>
      <c r="H270" t="str">
        <f ca="1">IF(AND(ISNUMBER($H$363),$B$294=1),$H$363,HLOOKUP(INDIRECT(ADDRESS(2,COLUMN())),OFFSET($AT$2,0,0,ROW()-1,40),ROW()-1,FALSE))</f>
        <v/>
      </c>
      <c r="I270" t="str">
        <f ca="1">IF(AND(ISNUMBER($I$363),$B$294=1),$I$363,HLOOKUP(INDIRECT(ADDRESS(2,COLUMN())),OFFSET($AT$2,0,0,ROW()-1,40),ROW()-1,FALSE))</f>
        <v/>
      </c>
      <c r="J270" t="str">
        <f ca="1">IF(AND(ISNUMBER($J$363),$B$294=1),$J$363,HLOOKUP(INDIRECT(ADDRESS(2,COLUMN())),OFFSET($AT$2,0,0,ROW()-1,40),ROW()-1,FALSE))</f>
        <v/>
      </c>
      <c r="K270" t="str">
        <f ca="1">IF(AND(ISNUMBER($K$363),$B$294=1),$K$363,HLOOKUP(INDIRECT(ADDRESS(2,COLUMN())),OFFSET($AT$2,0,0,ROW()-1,40),ROW()-1,FALSE))</f>
        <v/>
      </c>
      <c r="L270" t="str">
        <f ca="1">IF(AND(ISNUMBER($L$363),$B$294=1),$L$363,HLOOKUP(INDIRECT(ADDRESS(2,COLUMN())),OFFSET($AT$2,0,0,ROW()-1,40),ROW()-1,FALSE))</f>
        <v/>
      </c>
      <c r="M270" t="str">
        <f ca="1">IF(AND(ISNUMBER($M$363),$B$294=1),$M$363,HLOOKUP(INDIRECT(ADDRESS(2,COLUMN())),OFFSET($AT$2,0,0,ROW()-1,40),ROW()-1,FALSE))</f>
        <v/>
      </c>
      <c r="N270" t="str">
        <f ca="1">IF(AND(ISNUMBER($N$363),$B$294=1),$N$363,HLOOKUP(INDIRECT(ADDRESS(2,COLUMN())),OFFSET($AT$2,0,0,ROW()-1,40),ROW()-1,FALSE))</f>
        <v/>
      </c>
      <c r="O270" t="str">
        <f ca="1">IF(AND(ISNUMBER($O$363),$B$294=1),$O$363,HLOOKUP(INDIRECT(ADDRESS(2,COLUMN())),OFFSET($AT$2,0,0,ROW()-1,40),ROW()-1,FALSE))</f>
        <v/>
      </c>
      <c r="P270">
        <f ca="1">IF(AND(ISNUMBER($P$363),$B$294=1),$P$363,HLOOKUP(INDIRECT(ADDRESS(2,COLUMN())),OFFSET($AT$2,0,0,ROW()-1,40),ROW()-1,FALSE))</f>
        <v>120</v>
      </c>
      <c r="Q270">
        <f ca="1">IF(AND(ISNUMBER($Q$363),$B$294=1),$Q$363,HLOOKUP(INDIRECT(ADDRESS(2,COLUMN())),OFFSET($AT$2,0,0,ROW()-1,40),ROW()-1,FALSE))</f>
        <v>92</v>
      </c>
      <c r="R270">
        <f ca="1">IF(AND(ISNUMBER($R$363),$B$294=1),$R$363,HLOOKUP(INDIRECT(ADDRESS(2,COLUMN())),OFFSET($AT$2,0,0,ROW()-1,40),ROW()-1,FALSE))</f>
        <v>78</v>
      </c>
      <c r="S270">
        <f ca="1">IF(AND(ISNUMBER($S$363),$B$294=1),$S$363,HLOOKUP(INDIRECT(ADDRESS(2,COLUMN())),OFFSET($AT$2,0,0,ROW()-1,40),ROW()-1,FALSE))</f>
        <v>82</v>
      </c>
      <c r="T270">
        <f ca="1">IF(AND(ISNUMBER($T$363),$B$294=1),$T$363,HLOOKUP(INDIRECT(ADDRESS(2,COLUMN())),OFFSET($AT$2,0,0,ROW()-1,40),ROW()-1,FALSE))</f>
        <v>73</v>
      </c>
      <c r="U270">
        <f ca="1">IF(AND(ISNUMBER($U$363),$B$294=1),$U$363,HLOOKUP(INDIRECT(ADDRESS(2,COLUMN())),OFFSET($AT$2,0,0,ROW()-1,40),ROW()-1,FALSE))</f>
        <v>61</v>
      </c>
      <c r="V270">
        <f ca="1">IF(AND(ISNUMBER($V$363),$B$294=1),$V$363,HLOOKUP(INDIRECT(ADDRESS(2,COLUMN())),OFFSET($AT$2,0,0,ROW()-1,40),ROW()-1,FALSE))</f>
        <v>64</v>
      </c>
      <c r="W270">
        <f ca="1">IF(AND(ISNUMBER($W$363),$B$294=1),$W$363,HLOOKUP(INDIRECT(ADDRESS(2,COLUMN())),OFFSET($AT$2,0,0,ROW()-1,40),ROW()-1,FALSE))</f>
        <v>76</v>
      </c>
      <c r="X270">
        <f ca="1">IF(AND(ISNUMBER($X$363),$B$294=1),$X$363,HLOOKUP(INDIRECT(ADDRESS(2,COLUMN())),OFFSET($AT$2,0,0,ROW()-1,40),ROW()-1,FALSE))</f>
        <v>75</v>
      </c>
      <c r="Y270">
        <f ca="1">IF(AND(ISNUMBER($Y$363),$B$294=1),$Y$363,HLOOKUP(INDIRECT(ADDRESS(2,COLUMN())),OFFSET($AT$2,0,0,ROW()-1,40),ROW()-1,FALSE))</f>
        <v>61</v>
      </c>
      <c r="Z270">
        <f ca="1">IF(AND(ISNUMBER($Z$363),$B$294=1),$Z$363,HLOOKUP(INDIRECT(ADDRESS(2,COLUMN())),OFFSET($AT$2,0,0,ROW()-1,40),ROW()-1,FALSE))</f>
        <v>53</v>
      </c>
      <c r="AA270">
        <f ca="1">IF(AND(ISNUMBER($AA$363),$B$294=1),$AA$363,HLOOKUP(INDIRECT(ADDRESS(2,COLUMN())),OFFSET($AT$2,0,0,ROW()-1,40),ROW()-1,FALSE))</f>
        <v>69</v>
      </c>
      <c r="AB270">
        <f ca="1">IF(AND(ISNUMBER($AB$363),$B$294=1),$AB$363,HLOOKUP(INDIRECT(ADDRESS(2,COLUMN())),OFFSET($AT$2,0,0,ROW()-1,40),ROW()-1,FALSE))</f>
        <v>69</v>
      </c>
      <c r="AC270">
        <f ca="1">IF(AND(ISNUMBER($AC$363),$B$294=1),$AC$363,HLOOKUP(INDIRECT(ADDRESS(2,COLUMN())),OFFSET($AT$2,0,0,ROW()-1,40),ROW()-1,FALSE))</f>
        <v>55</v>
      </c>
      <c r="AD270">
        <f ca="1">IF(AND(ISNUMBER($AD$363),$B$294=1),$AD$363,HLOOKUP(INDIRECT(ADDRESS(2,COLUMN())),OFFSET($AT$2,0,0,ROW()-1,40),ROW()-1,FALSE))</f>
        <v>51</v>
      </c>
      <c r="AE270">
        <f ca="1">IF(AND(ISNUMBER($AE$363),$B$294=1),$AE$363,HLOOKUP(INDIRECT(ADDRESS(2,COLUMN())),OFFSET($AT$2,0,0,ROW()-1,40),ROW()-1,FALSE))</f>
        <v>48</v>
      </c>
      <c r="AF270">
        <f ca="1">IF(AND(ISNUMBER($AF$363),$B$294=1),$AF$363,HLOOKUP(INDIRECT(ADDRESS(2,COLUMN())),OFFSET($AT$2,0,0,ROW()-1,40),ROW()-1,FALSE))</f>
        <v>48</v>
      </c>
      <c r="AG270">
        <f ca="1">IF(AND(ISNUMBER($AG$363),$B$294=1),$AG$363,HLOOKUP(INDIRECT(ADDRESS(2,COLUMN())),OFFSET($AT$2,0,0,ROW()-1,40),ROW()-1,FALSE))</f>
        <v>48</v>
      </c>
      <c r="AH270">
        <f ca="1">IF(AND(ISNUMBER($AH$363),$B$294=1),$AH$363,HLOOKUP(INDIRECT(ADDRESS(2,COLUMN())),OFFSET($AT$2,0,0,ROW()-1,40),ROW()-1,FALSE))</f>
        <v>46</v>
      </c>
      <c r="AI270">
        <f ca="1">IF(AND(ISNUMBER($AI$363),$B$294=1),$AI$363,HLOOKUP(INDIRECT(ADDRESS(2,COLUMN())),OFFSET($AT$2,0,0,ROW()-1,40),ROW()-1,FALSE))</f>
        <v>42</v>
      </c>
      <c r="AJ270">
        <f ca="1">IF(AND(ISNUMBER($AJ$363),$B$294=1),$AJ$363,HLOOKUP(INDIRECT(ADDRESS(2,COLUMN())),OFFSET($AT$2,0,0,ROW()-1,40),ROW()-1,FALSE))</f>
        <v>40</v>
      </c>
      <c r="AK270">
        <f ca="1">IF(AND(ISNUMBER($AK$363),$B$294=1),$AK$363,HLOOKUP(INDIRECT(ADDRESS(2,COLUMN())),OFFSET($AT$2,0,0,ROW()-1,40),ROW()-1,FALSE))</f>
        <v>53</v>
      </c>
      <c r="AL270">
        <f ca="1">IF(AND(ISNUMBER($AL$363),$B$294=1),$AL$363,HLOOKUP(INDIRECT(ADDRESS(2,COLUMN())),OFFSET($AT$2,0,0,ROW()-1,40),ROW()-1,FALSE))</f>
        <v>49</v>
      </c>
      <c r="AM270">
        <f ca="1">IF(AND(ISNUMBER($AM$363),$B$294=1),$AM$363,HLOOKUP(INDIRECT(ADDRESS(2,COLUMN())),OFFSET($AT$2,0,0,ROW()-1,40),ROW()-1,FALSE))</f>
        <v>53</v>
      </c>
      <c r="AN270">
        <f ca="1">IF(AND(ISNUMBER($AN$363),$B$294=1),$AN$363,HLOOKUP(INDIRECT(ADDRESS(2,COLUMN())),OFFSET($AT$2,0,0,ROW()-1,40),ROW()-1,FALSE))</f>
        <v>87</v>
      </c>
      <c r="AO270">
        <f ca="1">IF(AND(ISNUMBER($AO$363),$B$294=1),$AO$363,HLOOKUP(INDIRECT(ADDRESS(2,COLUMN())),OFFSET($AT$2,0,0,ROW()-1,40),ROW()-1,FALSE))</f>
        <v>81</v>
      </c>
      <c r="AP270">
        <f ca="1">IF(AND(ISNUMBER($AP$363),$B$294=1),$AP$363,HLOOKUP(INDIRECT(ADDRESS(2,COLUMN())),OFFSET($AT$2,0,0,ROW()-1,40),ROW()-1,FALSE))</f>
        <v>79</v>
      </c>
      <c r="AQ270">
        <f ca="1">IF(AND(ISNUMBER($AQ$363),$B$294=1),$AQ$363,HLOOKUP(INDIRECT(ADDRESS(2,COLUMN())),OFFSET($AT$2,0,0,ROW()-1,40),ROW()-1,FALSE))</f>
        <v>32</v>
      </c>
      <c r="AR270">
        <f ca="1">IF(AND(ISNUMBER($AR$363),$B$294=1),$AR$363,HLOOKUP(INDIRECT(ADDRESS(2,COLUMN())),OFFSET($AT$2,0,0,ROW()-1,40),ROW()-1,FALSE))</f>
        <v>23</v>
      </c>
      <c r="AS270">
        <f ca="1">IF(AND(ISNUMBER($AS$363),$B$294=1),$AS$363,HLOOKUP(INDIRECT(ADDRESS(2,COLUMN())),OFFSET($AT$2,0,0,ROW()-1,40),ROW()-1,FALSE))</f>
        <v>29</v>
      </c>
      <c r="AT270" t="str">
        <f>""</f>
        <v/>
      </c>
      <c r="AU270" t="str">
        <f>""</f>
        <v/>
      </c>
      <c r="AV270" t="str">
        <f>""</f>
        <v/>
      </c>
      <c r="AW270" t="str">
        <f>""</f>
        <v/>
      </c>
      <c r="AX270" t="str">
        <f>""</f>
        <v/>
      </c>
      <c r="AY270" t="str">
        <f>""</f>
        <v/>
      </c>
      <c r="AZ270" t="str">
        <f>""</f>
        <v/>
      </c>
      <c r="BA270" t="str">
        <f>""</f>
        <v/>
      </c>
      <c r="BB270" t="str">
        <f>""</f>
        <v/>
      </c>
      <c r="BC270" t="str">
        <f>""</f>
        <v/>
      </c>
      <c r="BD270">
        <f>120</f>
        <v>120</v>
      </c>
      <c r="BE270">
        <f>92</f>
        <v>92</v>
      </c>
      <c r="BF270">
        <f>78</f>
        <v>78</v>
      </c>
      <c r="BG270">
        <f>82</f>
        <v>82</v>
      </c>
      <c r="BH270">
        <f>73</f>
        <v>73</v>
      </c>
      <c r="BI270">
        <f>61</f>
        <v>61</v>
      </c>
      <c r="BJ270">
        <f>64</f>
        <v>64</v>
      </c>
      <c r="BK270">
        <f>76</f>
        <v>76</v>
      </c>
      <c r="BL270">
        <f>75</f>
        <v>75</v>
      </c>
      <c r="BM270">
        <f>61</f>
        <v>61</v>
      </c>
      <c r="BN270">
        <f>53</f>
        <v>53</v>
      </c>
      <c r="BO270">
        <f>69</f>
        <v>69</v>
      </c>
      <c r="BP270">
        <f>69</f>
        <v>69</v>
      </c>
      <c r="BQ270">
        <f>55</f>
        <v>55</v>
      </c>
      <c r="BR270">
        <f>51</f>
        <v>51</v>
      </c>
      <c r="BS270">
        <f>48</f>
        <v>48</v>
      </c>
      <c r="BT270">
        <f>48</f>
        <v>48</v>
      </c>
      <c r="BU270">
        <f>48</f>
        <v>48</v>
      </c>
      <c r="BV270">
        <f>46</f>
        <v>46</v>
      </c>
      <c r="BW270">
        <f>42</f>
        <v>42</v>
      </c>
      <c r="BX270">
        <f>40</f>
        <v>40</v>
      </c>
      <c r="BY270">
        <f>53</f>
        <v>53</v>
      </c>
      <c r="BZ270">
        <f>49</f>
        <v>49</v>
      </c>
      <c r="CA270">
        <f>53</f>
        <v>53</v>
      </c>
      <c r="CB270">
        <f>87</f>
        <v>87</v>
      </c>
      <c r="CC270">
        <f>81</f>
        <v>81</v>
      </c>
      <c r="CD270">
        <f>79</f>
        <v>79</v>
      </c>
      <c r="CE270">
        <f>32</f>
        <v>32</v>
      </c>
      <c r="CF270">
        <f>23</f>
        <v>23</v>
      </c>
      <c r="CG270">
        <f>29</f>
        <v>29</v>
      </c>
    </row>
    <row r="271" spans="1:85" x14ac:dyDescent="0.25">
      <c r="A271" t="str">
        <f>"    Dina Camiones"</f>
        <v xml:space="preserve">    Dina Camiones</v>
      </c>
      <c r="B271" t="str">
        <f>"8128757Z MM Equity"</f>
        <v>8128757Z MM Equity</v>
      </c>
      <c r="C271" t="str">
        <f t="shared" si="25"/>
        <v>X1701</v>
      </c>
      <c r="D271" t="str">
        <f t="shared" si="26"/>
        <v>WARDS_RETAIL_SALES_UNITS</v>
      </c>
      <c r="E271" t="str">
        <f t="shared" si="22"/>
        <v>Dynamic</v>
      </c>
      <c r="F271" t="str">
        <f ca="1">IF(AND(ISNUMBER($F$364),$B$294=1),$F$364,HLOOKUP(INDIRECT(ADDRESS(2,COLUMN())),OFFSET($AT$2,0,0,ROW()-1,40),ROW()-1,FALSE))</f>
        <v/>
      </c>
      <c r="G271" t="str">
        <f ca="1">IF(AND(ISNUMBER($G$364),$B$294=1),$G$364,HLOOKUP(INDIRECT(ADDRESS(2,COLUMN())),OFFSET($AT$2,0,0,ROW()-1,40),ROW()-1,FALSE))</f>
        <v/>
      </c>
      <c r="H271" t="str">
        <f ca="1">IF(AND(ISNUMBER($H$364),$B$294=1),$H$364,HLOOKUP(INDIRECT(ADDRESS(2,COLUMN())),OFFSET($AT$2,0,0,ROW()-1,40),ROW()-1,FALSE))</f>
        <v/>
      </c>
      <c r="I271" t="str">
        <f ca="1">IF(AND(ISNUMBER($I$364),$B$294=1),$I$364,HLOOKUP(INDIRECT(ADDRESS(2,COLUMN())),OFFSET($AT$2,0,0,ROW()-1,40),ROW()-1,FALSE))</f>
        <v/>
      </c>
      <c r="J271" t="str">
        <f ca="1">IF(AND(ISNUMBER($J$364),$B$294=1),$J$364,HLOOKUP(INDIRECT(ADDRESS(2,COLUMN())),OFFSET($AT$2,0,0,ROW()-1,40),ROW()-1,FALSE))</f>
        <v/>
      </c>
      <c r="K271" t="str">
        <f ca="1">IF(AND(ISNUMBER($K$364),$B$294=1),$K$364,HLOOKUP(INDIRECT(ADDRESS(2,COLUMN())),OFFSET($AT$2,0,0,ROW()-1,40),ROW()-1,FALSE))</f>
        <v/>
      </c>
      <c r="L271" t="str">
        <f ca="1">IF(AND(ISNUMBER($L$364),$B$294=1),$L$364,HLOOKUP(INDIRECT(ADDRESS(2,COLUMN())),OFFSET($AT$2,0,0,ROW()-1,40),ROW()-1,FALSE))</f>
        <v/>
      </c>
      <c r="M271" t="str">
        <f ca="1">IF(AND(ISNUMBER($M$364),$B$294=1),$M$364,HLOOKUP(INDIRECT(ADDRESS(2,COLUMN())),OFFSET($AT$2,0,0,ROW()-1,40),ROW()-1,FALSE))</f>
        <v/>
      </c>
      <c r="N271" t="str">
        <f ca="1">IF(AND(ISNUMBER($N$364),$B$294=1),$N$364,HLOOKUP(INDIRECT(ADDRESS(2,COLUMN())),OFFSET($AT$2,0,0,ROW()-1,40),ROW()-1,FALSE))</f>
        <v/>
      </c>
      <c r="O271" t="str">
        <f ca="1">IF(AND(ISNUMBER($O$364),$B$294=1),$O$364,HLOOKUP(INDIRECT(ADDRESS(2,COLUMN())),OFFSET($AT$2,0,0,ROW()-1,40),ROW()-1,FALSE))</f>
        <v/>
      </c>
      <c r="P271">
        <f ca="1">IF(AND(ISNUMBER($P$364),$B$294=1),$P$364,HLOOKUP(INDIRECT(ADDRESS(2,COLUMN())),OFFSET($AT$2,0,0,ROW()-1,40),ROW()-1,FALSE))</f>
        <v>14</v>
      </c>
      <c r="Q271">
        <f ca="1">IF(AND(ISNUMBER($Q$364),$B$294=1),$Q$364,HLOOKUP(INDIRECT(ADDRESS(2,COLUMN())),OFFSET($AT$2,0,0,ROW()-1,40),ROW()-1,FALSE))</f>
        <v>12</v>
      </c>
      <c r="R271">
        <f ca="1">IF(AND(ISNUMBER($R$364),$B$294=1),$R$364,HLOOKUP(INDIRECT(ADDRESS(2,COLUMN())),OFFSET($AT$2,0,0,ROW()-1,40),ROW()-1,FALSE))</f>
        <v>10</v>
      </c>
      <c r="S271">
        <f ca="1">IF(AND(ISNUMBER($S$364),$B$294=1),$S$364,HLOOKUP(INDIRECT(ADDRESS(2,COLUMN())),OFFSET($AT$2,0,0,ROW()-1,40),ROW()-1,FALSE))</f>
        <v>10</v>
      </c>
      <c r="T271">
        <f ca="1">IF(AND(ISNUMBER($T$364),$B$294=1),$T$364,HLOOKUP(INDIRECT(ADDRESS(2,COLUMN())),OFFSET($AT$2,0,0,ROW()-1,40),ROW()-1,FALSE))</f>
        <v>14</v>
      </c>
      <c r="U271">
        <f ca="1">IF(AND(ISNUMBER($U$364),$B$294=1),$U$364,HLOOKUP(INDIRECT(ADDRESS(2,COLUMN())),OFFSET($AT$2,0,0,ROW()-1,40),ROW()-1,FALSE))</f>
        <v>12</v>
      </c>
      <c r="V271">
        <f ca="1">IF(AND(ISNUMBER($V$364),$B$294=1),$V$364,HLOOKUP(INDIRECT(ADDRESS(2,COLUMN())),OFFSET($AT$2,0,0,ROW()-1,40),ROW()-1,FALSE))</f>
        <v>15</v>
      </c>
      <c r="W271">
        <f ca="1">IF(AND(ISNUMBER($W$364),$B$294=1),$W$364,HLOOKUP(INDIRECT(ADDRESS(2,COLUMN())),OFFSET($AT$2,0,0,ROW()-1,40),ROW()-1,FALSE))</f>
        <v>10</v>
      </c>
      <c r="X271">
        <f ca="1">IF(AND(ISNUMBER($X$364),$B$294=1),$X$364,HLOOKUP(INDIRECT(ADDRESS(2,COLUMN())),OFFSET($AT$2,0,0,ROW()-1,40),ROW()-1,FALSE))</f>
        <v>9</v>
      </c>
      <c r="Y271">
        <f ca="1">IF(AND(ISNUMBER($Y$364),$B$294=1),$Y$364,HLOOKUP(INDIRECT(ADDRESS(2,COLUMN())),OFFSET($AT$2,0,0,ROW()-1,40),ROW()-1,FALSE))</f>
        <v>13</v>
      </c>
      <c r="Z271">
        <f ca="1">IF(AND(ISNUMBER($Z$364),$B$294=1),$Z$364,HLOOKUP(INDIRECT(ADDRESS(2,COLUMN())),OFFSET($AT$2,0,0,ROW()-1,40),ROW()-1,FALSE))</f>
        <v>8</v>
      </c>
      <c r="AA271">
        <f ca="1">IF(AND(ISNUMBER($AA$364),$B$294=1),$AA$364,HLOOKUP(INDIRECT(ADDRESS(2,COLUMN())),OFFSET($AT$2,0,0,ROW()-1,40),ROW()-1,FALSE))</f>
        <v>6</v>
      </c>
      <c r="AB271">
        <f ca="1">IF(AND(ISNUMBER($AB$364),$B$294=1),$AB$364,HLOOKUP(INDIRECT(ADDRESS(2,COLUMN())),OFFSET($AT$2,0,0,ROW()-1,40),ROW()-1,FALSE))</f>
        <v>52</v>
      </c>
      <c r="AC271">
        <f ca="1">IF(AND(ISNUMBER($AC$364),$B$294=1),$AC$364,HLOOKUP(INDIRECT(ADDRESS(2,COLUMN())),OFFSET($AT$2,0,0,ROW()-1,40),ROW()-1,FALSE))</f>
        <v>42</v>
      </c>
      <c r="AD271">
        <f ca="1">IF(AND(ISNUMBER($AD$364),$B$294=1),$AD$364,HLOOKUP(INDIRECT(ADDRESS(2,COLUMN())),OFFSET($AT$2,0,0,ROW()-1,40),ROW()-1,FALSE))</f>
        <v>39</v>
      </c>
      <c r="AE271">
        <f ca="1">IF(AND(ISNUMBER($AE$364),$B$294=1),$AE$364,HLOOKUP(INDIRECT(ADDRESS(2,COLUMN())),OFFSET($AT$2,0,0,ROW()-1,40),ROW()-1,FALSE))</f>
        <v>37</v>
      </c>
      <c r="AF271">
        <f ca="1">IF(AND(ISNUMBER($AF$364),$B$294=1),$AF$364,HLOOKUP(INDIRECT(ADDRESS(2,COLUMN())),OFFSET($AT$2,0,0,ROW()-1,40),ROW()-1,FALSE))</f>
        <v>37</v>
      </c>
      <c r="AG271">
        <f ca="1">IF(AND(ISNUMBER($AG$364),$B$294=1),$AG$364,HLOOKUP(INDIRECT(ADDRESS(2,COLUMN())),OFFSET($AT$2,0,0,ROW()-1,40),ROW()-1,FALSE))</f>
        <v>37</v>
      </c>
      <c r="AH271">
        <f ca="1">IF(AND(ISNUMBER($AH$364),$B$294=1),$AH$364,HLOOKUP(INDIRECT(ADDRESS(2,COLUMN())),OFFSET($AT$2,0,0,ROW()-1,40),ROW()-1,FALSE))</f>
        <v>35</v>
      </c>
      <c r="AI271">
        <f ca="1">IF(AND(ISNUMBER($AI$364),$B$294=1),$AI$364,HLOOKUP(INDIRECT(ADDRESS(2,COLUMN())),OFFSET($AT$2,0,0,ROW()-1,40),ROW()-1,FALSE))</f>
        <v>33</v>
      </c>
      <c r="AJ271">
        <f ca="1">IF(AND(ISNUMBER($AJ$364),$B$294=1),$AJ$364,HLOOKUP(INDIRECT(ADDRESS(2,COLUMN())),OFFSET($AT$2,0,0,ROW()-1,40),ROW()-1,FALSE))</f>
        <v>31</v>
      </c>
      <c r="AK271">
        <f ca="1">IF(AND(ISNUMBER($AK$364),$B$294=1),$AK$364,HLOOKUP(INDIRECT(ADDRESS(2,COLUMN())),OFFSET($AT$2,0,0,ROW()-1,40),ROW()-1,FALSE))</f>
        <v>40</v>
      </c>
      <c r="AL271">
        <f ca="1">IF(AND(ISNUMBER($AL$364),$B$294=1),$AL$364,HLOOKUP(INDIRECT(ADDRESS(2,COLUMN())),OFFSET($AT$2,0,0,ROW()-1,40),ROW()-1,FALSE))</f>
        <v>38</v>
      </c>
      <c r="AM271">
        <f ca="1">IF(AND(ISNUMBER($AM$364),$B$294=1),$AM$364,HLOOKUP(INDIRECT(ADDRESS(2,COLUMN())),OFFSET($AT$2,0,0,ROW()-1,40),ROW()-1,FALSE))</f>
        <v>40</v>
      </c>
      <c r="AN271">
        <f ca="1">IF(AND(ISNUMBER($AN$364),$B$294=1),$AN$364,HLOOKUP(INDIRECT(ADDRESS(2,COLUMN())),OFFSET($AT$2,0,0,ROW()-1,40),ROW()-1,FALSE))</f>
        <v>18</v>
      </c>
      <c r="AO271">
        <f ca="1">IF(AND(ISNUMBER($AO$364),$B$294=1),$AO$364,HLOOKUP(INDIRECT(ADDRESS(2,COLUMN())),OFFSET($AT$2,0,0,ROW()-1,40),ROW()-1,FALSE))</f>
        <v>16</v>
      </c>
      <c r="AP271">
        <f ca="1">IF(AND(ISNUMBER($AP$364),$B$294=1),$AP$364,HLOOKUP(INDIRECT(ADDRESS(2,COLUMN())),OFFSET($AT$2,0,0,ROW()-1,40),ROW()-1,FALSE))</f>
        <v>16</v>
      </c>
      <c r="AQ271">
        <f ca="1">IF(AND(ISNUMBER($AQ$364),$B$294=1),$AQ$364,HLOOKUP(INDIRECT(ADDRESS(2,COLUMN())),OFFSET($AT$2,0,0,ROW()-1,40),ROW()-1,FALSE))</f>
        <v>128</v>
      </c>
      <c r="AR271">
        <f ca="1">IF(AND(ISNUMBER($AR$364),$B$294=1),$AR$364,HLOOKUP(INDIRECT(ADDRESS(2,COLUMN())),OFFSET($AT$2,0,0,ROW()-1,40),ROW()-1,FALSE))</f>
        <v>29</v>
      </c>
      <c r="AS271">
        <f ca="1">IF(AND(ISNUMBER($AS$364),$B$294=1),$AS$364,HLOOKUP(INDIRECT(ADDRESS(2,COLUMN())),OFFSET($AT$2,0,0,ROW()-1,40),ROW()-1,FALSE))</f>
        <v>9</v>
      </c>
      <c r="AT271" t="str">
        <f>""</f>
        <v/>
      </c>
      <c r="AU271" t="str">
        <f>""</f>
        <v/>
      </c>
      <c r="AV271" t="str">
        <f>""</f>
        <v/>
      </c>
      <c r="AW271" t="str">
        <f>""</f>
        <v/>
      </c>
      <c r="AX271" t="str">
        <f>""</f>
        <v/>
      </c>
      <c r="AY271" t="str">
        <f>""</f>
        <v/>
      </c>
      <c r="AZ271" t="str">
        <f>""</f>
        <v/>
      </c>
      <c r="BA271" t="str">
        <f>""</f>
        <v/>
      </c>
      <c r="BB271" t="str">
        <f>""</f>
        <v/>
      </c>
      <c r="BC271" t="str">
        <f>""</f>
        <v/>
      </c>
      <c r="BD271">
        <f>14</f>
        <v>14</v>
      </c>
      <c r="BE271">
        <f>12</f>
        <v>12</v>
      </c>
      <c r="BF271">
        <f>10</f>
        <v>10</v>
      </c>
      <c r="BG271">
        <f>10</f>
        <v>10</v>
      </c>
      <c r="BH271">
        <f>14</f>
        <v>14</v>
      </c>
      <c r="BI271">
        <f>12</f>
        <v>12</v>
      </c>
      <c r="BJ271">
        <f>15</f>
        <v>15</v>
      </c>
      <c r="BK271">
        <f>10</f>
        <v>10</v>
      </c>
      <c r="BL271">
        <f>9</f>
        <v>9</v>
      </c>
      <c r="BM271">
        <f>13</f>
        <v>13</v>
      </c>
      <c r="BN271">
        <f>8</f>
        <v>8</v>
      </c>
      <c r="BO271">
        <f>6</f>
        <v>6</v>
      </c>
      <c r="BP271">
        <f>52</f>
        <v>52</v>
      </c>
      <c r="BQ271">
        <f>42</f>
        <v>42</v>
      </c>
      <c r="BR271">
        <f>39</f>
        <v>39</v>
      </c>
      <c r="BS271">
        <f>37</f>
        <v>37</v>
      </c>
      <c r="BT271">
        <f>37</f>
        <v>37</v>
      </c>
      <c r="BU271">
        <f>37</f>
        <v>37</v>
      </c>
      <c r="BV271">
        <f>35</f>
        <v>35</v>
      </c>
      <c r="BW271">
        <f>33</f>
        <v>33</v>
      </c>
      <c r="BX271">
        <f>31</f>
        <v>31</v>
      </c>
      <c r="BY271">
        <f>40</f>
        <v>40</v>
      </c>
      <c r="BZ271">
        <f>38</f>
        <v>38</v>
      </c>
      <c r="CA271">
        <f>40</f>
        <v>40</v>
      </c>
      <c r="CB271">
        <f>18</f>
        <v>18</v>
      </c>
      <c r="CC271">
        <f>16</f>
        <v>16</v>
      </c>
      <c r="CD271">
        <f>16</f>
        <v>16</v>
      </c>
      <c r="CE271">
        <f>128</f>
        <v>128</v>
      </c>
      <c r="CF271">
        <f>29</f>
        <v>29</v>
      </c>
      <c r="CG271">
        <f>9</f>
        <v>9</v>
      </c>
    </row>
    <row r="272" spans="1:85" x14ac:dyDescent="0.25">
      <c r="A272" t="str">
        <f>"    PACCAR - Kenworth"</f>
        <v xml:space="preserve">    PACCAR - Kenworth</v>
      </c>
      <c r="B272" t="str">
        <f>"PCAR US Equity"</f>
        <v>PCAR US Equity</v>
      </c>
      <c r="C272" t="str">
        <f t="shared" si="25"/>
        <v>X1701</v>
      </c>
      <c r="D272" t="str">
        <f t="shared" si="26"/>
        <v>WARDS_RETAIL_SALES_UNITS</v>
      </c>
      <c r="E272" t="str">
        <f t="shared" si="22"/>
        <v>Dynamic</v>
      </c>
      <c r="F272">
        <f ca="1">IF(AND(ISNUMBER($F$365),$B$294=1),$F$365,HLOOKUP(INDIRECT(ADDRESS(2,COLUMN())),OFFSET($AT$2,0,0,ROW()-1,40),ROW()-1,FALSE))</f>
        <v>1</v>
      </c>
      <c r="G272">
        <f ca="1">IF(AND(ISNUMBER($G$365),$B$294=1),$G$365,HLOOKUP(INDIRECT(ADDRESS(2,COLUMN())),OFFSET($AT$2,0,0,ROW()-1,40),ROW()-1,FALSE))</f>
        <v>8</v>
      </c>
      <c r="H272">
        <f ca="1">IF(AND(ISNUMBER($H$365),$B$294=1),$H$365,HLOOKUP(INDIRECT(ADDRESS(2,COLUMN())),OFFSET($AT$2,0,0,ROW()-1,40),ROW()-1,FALSE))</f>
        <v>10</v>
      </c>
      <c r="I272">
        <f ca="1">IF(AND(ISNUMBER($I$365),$B$294=1),$I$365,HLOOKUP(INDIRECT(ADDRESS(2,COLUMN())),OFFSET($AT$2,0,0,ROW()-1,40),ROW()-1,FALSE))</f>
        <v>7</v>
      </c>
      <c r="J272">
        <f ca="1">IF(AND(ISNUMBER($J$365),$B$294=1),$J$365,HLOOKUP(INDIRECT(ADDRESS(2,COLUMN())),OFFSET($AT$2,0,0,ROW()-1,40),ROW()-1,FALSE))</f>
        <v>8</v>
      </c>
      <c r="K272">
        <f ca="1">IF(AND(ISNUMBER($K$365),$B$294=1),$K$365,HLOOKUP(INDIRECT(ADDRESS(2,COLUMN())),OFFSET($AT$2,0,0,ROW()-1,40),ROW()-1,FALSE))</f>
        <v>7</v>
      </c>
      <c r="L272">
        <f ca="1">IF(AND(ISNUMBER($L$365),$B$294=1),$L$365,HLOOKUP(INDIRECT(ADDRESS(2,COLUMN())),OFFSET($AT$2,0,0,ROW()-1,40),ROW()-1,FALSE))</f>
        <v>3</v>
      </c>
      <c r="M272">
        <f ca="1">IF(AND(ISNUMBER($M$365),$B$294=1),$M$365,HLOOKUP(INDIRECT(ADDRESS(2,COLUMN())),OFFSET($AT$2,0,0,ROW()-1,40),ROW()-1,FALSE))</f>
        <v>12</v>
      </c>
      <c r="N272">
        <f ca="1">IF(AND(ISNUMBER($N$365),$B$294=1),$N$365,HLOOKUP(INDIRECT(ADDRESS(2,COLUMN())),OFFSET($AT$2,0,0,ROW()-1,40),ROW()-1,FALSE))</f>
        <v>2</v>
      </c>
      <c r="O272">
        <f ca="1">IF(AND(ISNUMBER($O$365),$B$294=1),$O$365,HLOOKUP(INDIRECT(ADDRESS(2,COLUMN())),OFFSET($AT$2,0,0,ROW()-1,40),ROW()-1,FALSE))</f>
        <v>2</v>
      </c>
      <c r="P272">
        <f ca="1">IF(AND(ISNUMBER($P$365),$B$294=1),$P$365,HLOOKUP(INDIRECT(ADDRESS(2,COLUMN())),OFFSET($AT$2,0,0,ROW()-1,40),ROW()-1,FALSE))</f>
        <v>8</v>
      </c>
      <c r="Q272">
        <f ca="1">IF(AND(ISNUMBER($Q$365),$B$294=1),$Q$365,HLOOKUP(INDIRECT(ADDRESS(2,COLUMN())),OFFSET($AT$2,0,0,ROW()-1,40),ROW()-1,FALSE))</f>
        <v>13</v>
      </c>
      <c r="R272">
        <f ca="1">IF(AND(ISNUMBER($R$365),$B$294=1),$R$365,HLOOKUP(INDIRECT(ADDRESS(2,COLUMN())),OFFSET($AT$2,0,0,ROW()-1,40),ROW()-1,FALSE))</f>
        <v>5</v>
      </c>
      <c r="S272">
        <f ca="1">IF(AND(ISNUMBER($S$365),$B$294=1),$S$365,HLOOKUP(INDIRECT(ADDRESS(2,COLUMN())),OFFSET($AT$2,0,0,ROW()-1,40),ROW()-1,FALSE))</f>
        <v>8</v>
      </c>
      <c r="T272">
        <f ca="1">IF(AND(ISNUMBER($T$365),$B$294=1),$T$365,HLOOKUP(INDIRECT(ADDRESS(2,COLUMN())),OFFSET($AT$2,0,0,ROW()-1,40),ROW()-1,FALSE))</f>
        <v>13</v>
      </c>
      <c r="U272">
        <f ca="1">IF(AND(ISNUMBER($U$365),$B$294=1),$U$365,HLOOKUP(INDIRECT(ADDRESS(2,COLUMN())),OFFSET($AT$2,0,0,ROW()-1,40),ROW()-1,FALSE))</f>
        <v>16</v>
      </c>
      <c r="V272">
        <f ca="1">IF(AND(ISNUMBER($V$365),$B$294=1),$V$365,HLOOKUP(INDIRECT(ADDRESS(2,COLUMN())),OFFSET($AT$2,0,0,ROW()-1,40),ROW()-1,FALSE))</f>
        <v>9</v>
      </c>
      <c r="W272">
        <f ca="1">IF(AND(ISNUMBER($W$365),$B$294=1),$W$365,HLOOKUP(INDIRECT(ADDRESS(2,COLUMN())),OFFSET($AT$2,0,0,ROW()-1,40),ROW()-1,FALSE))</f>
        <v>8</v>
      </c>
      <c r="X272">
        <f ca="1">IF(AND(ISNUMBER($X$365),$B$294=1),$X$365,HLOOKUP(INDIRECT(ADDRESS(2,COLUMN())),OFFSET($AT$2,0,0,ROW()-1,40),ROW()-1,FALSE))</f>
        <v>5</v>
      </c>
      <c r="Y272">
        <f ca="1">IF(AND(ISNUMBER($Y$365),$B$294=1),$Y$365,HLOOKUP(INDIRECT(ADDRESS(2,COLUMN())),OFFSET($AT$2,0,0,ROW()-1,40),ROW()-1,FALSE))</f>
        <v>15</v>
      </c>
      <c r="Z272">
        <f ca="1">IF(AND(ISNUMBER($Z$365),$B$294=1),$Z$365,HLOOKUP(INDIRECT(ADDRESS(2,COLUMN())),OFFSET($AT$2,0,0,ROW()-1,40),ROW()-1,FALSE))</f>
        <v>10</v>
      </c>
      <c r="AA272">
        <f ca="1">IF(AND(ISNUMBER($AA$365),$B$294=1),$AA$365,HLOOKUP(INDIRECT(ADDRESS(2,COLUMN())),OFFSET($AT$2,0,0,ROW()-1,40),ROW()-1,FALSE))</f>
        <v>4</v>
      </c>
      <c r="AB272">
        <f ca="1">IF(AND(ISNUMBER($AB$365),$B$294=1),$AB$365,HLOOKUP(INDIRECT(ADDRESS(2,COLUMN())),OFFSET($AT$2,0,0,ROW()-1,40),ROW()-1,FALSE))</f>
        <v>12</v>
      </c>
      <c r="AC272">
        <f ca="1">IF(AND(ISNUMBER($AC$365),$B$294=1),$AC$365,HLOOKUP(INDIRECT(ADDRESS(2,COLUMN())),OFFSET($AT$2,0,0,ROW()-1,40),ROW()-1,FALSE))</f>
        <v>6</v>
      </c>
      <c r="AD272">
        <f ca="1">IF(AND(ISNUMBER($AD$365),$B$294=1),$AD$365,HLOOKUP(INDIRECT(ADDRESS(2,COLUMN())),OFFSET($AT$2,0,0,ROW()-1,40),ROW()-1,FALSE))</f>
        <v>16</v>
      </c>
      <c r="AE272">
        <f ca="1">IF(AND(ISNUMBER($AE$365),$B$294=1),$AE$365,HLOOKUP(INDIRECT(ADDRESS(2,COLUMN())),OFFSET($AT$2,0,0,ROW()-1,40),ROW()-1,FALSE))</f>
        <v>1</v>
      </c>
      <c r="AF272">
        <f ca="1">IF(AND(ISNUMBER($AF$365),$B$294=1),$AF$365,HLOOKUP(INDIRECT(ADDRESS(2,COLUMN())),OFFSET($AT$2,0,0,ROW()-1,40),ROW()-1,FALSE))</f>
        <v>23</v>
      </c>
      <c r="AG272">
        <f ca="1">IF(AND(ISNUMBER($AG$365),$B$294=1),$AG$365,HLOOKUP(INDIRECT(ADDRESS(2,COLUMN())),OFFSET($AT$2,0,0,ROW()-1,40),ROW()-1,FALSE))</f>
        <v>15</v>
      </c>
      <c r="AH272">
        <f ca="1">IF(AND(ISNUMBER($AH$365),$B$294=1),$AH$365,HLOOKUP(INDIRECT(ADDRESS(2,COLUMN())),OFFSET($AT$2,0,0,ROW()-1,40),ROW()-1,FALSE))</f>
        <v>10</v>
      </c>
      <c r="AI272">
        <f ca="1">IF(AND(ISNUMBER($AI$365),$B$294=1),$AI$365,HLOOKUP(INDIRECT(ADDRESS(2,COLUMN())),OFFSET($AT$2,0,0,ROW()-1,40),ROW()-1,FALSE))</f>
        <v>12</v>
      </c>
      <c r="AJ272">
        <f ca="1">IF(AND(ISNUMBER($AJ$365),$B$294=1),$AJ$365,HLOOKUP(INDIRECT(ADDRESS(2,COLUMN())),OFFSET($AT$2,0,0,ROW()-1,40),ROW()-1,FALSE))</f>
        <v>6</v>
      </c>
      <c r="AK272">
        <f ca="1">IF(AND(ISNUMBER($AK$365),$B$294=1),$AK$365,HLOOKUP(INDIRECT(ADDRESS(2,COLUMN())),OFFSET($AT$2,0,0,ROW()-1,40),ROW()-1,FALSE))</f>
        <v>10</v>
      </c>
      <c r="AL272">
        <f ca="1">IF(AND(ISNUMBER($AL$365),$B$294=1),$AL$365,HLOOKUP(INDIRECT(ADDRESS(2,COLUMN())),OFFSET($AT$2,0,0,ROW()-1,40),ROW()-1,FALSE))</f>
        <v>8</v>
      </c>
      <c r="AM272">
        <f ca="1">IF(AND(ISNUMBER($AM$365),$B$294=1),$AM$365,HLOOKUP(INDIRECT(ADDRESS(2,COLUMN())),OFFSET($AT$2,0,0,ROW()-1,40),ROW()-1,FALSE))</f>
        <v>8</v>
      </c>
      <c r="AN272">
        <f ca="1">IF(AND(ISNUMBER($AN$365),$B$294=1),$AN$365,HLOOKUP(INDIRECT(ADDRESS(2,COLUMN())),OFFSET($AT$2,0,0,ROW()-1,40),ROW()-1,FALSE))</f>
        <v>32</v>
      </c>
      <c r="AO272">
        <f ca="1">IF(AND(ISNUMBER($AO$365),$B$294=1),$AO$365,HLOOKUP(INDIRECT(ADDRESS(2,COLUMN())),OFFSET($AT$2,0,0,ROW()-1,40),ROW()-1,FALSE))</f>
        <v>29</v>
      </c>
      <c r="AP272">
        <f ca="1">IF(AND(ISNUMBER($AP$365),$B$294=1),$AP$365,HLOOKUP(INDIRECT(ADDRESS(2,COLUMN())),OFFSET($AT$2,0,0,ROW()-1,40),ROW()-1,FALSE))</f>
        <v>29</v>
      </c>
      <c r="AQ272">
        <f ca="1">IF(AND(ISNUMBER($AQ$365),$B$294=1),$AQ$365,HLOOKUP(INDIRECT(ADDRESS(2,COLUMN())),OFFSET($AT$2,0,0,ROW()-1,40),ROW()-1,FALSE))</f>
        <v>18</v>
      </c>
      <c r="AR272">
        <f ca="1">IF(AND(ISNUMBER($AR$365),$B$294=1),$AR$365,HLOOKUP(INDIRECT(ADDRESS(2,COLUMN())),OFFSET($AT$2,0,0,ROW()-1,40),ROW()-1,FALSE))</f>
        <v>20</v>
      </c>
      <c r="AS272">
        <f ca="1">IF(AND(ISNUMBER($AS$365),$B$294=1),$AS$365,HLOOKUP(INDIRECT(ADDRESS(2,COLUMN())),OFFSET($AT$2,0,0,ROW()-1,40),ROW()-1,FALSE))</f>
        <v>14</v>
      </c>
      <c r="AT272">
        <f>1</f>
        <v>1</v>
      </c>
      <c r="AU272">
        <f>8</f>
        <v>8</v>
      </c>
      <c r="AV272">
        <f>10</f>
        <v>10</v>
      </c>
      <c r="AW272">
        <f>7</f>
        <v>7</v>
      </c>
      <c r="AX272">
        <f>8</f>
        <v>8</v>
      </c>
      <c r="AY272">
        <f>7</f>
        <v>7</v>
      </c>
      <c r="AZ272">
        <f>3</f>
        <v>3</v>
      </c>
      <c r="BA272">
        <f>12</f>
        <v>12</v>
      </c>
      <c r="BB272">
        <f>2</f>
        <v>2</v>
      </c>
      <c r="BC272">
        <f>2</f>
        <v>2</v>
      </c>
      <c r="BD272">
        <f>8</f>
        <v>8</v>
      </c>
      <c r="BE272">
        <f>13</f>
        <v>13</v>
      </c>
      <c r="BF272">
        <f>5</f>
        <v>5</v>
      </c>
      <c r="BG272">
        <f>8</f>
        <v>8</v>
      </c>
      <c r="BH272">
        <f>13</f>
        <v>13</v>
      </c>
      <c r="BI272">
        <f>16</f>
        <v>16</v>
      </c>
      <c r="BJ272">
        <f>9</f>
        <v>9</v>
      </c>
      <c r="BK272">
        <f>8</f>
        <v>8</v>
      </c>
      <c r="BL272">
        <f>5</f>
        <v>5</v>
      </c>
      <c r="BM272">
        <f>15</f>
        <v>15</v>
      </c>
      <c r="BN272">
        <f>10</f>
        <v>10</v>
      </c>
      <c r="BO272">
        <f>4</f>
        <v>4</v>
      </c>
      <c r="BP272">
        <f>12</f>
        <v>12</v>
      </c>
      <c r="BQ272">
        <f>6</f>
        <v>6</v>
      </c>
      <c r="BR272">
        <f>16</f>
        <v>16</v>
      </c>
      <c r="BS272">
        <f>1</f>
        <v>1</v>
      </c>
      <c r="BT272">
        <f>23</f>
        <v>23</v>
      </c>
      <c r="BU272">
        <f>15</f>
        <v>15</v>
      </c>
      <c r="BV272">
        <f>10</f>
        <v>10</v>
      </c>
      <c r="BW272">
        <f>12</f>
        <v>12</v>
      </c>
      <c r="BX272">
        <f>6</f>
        <v>6</v>
      </c>
      <c r="BY272">
        <f>10</f>
        <v>10</v>
      </c>
      <c r="BZ272">
        <f>8</f>
        <v>8</v>
      </c>
      <c r="CA272">
        <f>8</f>
        <v>8</v>
      </c>
      <c r="CB272">
        <f>32</f>
        <v>32</v>
      </c>
      <c r="CC272">
        <f>29</f>
        <v>29</v>
      </c>
      <c r="CD272">
        <f>29</f>
        <v>29</v>
      </c>
      <c r="CE272">
        <f>18</f>
        <v>18</v>
      </c>
      <c r="CF272">
        <f>20</f>
        <v>20</v>
      </c>
      <c r="CG272">
        <f>14</f>
        <v>14</v>
      </c>
    </row>
    <row r="273" spans="1:85" x14ac:dyDescent="0.25">
      <c r="A273" t="str">
        <f>"    Volvo - Volvo Truck"</f>
        <v xml:space="preserve">    Volvo - Volvo Truck</v>
      </c>
      <c r="B273" t="str">
        <f>"VOLVB SS Equity"</f>
        <v>VOLVB SS Equity</v>
      </c>
      <c r="C273" t="str">
        <f t="shared" si="25"/>
        <v>X1701</v>
      </c>
      <c r="D273" t="str">
        <f t="shared" si="26"/>
        <v>WARDS_RETAIL_SALES_UNITS</v>
      </c>
      <c r="E273" t="str">
        <f t="shared" si="22"/>
        <v>Dynamic</v>
      </c>
      <c r="F273" t="str">
        <f ca="1">IF(AND(ISNUMBER($F$366),$B$294=1),$F$366,HLOOKUP(INDIRECT(ADDRESS(2,COLUMN())),OFFSET($AT$2,0,0,ROW()-1,40),ROW()-1,FALSE))</f>
        <v/>
      </c>
      <c r="G273" t="str">
        <f ca="1">IF(AND(ISNUMBER($G$366),$B$294=1),$G$366,HLOOKUP(INDIRECT(ADDRESS(2,COLUMN())),OFFSET($AT$2,0,0,ROW()-1,40),ROW()-1,FALSE))</f>
        <v/>
      </c>
      <c r="H273" t="str">
        <f ca="1">IF(AND(ISNUMBER($H$366),$B$294=1),$H$366,HLOOKUP(INDIRECT(ADDRESS(2,COLUMN())),OFFSET($AT$2,0,0,ROW()-1,40),ROW()-1,FALSE))</f>
        <v/>
      </c>
      <c r="I273" t="str">
        <f ca="1">IF(AND(ISNUMBER($I$366),$B$294=1),$I$366,HLOOKUP(INDIRECT(ADDRESS(2,COLUMN())),OFFSET($AT$2,0,0,ROW()-1,40),ROW()-1,FALSE))</f>
        <v/>
      </c>
      <c r="J273" t="str">
        <f ca="1">IF(AND(ISNUMBER($J$366),$B$294=1),$J$366,HLOOKUP(INDIRECT(ADDRESS(2,COLUMN())),OFFSET($AT$2,0,0,ROW()-1,40),ROW()-1,FALSE))</f>
        <v/>
      </c>
      <c r="K273" t="str">
        <f ca="1">IF(AND(ISNUMBER($K$366),$B$294=1),$K$366,HLOOKUP(INDIRECT(ADDRESS(2,COLUMN())),OFFSET($AT$2,0,0,ROW()-1,40),ROW()-1,FALSE))</f>
        <v/>
      </c>
      <c r="L273" t="str">
        <f ca="1">IF(AND(ISNUMBER($L$366),$B$294=1),$L$366,HLOOKUP(INDIRECT(ADDRESS(2,COLUMN())),OFFSET($AT$2,0,0,ROW()-1,40),ROW()-1,FALSE))</f>
        <v/>
      </c>
      <c r="M273" t="str">
        <f ca="1">IF(AND(ISNUMBER($M$366),$B$294=1),$M$366,HLOOKUP(INDIRECT(ADDRESS(2,COLUMN())),OFFSET($AT$2,0,0,ROW()-1,40),ROW()-1,FALSE))</f>
        <v/>
      </c>
      <c r="N273" t="str">
        <f ca="1">IF(AND(ISNUMBER($N$366),$B$294=1),$N$366,HLOOKUP(INDIRECT(ADDRESS(2,COLUMN())),OFFSET($AT$2,0,0,ROW()-1,40),ROW()-1,FALSE))</f>
        <v/>
      </c>
      <c r="O273" t="str">
        <f ca="1">IF(AND(ISNUMBER($O$366),$B$294=1),$O$366,HLOOKUP(INDIRECT(ADDRESS(2,COLUMN())),OFFSET($AT$2,0,0,ROW()-1,40),ROW()-1,FALSE))</f>
        <v/>
      </c>
      <c r="P273" t="str">
        <f ca="1">IF(AND(ISNUMBER($P$366),$B$294=1),$P$366,HLOOKUP(INDIRECT(ADDRESS(2,COLUMN())),OFFSET($AT$2,0,0,ROW()-1,40),ROW()-1,FALSE))</f>
        <v/>
      </c>
      <c r="Q273" t="str">
        <f ca="1">IF(AND(ISNUMBER($Q$366),$B$294=1),$Q$366,HLOOKUP(INDIRECT(ADDRESS(2,COLUMN())),OFFSET($AT$2,0,0,ROW()-1,40),ROW()-1,FALSE))</f>
        <v/>
      </c>
      <c r="R273" t="str">
        <f ca="1">IF(AND(ISNUMBER($R$366),$B$294=1),$R$366,HLOOKUP(INDIRECT(ADDRESS(2,COLUMN())),OFFSET($AT$2,0,0,ROW()-1,40),ROW()-1,FALSE))</f>
        <v/>
      </c>
      <c r="S273" t="str">
        <f ca="1">IF(AND(ISNUMBER($S$366),$B$294=1),$S$366,HLOOKUP(INDIRECT(ADDRESS(2,COLUMN())),OFFSET($AT$2,0,0,ROW()-1,40),ROW()-1,FALSE))</f>
        <v/>
      </c>
      <c r="T273" t="str">
        <f ca="1">IF(AND(ISNUMBER($T$366),$B$294=1),$T$366,HLOOKUP(INDIRECT(ADDRESS(2,COLUMN())),OFFSET($AT$2,0,0,ROW()-1,40),ROW()-1,FALSE))</f>
        <v/>
      </c>
      <c r="U273" t="str">
        <f ca="1">IF(AND(ISNUMBER($U$366),$B$294=1),$U$366,HLOOKUP(INDIRECT(ADDRESS(2,COLUMN())),OFFSET($AT$2,0,0,ROW()-1,40),ROW()-1,FALSE))</f>
        <v/>
      </c>
      <c r="V273" t="str">
        <f ca="1">IF(AND(ISNUMBER($V$366),$B$294=1),$V$366,HLOOKUP(INDIRECT(ADDRESS(2,COLUMN())),OFFSET($AT$2,0,0,ROW()-1,40),ROW()-1,FALSE))</f>
        <v/>
      </c>
      <c r="W273" t="str">
        <f ca="1">IF(AND(ISNUMBER($W$366),$B$294=1),$W$366,HLOOKUP(INDIRECT(ADDRESS(2,COLUMN())),OFFSET($AT$2,0,0,ROW()-1,40),ROW()-1,FALSE))</f>
        <v/>
      </c>
      <c r="X273" t="str">
        <f ca="1">IF(AND(ISNUMBER($X$366),$B$294=1),$X$366,HLOOKUP(INDIRECT(ADDRESS(2,COLUMN())),OFFSET($AT$2,0,0,ROW()-1,40),ROW()-1,FALSE))</f>
        <v/>
      </c>
      <c r="Y273" t="str">
        <f ca="1">IF(AND(ISNUMBER($Y$366),$B$294=1),$Y$366,HLOOKUP(INDIRECT(ADDRESS(2,COLUMN())),OFFSET($AT$2,0,0,ROW()-1,40),ROW()-1,FALSE))</f>
        <v/>
      </c>
      <c r="Z273" t="str">
        <f ca="1">IF(AND(ISNUMBER($Z$366),$B$294=1),$Z$366,HLOOKUP(INDIRECT(ADDRESS(2,COLUMN())),OFFSET($AT$2,0,0,ROW()-1,40),ROW()-1,FALSE))</f>
        <v/>
      </c>
      <c r="AA273" t="str">
        <f ca="1">IF(AND(ISNUMBER($AA$366),$B$294=1),$AA$366,HLOOKUP(INDIRECT(ADDRESS(2,COLUMN())),OFFSET($AT$2,0,0,ROW()-1,40),ROW()-1,FALSE))</f>
        <v/>
      </c>
      <c r="AB273" t="str">
        <f ca="1">IF(AND(ISNUMBER($AB$366),$B$294=1),$AB$366,HLOOKUP(INDIRECT(ADDRESS(2,COLUMN())),OFFSET($AT$2,0,0,ROW()-1,40),ROW()-1,FALSE))</f>
        <v/>
      </c>
      <c r="AC273" t="str">
        <f ca="1">IF(AND(ISNUMBER($AC$366),$B$294=1),$AC$366,HLOOKUP(INDIRECT(ADDRESS(2,COLUMN())),OFFSET($AT$2,0,0,ROW()-1,40),ROW()-1,FALSE))</f>
        <v/>
      </c>
      <c r="AD273" t="str">
        <f ca="1">IF(AND(ISNUMBER($AD$366),$B$294=1),$AD$366,HLOOKUP(INDIRECT(ADDRESS(2,COLUMN())),OFFSET($AT$2,0,0,ROW()-1,40),ROW()-1,FALSE))</f>
        <v/>
      </c>
      <c r="AE273" t="str">
        <f ca="1">IF(AND(ISNUMBER($AE$366),$B$294=1),$AE$366,HLOOKUP(INDIRECT(ADDRESS(2,COLUMN())),OFFSET($AT$2,0,0,ROW()-1,40),ROW()-1,FALSE))</f>
        <v/>
      </c>
      <c r="AF273" t="str">
        <f ca="1">IF(AND(ISNUMBER($AF$366),$B$294=1),$AF$366,HLOOKUP(INDIRECT(ADDRESS(2,COLUMN())),OFFSET($AT$2,0,0,ROW()-1,40),ROW()-1,FALSE))</f>
        <v/>
      </c>
      <c r="AG273" t="str">
        <f ca="1">IF(AND(ISNUMBER($AG$366),$B$294=1),$AG$366,HLOOKUP(INDIRECT(ADDRESS(2,COLUMN())),OFFSET($AT$2,0,0,ROW()-1,40),ROW()-1,FALSE))</f>
        <v/>
      </c>
      <c r="AH273" t="str">
        <f ca="1">IF(AND(ISNUMBER($AH$366),$B$294=1),$AH$366,HLOOKUP(INDIRECT(ADDRESS(2,COLUMN())),OFFSET($AT$2,0,0,ROW()-1,40),ROW()-1,FALSE))</f>
        <v/>
      </c>
      <c r="AI273" t="str">
        <f ca="1">IF(AND(ISNUMBER($AI$366),$B$294=1),$AI$366,HLOOKUP(INDIRECT(ADDRESS(2,COLUMN())),OFFSET($AT$2,0,0,ROW()-1,40),ROW()-1,FALSE))</f>
        <v/>
      </c>
      <c r="AJ273" t="str">
        <f ca="1">IF(AND(ISNUMBER($AJ$366),$B$294=1),$AJ$366,HLOOKUP(INDIRECT(ADDRESS(2,COLUMN())),OFFSET($AT$2,0,0,ROW()-1,40),ROW()-1,FALSE))</f>
        <v/>
      </c>
      <c r="AK273" t="str">
        <f ca="1">IF(AND(ISNUMBER($AK$366),$B$294=1),$AK$366,HLOOKUP(INDIRECT(ADDRESS(2,COLUMN())),OFFSET($AT$2,0,0,ROW()-1,40),ROW()-1,FALSE))</f>
        <v/>
      </c>
      <c r="AL273" t="str">
        <f ca="1">IF(AND(ISNUMBER($AL$366),$B$294=1),$AL$366,HLOOKUP(INDIRECT(ADDRESS(2,COLUMN())),OFFSET($AT$2,0,0,ROW()-1,40),ROW()-1,FALSE))</f>
        <v/>
      </c>
      <c r="AM273" t="str">
        <f ca="1">IF(AND(ISNUMBER($AM$366),$B$294=1),$AM$366,HLOOKUP(INDIRECT(ADDRESS(2,COLUMN())),OFFSET($AT$2,0,0,ROW()-1,40),ROW()-1,FALSE))</f>
        <v/>
      </c>
      <c r="AN273" t="str">
        <f ca="1">IF(AND(ISNUMBER($AN$366),$B$294=1),$AN$366,HLOOKUP(INDIRECT(ADDRESS(2,COLUMN())),OFFSET($AT$2,0,0,ROW()-1,40),ROW()-1,FALSE))</f>
        <v/>
      </c>
      <c r="AO273" t="str">
        <f ca="1">IF(AND(ISNUMBER($AO$366),$B$294=1),$AO$366,HLOOKUP(INDIRECT(ADDRESS(2,COLUMN())),OFFSET($AT$2,0,0,ROW()-1,40),ROW()-1,FALSE))</f>
        <v/>
      </c>
      <c r="AP273" t="str">
        <f ca="1">IF(AND(ISNUMBER($AP$366),$B$294=1),$AP$366,HLOOKUP(INDIRECT(ADDRESS(2,COLUMN())),OFFSET($AT$2,0,0,ROW()-1,40),ROW()-1,FALSE))</f>
        <v/>
      </c>
      <c r="AQ273" t="str">
        <f ca="1">IF(AND(ISNUMBER($AQ$366),$B$294=1),$AQ$366,HLOOKUP(INDIRECT(ADDRESS(2,COLUMN())),OFFSET($AT$2,0,0,ROW()-1,40),ROW()-1,FALSE))</f>
        <v/>
      </c>
      <c r="AR273" t="str">
        <f ca="1">IF(AND(ISNUMBER($AR$366),$B$294=1),$AR$366,HLOOKUP(INDIRECT(ADDRESS(2,COLUMN())),OFFSET($AT$2,0,0,ROW()-1,40),ROW()-1,FALSE))</f>
        <v/>
      </c>
      <c r="AS273" t="str">
        <f ca="1">IF(AND(ISNUMBER($AS$366),$B$294=1),$AS$366,HLOOKUP(INDIRECT(ADDRESS(2,COLUMN())),OFFSET($AT$2,0,0,ROW()-1,40),ROW()-1,FALSE))</f>
        <v/>
      </c>
      <c r="AT273" t="str">
        <f>""</f>
        <v/>
      </c>
      <c r="AU273" t="str">
        <f>""</f>
        <v/>
      </c>
      <c r="AV273" t="str">
        <f>""</f>
        <v/>
      </c>
      <c r="AW273" t="str">
        <f>""</f>
        <v/>
      </c>
      <c r="AX273" t="str">
        <f>""</f>
        <v/>
      </c>
      <c r="AY273" t="str">
        <f>""</f>
        <v/>
      </c>
      <c r="AZ273" t="str">
        <f>""</f>
        <v/>
      </c>
      <c r="BA273" t="str">
        <f>""</f>
        <v/>
      </c>
      <c r="BB273" t="str">
        <f>""</f>
        <v/>
      </c>
      <c r="BC273" t="str">
        <f>""</f>
        <v/>
      </c>
      <c r="BD273" t="str">
        <f>""</f>
        <v/>
      </c>
      <c r="BE273" t="str">
        <f>""</f>
        <v/>
      </c>
      <c r="BF273" t="str">
        <f>""</f>
        <v/>
      </c>
      <c r="BG273" t="str">
        <f>""</f>
        <v/>
      </c>
      <c r="BH273" t="str">
        <f>""</f>
        <v/>
      </c>
      <c r="BI273" t="str">
        <f>""</f>
        <v/>
      </c>
      <c r="BJ273" t="str">
        <f>""</f>
        <v/>
      </c>
      <c r="BK273" t="str">
        <f>""</f>
        <v/>
      </c>
      <c r="BL273" t="str">
        <f>""</f>
        <v/>
      </c>
      <c r="BM273" t="str">
        <f>""</f>
        <v/>
      </c>
      <c r="BN273" t="str">
        <f>""</f>
        <v/>
      </c>
      <c r="BO273" t="str">
        <f>""</f>
        <v/>
      </c>
      <c r="BP273" t="str">
        <f>""</f>
        <v/>
      </c>
      <c r="BQ273" t="str">
        <f>""</f>
        <v/>
      </c>
      <c r="BR273" t="str">
        <f>""</f>
        <v/>
      </c>
      <c r="BS273" t="str">
        <f>""</f>
        <v/>
      </c>
      <c r="BT273" t="str">
        <f>""</f>
        <v/>
      </c>
      <c r="BU273" t="str">
        <f>""</f>
        <v/>
      </c>
      <c r="BV273" t="str">
        <f>""</f>
        <v/>
      </c>
      <c r="BW273" t="str">
        <f>""</f>
        <v/>
      </c>
      <c r="BX273" t="str">
        <f>""</f>
        <v/>
      </c>
      <c r="BY273" t="str">
        <f>""</f>
        <v/>
      </c>
      <c r="BZ273" t="str">
        <f>""</f>
        <v/>
      </c>
      <c r="CA273" t="str">
        <f>""</f>
        <v/>
      </c>
      <c r="CB273" t="str">
        <f>""</f>
        <v/>
      </c>
      <c r="CC273" t="str">
        <f>""</f>
        <v/>
      </c>
      <c r="CD273" t="str">
        <f>""</f>
        <v/>
      </c>
      <c r="CE273" t="str">
        <f>""</f>
        <v/>
      </c>
      <c r="CF273" t="str">
        <f>""</f>
        <v/>
      </c>
      <c r="CG273" t="str">
        <f>""</f>
        <v/>
      </c>
    </row>
    <row r="274" spans="1:85" x14ac:dyDescent="0.25">
      <c r="A274" t="str">
        <f>"    General Motors - Chevrolet"</f>
        <v xml:space="preserve">    General Motors - Chevrolet</v>
      </c>
      <c r="B274" t="str">
        <f>"MTLQQ US Equity"</f>
        <v>MTLQQ US Equity</v>
      </c>
      <c r="C274" t="str">
        <f t="shared" si="25"/>
        <v>X1701</v>
      </c>
      <c r="D274" t="str">
        <f t="shared" si="26"/>
        <v>WARDS_RETAIL_SALES_UNITS</v>
      </c>
      <c r="E274" t="str">
        <f t="shared" si="22"/>
        <v>Dynamic</v>
      </c>
      <c r="F274" t="str">
        <f ca="1">IF(AND(ISNUMBER($F$367),$B$294=1),$F$367,HLOOKUP(INDIRECT(ADDRESS(2,COLUMN())),OFFSET($AT$2,0,0,ROW()-1,40),ROW()-1,FALSE))</f>
        <v/>
      </c>
      <c r="G274" t="str">
        <f ca="1">IF(AND(ISNUMBER($G$367),$B$294=1),$G$367,HLOOKUP(INDIRECT(ADDRESS(2,COLUMN())),OFFSET($AT$2,0,0,ROW()-1,40),ROW()-1,FALSE))</f>
        <v/>
      </c>
      <c r="H274" t="str">
        <f ca="1">IF(AND(ISNUMBER($H$367),$B$294=1),$H$367,HLOOKUP(INDIRECT(ADDRESS(2,COLUMN())),OFFSET($AT$2,0,0,ROW()-1,40),ROW()-1,FALSE))</f>
        <v/>
      </c>
      <c r="I274" t="str">
        <f ca="1">IF(AND(ISNUMBER($I$367),$B$294=1),$I$367,HLOOKUP(INDIRECT(ADDRESS(2,COLUMN())),OFFSET($AT$2,0,0,ROW()-1,40),ROW()-1,FALSE))</f>
        <v/>
      </c>
      <c r="J274" t="str">
        <f ca="1">IF(AND(ISNUMBER($J$367),$B$294=1),$J$367,HLOOKUP(INDIRECT(ADDRESS(2,COLUMN())),OFFSET($AT$2,0,0,ROW()-1,40),ROW()-1,FALSE))</f>
        <v/>
      </c>
      <c r="K274" t="str">
        <f ca="1">IF(AND(ISNUMBER($K$367),$B$294=1),$K$367,HLOOKUP(INDIRECT(ADDRESS(2,COLUMN())),OFFSET($AT$2,0,0,ROW()-1,40),ROW()-1,FALSE))</f>
        <v/>
      </c>
      <c r="L274" t="str">
        <f ca="1">IF(AND(ISNUMBER($L$367),$B$294=1),$L$367,HLOOKUP(INDIRECT(ADDRESS(2,COLUMN())),OFFSET($AT$2,0,0,ROW()-1,40),ROW()-1,FALSE))</f>
        <v/>
      </c>
      <c r="M274" t="str">
        <f ca="1">IF(AND(ISNUMBER($M$367),$B$294=1),$M$367,HLOOKUP(INDIRECT(ADDRESS(2,COLUMN())),OFFSET($AT$2,0,0,ROW()-1,40),ROW()-1,FALSE))</f>
        <v/>
      </c>
      <c r="N274" t="str">
        <f ca="1">IF(AND(ISNUMBER($N$367),$B$294=1),$N$367,HLOOKUP(INDIRECT(ADDRESS(2,COLUMN())),OFFSET($AT$2,0,0,ROW()-1,40),ROW()-1,FALSE))</f>
        <v/>
      </c>
      <c r="O274" t="str">
        <f ca="1">IF(AND(ISNUMBER($O$367),$B$294=1),$O$367,HLOOKUP(INDIRECT(ADDRESS(2,COLUMN())),OFFSET($AT$2,0,0,ROW()-1,40),ROW()-1,FALSE))</f>
        <v/>
      </c>
      <c r="P274" t="str">
        <f ca="1">IF(AND(ISNUMBER($P$367),$B$294=1),$P$367,HLOOKUP(INDIRECT(ADDRESS(2,COLUMN())),OFFSET($AT$2,0,0,ROW()-1,40),ROW()-1,FALSE))</f>
        <v/>
      </c>
      <c r="Q274" t="str">
        <f ca="1">IF(AND(ISNUMBER($Q$367),$B$294=1),$Q$367,HLOOKUP(INDIRECT(ADDRESS(2,COLUMN())),OFFSET($AT$2,0,0,ROW()-1,40),ROW()-1,FALSE))</f>
        <v/>
      </c>
      <c r="R274" t="str">
        <f ca="1">IF(AND(ISNUMBER($R$367),$B$294=1),$R$367,HLOOKUP(INDIRECT(ADDRESS(2,COLUMN())),OFFSET($AT$2,0,0,ROW()-1,40),ROW()-1,FALSE))</f>
        <v/>
      </c>
      <c r="S274" t="str">
        <f ca="1">IF(AND(ISNUMBER($S$367),$B$294=1),$S$367,HLOOKUP(INDIRECT(ADDRESS(2,COLUMN())),OFFSET($AT$2,0,0,ROW()-1,40),ROW()-1,FALSE))</f>
        <v/>
      </c>
      <c r="T274" t="str">
        <f ca="1">IF(AND(ISNUMBER($T$367),$B$294=1),$T$367,HLOOKUP(INDIRECT(ADDRESS(2,COLUMN())),OFFSET($AT$2,0,0,ROW()-1,40),ROW()-1,FALSE))</f>
        <v/>
      </c>
      <c r="U274" t="str">
        <f ca="1">IF(AND(ISNUMBER($U$367),$B$294=1),$U$367,HLOOKUP(INDIRECT(ADDRESS(2,COLUMN())),OFFSET($AT$2,0,0,ROW()-1,40),ROW()-1,FALSE))</f>
        <v/>
      </c>
      <c r="V274" t="str">
        <f ca="1">IF(AND(ISNUMBER($V$367),$B$294=1),$V$367,HLOOKUP(INDIRECT(ADDRESS(2,COLUMN())),OFFSET($AT$2,0,0,ROW()-1,40),ROW()-1,FALSE))</f>
        <v/>
      </c>
      <c r="W274" t="str">
        <f ca="1">IF(AND(ISNUMBER($W$367),$B$294=1),$W$367,HLOOKUP(INDIRECT(ADDRESS(2,COLUMN())),OFFSET($AT$2,0,0,ROW()-1,40),ROW()-1,FALSE))</f>
        <v/>
      </c>
      <c r="X274" t="str">
        <f ca="1">IF(AND(ISNUMBER($X$367),$B$294=1),$X$367,HLOOKUP(INDIRECT(ADDRESS(2,COLUMN())),OFFSET($AT$2,0,0,ROW()-1,40),ROW()-1,FALSE))</f>
        <v/>
      </c>
      <c r="Y274" t="str">
        <f ca="1">IF(AND(ISNUMBER($Y$367),$B$294=1),$Y$367,HLOOKUP(INDIRECT(ADDRESS(2,COLUMN())),OFFSET($AT$2,0,0,ROW()-1,40),ROW()-1,FALSE))</f>
        <v/>
      </c>
      <c r="Z274" t="str">
        <f ca="1">IF(AND(ISNUMBER($Z$367),$B$294=1),$Z$367,HLOOKUP(INDIRECT(ADDRESS(2,COLUMN())),OFFSET($AT$2,0,0,ROW()-1,40),ROW()-1,FALSE))</f>
        <v/>
      </c>
      <c r="AA274" t="str">
        <f ca="1">IF(AND(ISNUMBER($AA$367),$B$294=1),$AA$367,HLOOKUP(INDIRECT(ADDRESS(2,COLUMN())),OFFSET($AT$2,0,0,ROW()-1,40),ROW()-1,FALSE))</f>
        <v/>
      </c>
      <c r="AB274" t="str">
        <f ca="1">IF(AND(ISNUMBER($AB$367),$B$294=1),$AB$367,HLOOKUP(INDIRECT(ADDRESS(2,COLUMN())),OFFSET($AT$2,0,0,ROW()-1,40),ROW()-1,FALSE))</f>
        <v/>
      </c>
      <c r="AC274" t="str">
        <f ca="1">IF(AND(ISNUMBER($AC$367),$B$294=1),$AC$367,HLOOKUP(INDIRECT(ADDRESS(2,COLUMN())),OFFSET($AT$2,0,0,ROW()-1,40),ROW()-1,FALSE))</f>
        <v/>
      </c>
      <c r="AD274" t="str">
        <f ca="1">IF(AND(ISNUMBER($AD$367),$B$294=1),$AD$367,HLOOKUP(INDIRECT(ADDRESS(2,COLUMN())),OFFSET($AT$2,0,0,ROW()-1,40),ROW()-1,FALSE))</f>
        <v/>
      </c>
      <c r="AE274" t="str">
        <f ca="1">IF(AND(ISNUMBER($AE$367),$B$294=1),$AE$367,HLOOKUP(INDIRECT(ADDRESS(2,COLUMN())),OFFSET($AT$2,0,0,ROW()-1,40),ROW()-1,FALSE))</f>
        <v/>
      </c>
      <c r="AF274" t="str">
        <f ca="1">IF(AND(ISNUMBER($AF$367),$B$294=1),$AF$367,HLOOKUP(INDIRECT(ADDRESS(2,COLUMN())),OFFSET($AT$2,0,0,ROW()-1,40),ROW()-1,FALSE))</f>
        <v/>
      </c>
      <c r="AG274" t="str">
        <f ca="1">IF(AND(ISNUMBER($AG$367),$B$294=1),$AG$367,HLOOKUP(INDIRECT(ADDRESS(2,COLUMN())),OFFSET($AT$2,0,0,ROW()-1,40),ROW()-1,FALSE))</f>
        <v/>
      </c>
      <c r="AH274" t="str">
        <f ca="1">IF(AND(ISNUMBER($AH$367),$B$294=1),$AH$367,HLOOKUP(INDIRECT(ADDRESS(2,COLUMN())),OFFSET($AT$2,0,0,ROW()-1,40),ROW()-1,FALSE))</f>
        <v/>
      </c>
      <c r="AI274" t="str">
        <f ca="1">IF(AND(ISNUMBER($AI$367),$B$294=1),$AI$367,HLOOKUP(INDIRECT(ADDRESS(2,COLUMN())),OFFSET($AT$2,0,0,ROW()-1,40),ROW()-1,FALSE))</f>
        <v/>
      </c>
      <c r="AJ274" t="str">
        <f ca="1">IF(AND(ISNUMBER($AJ$367),$B$294=1),$AJ$367,HLOOKUP(INDIRECT(ADDRESS(2,COLUMN())),OFFSET($AT$2,0,0,ROW()-1,40),ROW()-1,FALSE))</f>
        <v/>
      </c>
      <c r="AK274" t="str">
        <f ca="1">IF(AND(ISNUMBER($AK$367),$B$294=1),$AK$367,HLOOKUP(INDIRECT(ADDRESS(2,COLUMN())),OFFSET($AT$2,0,0,ROW()-1,40),ROW()-1,FALSE))</f>
        <v/>
      </c>
      <c r="AL274" t="str">
        <f ca="1">IF(AND(ISNUMBER($AL$367),$B$294=1),$AL$367,HLOOKUP(INDIRECT(ADDRESS(2,COLUMN())),OFFSET($AT$2,0,0,ROW()-1,40),ROW()-1,FALSE))</f>
        <v/>
      </c>
      <c r="AM274" t="str">
        <f ca="1">IF(AND(ISNUMBER($AM$367),$B$294=1),$AM$367,HLOOKUP(INDIRECT(ADDRESS(2,COLUMN())),OFFSET($AT$2,0,0,ROW()-1,40),ROW()-1,FALSE))</f>
        <v/>
      </c>
      <c r="AN274" t="str">
        <f ca="1">IF(AND(ISNUMBER($AN$367),$B$294=1),$AN$367,HLOOKUP(INDIRECT(ADDRESS(2,COLUMN())),OFFSET($AT$2,0,0,ROW()-1,40),ROW()-1,FALSE))</f>
        <v/>
      </c>
      <c r="AO274" t="str">
        <f ca="1">IF(AND(ISNUMBER($AO$367),$B$294=1),$AO$367,HLOOKUP(INDIRECT(ADDRESS(2,COLUMN())),OFFSET($AT$2,0,0,ROW()-1,40),ROW()-1,FALSE))</f>
        <v/>
      </c>
      <c r="AP274" t="str">
        <f ca="1">IF(AND(ISNUMBER($AP$367),$B$294=1),$AP$367,HLOOKUP(INDIRECT(ADDRESS(2,COLUMN())),OFFSET($AT$2,0,0,ROW()-1,40),ROW()-1,FALSE))</f>
        <v/>
      </c>
      <c r="AQ274" t="str">
        <f ca="1">IF(AND(ISNUMBER($AQ$367),$B$294=1),$AQ$367,HLOOKUP(INDIRECT(ADDRESS(2,COLUMN())),OFFSET($AT$2,0,0,ROW()-1,40),ROW()-1,FALSE))</f>
        <v/>
      </c>
      <c r="AR274" t="str">
        <f ca="1">IF(AND(ISNUMBER($AR$367),$B$294=1),$AR$367,HLOOKUP(INDIRECT(ADDRESS(2,COLUMN())),OFFSET($AT$2,0,0,ROW()-1,40),ROW()-1,FALSE))</f>
        <v/>
      </c>
      <c r="AS274" t="str">
        <f ca="1">IF(AND(ISNUMBER($AS$367),$B$294=1),$AS$367,HLOOKUP(INDIRECT(ADDRESS(2,COLUMN())),OFFSET($AT$2,0,0,ROW()-1,40),ROW()-1,FALSE))</f>
        <v/>
      </c>
      <c r="AT274" t="str">
        <f>""</f>
        <v/>
      </c>
      <c r="AU274" t="str">
        <f>""</f>
        <v/>
      </c>
      <c r="AV274" t="str">
        <f>""</f>
        <v/>
      </c>
      <c r="AW274" t="str">
        <f>""</f>
        <v/>
      </c>
      <c r="AX274" t="str">
        <f>""</f>
        <v/>
      </c>
      <c r="AY274" t="str">
        <f>""</f>
        <v/>
      </c>
      <c r="AZ274" t="str">
        <f>""</f>
        <v/>
      </c>
      <c r="BA274" t="str">
        <f>""</f>
        <v/>
      </c>
      <c r="BB274" t="str">
        <f>""</f>
        <v/>
      </c>
      <c r="BC274" t="str">
        <f>""</f>
        <v/>
      </c>
      <c r="BD274" t="str">
        <f>""</f>
        <v/>
      </c>
      <c r="BE274" t="str">
        <f>""</f>
        <v/>
      </c>
      <c r="BF274" t="str">
        <f>""</f>
        <v/>
      </c>
      <c r="BG274" t="str">
        <f>""</f>
        <v/>
      </c>
      <c r="BH274" t="str">
        <f>""</f>
        <v/>
      </c>
      <c r="BI274" t="str">
        <f>""</f>
        <v/>
      </c>
      <c r="BJ274" t="str">
        <f>""</f>
        <v/>
      </c>
      <c r="BK274" t="str">
        <f>""</f>
        <v/>
      </c>
      <c r="BL274" t="str">
        <f>""</f>
        <v/>
      </c>
      <c r="BM274" t="str">
        <f>""</f>
        <v/>
      </c>
      <c r="BN274" t="str">
        <f>""</f>
        <v/>
      </c>
      <c r="BO274" t="str">
        <f>""</f>
        <v/>
      </c>
      <c r="BP274" t="str">
        <f>""</f>
        <v/>
      </c>
      <c r="BQ274" t="str">
        <f>""</f>
        <v/>
      </c>
      <c r="BR274" t="str">
        <f>""</f>
        <v/>
      </c>
      <c r="BS274" t="str">
        <f>""</f>
        <v/>
      </c>
      <c r="BT274" t="str">
        <f>""</f>
        <v/>
      </c>
      <c r="BU274" t="str">
        <f>""</f>
        <v/>
      </c>
      <c r="BV274" t="str">
        <f>""</f>
        <v/>
      </c>
      <c r="BW274" t="str">
        <f>""</f>
        <v/>
      </c>
      <c r="BX274" t="str">
        <f>""</f>
        <v/>
      </c>
      <c r="BY274" t="str">
        <f>""</f>
        <v/>
      </c>
      <c r="BZ274" t="str">
        <f>""</f>
        <v/>
      </c>
      <c r="CA274" t="str">
        <f>""</f>
        <v/>
      </c>
      <c r="CB274" t="str">
        <f>""</f>
        <v/>
      </c>
      <c r="CC274" t="str">
        <f>""</f>
        <v/>
      </c>
      <c r="CD274" t="str">
        <f>""</f>
        <v/>
      </c>
      <c r="CE274" t="str">
        <f>""</f>
        <v/>
      </c>
      <c r="CF274" t="str">
        <f>""</f>
        <v/>
      </c>
      <c r="CG274" t="str">
        <f>""</f>
        <v/>
      </c>
    </row>
    <row r="275" spans="1:85" x14ac:dyDescent="0.25">
      <c r="A275" t="str">
        <f>"    MAN - MAN"</f>
        <v xml:space="preserve">    MAN - MAN</v>
      </c>
      <c r="B275" t="str">
        <f>"VOW GR Equity"</f>
        <v>VOW GR Equity</v>
      </c>
      <c r="C275" t="str">
        <f t="shared" si="25"/>
        <v>X1701</v>
      </c>
      <c r="D275" t="str">
        <f t="shared" si="26"/>
        <v>WARDS_RETAIL_SALES_UNITS</v>
      </c>
      <c r="E275" t="str">
        <f t="shared" si="22"/>
        <v>Dynamic</v>
      </c>
      <c r="F275" t="str">
        <f ca="1">IF(AND(ISNUMBER($F$368),$B$294=1),$F$368,HLOOKUP(INDIRECT(ADDRESS(2,COLUMN())),OFFSET($AT$2,0,0,ROW()-1,40),ROW()-1,FALSE))</f>
        <v/>
      </c>
      <c r="G275" t="str">
        <f ca="1">IF(AND(ISNUMBER($G$368),$B$294=1),$G$368,HLOOKUP(INDIRECT(ADDRESS(2,COLUMN())),OFFSET($AT$2,0,0,ROW()-1,40),ROW()-1,FALSE))</f>
        <v/>
      </c>
      <c r="H275" t="str">
        <f ca="1">IF(AND(ISNUMBER($H$368),$B$294=1),$H$368,HLOOKUP(INDIRECT(ADDRESS(2,COLUMN())),OFFSET($AT$2,0,0,ROW()-1,40),ROW()-1,FALSE))</f>
        <v/>
      </c>
      <c r="I275" t="str">
        <f ca="1">IF(AND(ISNUMBER($I$368),$B$294=1),$I$368,HLOOKUP(INDIRECT(ADDRESS(2,COLUMN())),OFFSET($AT$2,0,0,ROW()-1,40),ROW()-1,FALSE))</f>
        <v/>
      </c>
      <c r="J275" t="str">
        <f ca="1">IF(AND(ISNUMBER($J$368),$B$294=1),$J$368,HLOOKUP(INDIRECT(ADDRESS(2,COLUMN())),OFFSET($AT$2,0,0,ROW()-1,40),ROW()-1,FALSE))</f>
        <v/>
      </c>
      <c r="K275" t="str">
        <f ca="1">IF(AND(ISNUMBER($K$368),$B$294=1),$K$368,HLOOKUP(INDIRECT(ADDRESS(2,COLUMN())),OFFSET($AT$2,0,0,ROW()-1,40),ROW()-1,FALSE))</f>
        <v/>
      </c>
      <c r="L275" t="str">
        <f ca="1">IF(AND(ISNUMBER($L$368),$B$294=1),$L$368,HLOOKUP(INDIRECT(ADDRESS(2,COLUMN())),OFFSET($AT$2,0,0,ROW()-1,40),ROW()-1,FALSE))</f>
        <v/>
      </c>
      <c r="M275" t="str">
        <f ca="1">IF(AND(ISNUMBER($M$368),$B$294=1),$M$368,HLOOKUP(INDIRECT(ADDRESS(2,COLUMN())),OFFSET($AT$2,0,0,ROW()-1,40),ROW()-1,FALSE))</f>
        <v/>
      </c>
      <c r="N275" t="str">
        <f ca="1">IF(AND(ISNUMBER($N$368),$B$294=1),$N$368,HLOOKUP(INDIRECT(ADDRESS(2,COLUMN())),OFFSET($AT$2,0,0,ROW()-1,40),ROW()-1,FALSE))</f>
        <v/>
      </c>
      <c r="O275" t="str">
        <f ca="1">IF(AND(ISNUMBER($O$368),$B$294=1),$O$368,HLOOKUP(INDIRECT(ADDRESS(2,COLUMN())),OFFSET($AT$2,0,0,ROW()-1,40),ROW()-1,FALSE))</f>
        <v/>
      </c>
      <c r="P275" t="str">
        <f ca="1">IF(AND(ISNUMBER($P$368),$B$294=1),$P$368,HLOOKUP(INDIRECT(ADDRESS(2,COLUMN())),OFFSET($AT$2,0,0,ROW()-1,40),ROW()-1,FALSE))</f>
        <v/>
      </c>
      <c r="Q275" t="str">
        <f ca="1">IF(AND(ISNUMBER($Q$368),$B$294=1),$Q$368,HLOOKUP(INDIRECT(ADDRESS(2,COLUMN())),OFFSET($AT$2,0,0,ROW()-1,40),ROW()-1,FALSE))</f>
        <v/>
      </c>
      <c r="R275" t="str">
        <f ca="1">IF(AND(ISNUMBER($R$368),$B$294=1),$R$368,HLOOKUP(INDIRECT(ADDRESS(2,COLUMN())),OFFSET($AT$2,0,0,ROW()-1,40),ROW()-1,FALSE))</f>
        <v/>
      </c>
      <c r="S275" t="str">
        <f ca="1">IF(AND(ISNUMBER($S$368),$B$294=1),$S$368,HLOOKUP(INDIRECT(ADDRESS(2,COLUMN())),OFFSET($AT$2,0,0,ROW()-1,40),ROW()-1,FALSE))</f>
        <v/>
      </c>
      <c r="T275" t="str">
        <f ca="1">IF(AND(ISNUMBER($T$368),$B$294=1),$T$368,HLOOKUP(INDIRECT(ADDRESS(2,COLUMN())),OFFSET($AT$2,0,0,ROW()-1,40),ROW()-1,FALSE))</f>
        <v/>
      </c>
      <c r="U275" t="str">
        <f ca="1">IF(AND(ISNUMBER($U$368),$B$294=1),$U$368,HLOOKUP(INDIRECT(ADDRESS(2,COLUMN())),OFFSET($AT$2,0,0,ROW()-1,40),ROW()-1,FALSE))</f>
        <v/>
      </c>
      <c r="V275" t="str">
        <f ca="1">IF(AND(ISNUMBER($V$368),$B$294=1),$V$368,HLOOKUP(INDIRECT(ADDRESS(2,COLUMN())),OFFSET($AT$2,0,0,ROW()-1,40),ROW()-1,FALSE))</f>
        <v/>
      </c>
      <c r="W275" t="str">
        <f ca="1">IF(AND(ISNUMBER($W$368),$B$294=1),$W$368,HLOOKUP(INDIRECT(ADDRESS(2,COLUMN())),OFFSET($AT$2,0,0,ROW()-1,40),ROW()-1,FALSE))</f>
        <v/>
      </c>
      <c r="X275" t="str">
        <f ca="1">IF(AND(ISNUMBER($X$368),$B$294=1),$X$368,HLOOKUP(INDIRECT(ADDRESS(2,COLUMN())),OFFSET($AT$2,0,0,ROW()-1,40),ROW()-1,FALSE))</f>
        <v/>
      </c>
      <c r="Y275" t="str">
        <f ca="1">IF(AND(ISNUMBER($Y$368),$B$294=1),$Y$368,HLOOKUP(INDIRECT(ADDRESS(2,COLUMN())),OFFSET($AT$2,0,0,ROW()-1,40),ROW()-1,FALSE))</f>
        <v/>
      </c>
      <c r="Z275" t="str">
        <f ca="1">IF(AND(ISNUMBER($Z$368),$B$294=1),$Z$368,HLOOKUP(INDIRECT(ADDRESS(2,COLUMN())),OFFSET($AT$2,0,0,ROW()-1,40),ROW()-1,FALSE))</f>
        <v/>
      </c>
      <c r="AA275" t="str">
        <f ca="1">IF(AND(ISNUMBER($AA$368),$B$294=1),$AA$368,HLOOKUP(INDIRECT(ADDRESS(2,COLUMN())),OFFSET($AT$2,0,0,ROW()-1,40),ROW()-1,FALSE))</f>
        <v/>
      </c>
      <c r="AB275" t="str">
        <f ca="1">IF(AND(ISNUMBER($AB$368),$B$294=1),$AB$368,HLOOKUP(INDIRECT(ADDRESS(2,COLUMN())),OFFSET($AT$2,0,0,ROW()-1,40),ROW()-1,FALSE))</f>
        <v/>
      </c>
      <c r="AC275" t="str">
        <f ca="1">IF(AND(ISNUMBER($AC$368),$B$294=1),$AC$368,HLOOKUP(INDIRECT(ADDRESS(2,COLUMN())),OFFSET($AT$2,0,0,ROW()-1,40),ROW()-1,FALSE))</f>
        <v/>
      </c>
      <c r="AD275" t="str">
        <f ca="1">IF(AND(ISNUMBER($AD$368),$B$294=1),$AD$368,HLOOKUP(INDIRECT(ADDRESS(2,COLUMN())),OFFSET($AT$2,0,0,ROW()-1,40),ROW()-1,FALSE))</f>
        <v/>
      </c>
      <c r="AE275" t="str">
        <f ca="1">IF(AND(ISNUMBER($AE$368),$B$294=1),$AE$368,HLOOKUP(INDIRECT(ADDRESS(2,COLUMN())),OFFSET($AT$2,0,0,ROW()-1,40),ROW()-1,FALSE))</f>
        <v/>
      </c>
      <c r="AF275" t="str">
        <f ca="1">IF(AND(ISNUMBER($AF$368),$B$294=1),$AF$368,HLOOKUP(INDIRECT(ADDRESS(2,COLUMN())),OFFSET($AT$2,0,0,ROW()-1,40),ROW()-1,FALSE))</f>
        <v/>
      </c>
      <c r="AG275" t="str">
        <f ca="1">IF(AND(ISNUMBER($AG$368),$B$294=1),$AG$368,HLOOKUP(INDIRECT(ADDRESS(2,COLUMN())),OFFSET($AT$2,0,0,ROW()-1,40),ROW()-1,FALSE))</f>
        <v/>
      </c>
      <c r="AH275" t="str">
        <f ca="1">IF(AND(ISNUMBER($AH$368),$B$294=1),$AH$368,HLOOKUP(INDIRECT(ADDRESS(2,COLUMN())),OFFSET($AT$2,0,0,ROW()-1,40),ROW()-1,FALSE))</f>
        <v/>
      </c>
      <c r="AI275" t="str">
        <f ca="1">IF(AND(ISNUMBER($AI$368),$B$294=1),$AI$368,HLOOKUP(INDIRECT(ADDRESS(2,COLUMN())),OFFSET($AT$2,0,0,ROW()-1,40),ROW()-1,FALSE))</f>
        <v/>
      </c>
      <c r="AJ275" t="str">
        <f ca="1">IF(AND(ISNUMBER($AJ$368),$B$294=1),$AJ$368,HLOOKUP(INDIRECT(ADDRESS(2,COLUMN())),OFFSET($AT$2,0,0,ROW()-1,40),ROW()-1,FALSE))</f>
        <v/>
      </c>
      <c r="AK275" t="str">
        <f ca="1">IF(AND(ISNUMBER($AK$368),$B$294=1),$AK$368,HLOOKUP(INDIRECT(ADDRESS(2,COLUMN())),OFFSET($AT$2,0,0,ROW()-1,40),ROW()-1,FALSE))</f>
        <v/>
      </c>
      <c r="AL275" t="str">
        <f ca="1">IF(AND(ISNUMBER($AL$368),$B$294=1),$AL$368,HLOOKUP(INDIRECT(ADDRESS(2,COLUMN())),OFFSET($AT$2,0,0,ROW()-1,40),ROW()-1,FALSE))</f>
        <v/>
      </c>
      <c r="AM275" t="str">
        <f ca="1">IF(AND(ISNUMBER($AM$368),$B$294=1),$AM$368,HLOOKUP(INDIRECT(ADDRESS(2,COLUMN())),OFFSET($AT$2,0,0,ROW()-1,40),ROW()-1,FALSE))</f>
        <v/>
      </c>
      <c r="AN275" t="str">
        <f ca="1">IF(AND(ISNUMBER($AN$368),$B$294=1),$AN$368,HLOOKUP(INDIRECT(ADDRESS(2,COLUMN())),OFFSET($AT$2,0,0,ROW()-1,40),ROW()-1,FALSE))</f>
        <v/>
      </c>
      <c r="AO275" t="str">
        <f ca="1">IF(AND(ISNUMBER($AO$368),$B$294=1),$AO$368,HLOOKUP(INDIRECT(ADDRESS(2,COLUMN())),OFFSET($AT$2,0,0,ROW()-1,40),ROW()-1,FALSE))</f>
        <v/>
      </c>
      <c r="AP275" t="str">
        <f ca="1">IF(AND(ISNUMBER($AP$368),$B$294=1),$AP$368,HLOOKUP(INDIRECT(ADDRESS(2,COLUMN())),OFFSET($AT$2,0,0,ROW()-1,40),ROW()-1,FALSE))</f>
        <v/>
      </c>
      <c r="AQ275" t="str">
        <f ca="1">IF(AND(ISNUMBER($AQ$368),$B$294=1),$AQ$368,HLOOKUP(INDIRECT(ADDRESS(2,COLUMN())),OFFSET($AT$2,0,0,ROW()-1,40),ROW()-1,FALSE))</f>
        <v/>
      </c>
      <c r="AR275" t="str">
        <f ca="1">IF(AND(ISNUMBER($AR$368),$B$294=1),$AR$368,HLOOKUP(INDIRECT(ADDRESS(2,COLUMN())),OFFSET($AT$2,0,0,ROW()-1,40),ROW()-1,FALSE))</f>
        <v/>
      </c>
      <c r="AS275" t="str">
        <f ca="1">IF(AND(ISNUMBER($AS$368),$B$294=1),$AS$368,HLOOKUP(INDIRECT(ADDRESS(2,COLUMN())),OFFSET($AT$2,0,0,ROW()-1,40),ROW()-1,FALSE))</f>
        <v/>
      </c>
      <c r="AT275" t="str">
        <f>""</f>
        <v/>
      </c>
      <c r="AU275" t="str">
        <f>""</f>
        <v/>
      </c>
      <c r="AV275" t="str">
        <f>""</f>
        <v/>
      </c>
      <c r="AW275" t="str">
        <f>""</f>
        <v/>
      </c>
      <c r="AX275" t="str">
        <f>""</f>
        <v/>
      </c>
      <c r="AY275" t="str">
        <f>""</f>
        <v/>
      </c>
      <c r="AZ275" t="str">
        <f>""</f>
        <v/>
      </c>
      <c r="BA275" t="str">
        <f>""</f>
        <v/>
      </c>
      <c r="BB275" t="str">
        <f>""</f>
        <v/>
      </c>
      <c r="BC275" t="str">
        <f>""</f>
        <v/>
      </c>
      <c r="BD275" t="str">
        <f>""</f>
        <v/>
      </c>
      <c r="BE275" t="str">
        <f>""</f>
        <v/>
      </c>
      <c r="BF275" t="str">
        <f>""</f>
        <v/>
      </c>
      <c r="BG275" t="str">
        <f>""</f>
        <v/>
      </c>
      <c r="BH275" t="str">
        <f>""</f>
        <v/>
      </c>
      <c r="BI275" t="str">
        <f>""</f>
        <v/>
      </c>
      <c r="BJ275" t="str">
        <f>""</f>
        <v/>
      </c>
      <c r="BK275" t="str">
        <f>""</f>
        <v/>
      </c>
      <c r="BL275" t="str">
        <f>""</f>
        <v/>
      </c>
      <c r="BM275" t="str">
        <f>""</f>
        <v/>
      </c>
      <c r="BN275" t="str">
        <f>""</f>
        <v/>
      </c>
      <c r="BO275" t="str">
        <f>""</f>
        <v/>
      </c>
      <c r="BP275" t="str">
        <f>""</f>
        <v/>
      </c>
      <c r="BQ275" t="str">
        <f>""</f>
        <v/>
      </c>
      <c r="BR275" t="str">
        <f>""</f>
        <v/>
      </c>
      <c r="BS275" t="str">
        <f>""</f>
        <v/>
      </c>
      <c r="BT275" t="str">
        <f>""</f>
        <v/>
      </c>
      <c r="BU275" t="str">
        <f>""</f>
        <v/>
      </c>
      <c r="BV275" t="str">
        <f>""</f>
        <v/>
      </c>
      <c r="BW275" t="str">
        <f>""</f>
        <v/>
      </c>
      <c r="BX275" t="str">
        <f>""</f>
        <v/>
      </c>
      <c r="BY275" t="str">
        <f>""</f>
        <v/>
      </c>
      <c r="BZ275" t="str">
        <f>""</f>
        <v/>
      </c>
      <c r="CA275" t="str">
        <f>""</f>
        <v/>
      </c>
      <c r="CB275" t="str">
        <f>""</f>
        <v/>
      </c>
      <c r="CC275" t="str">
        <f>""</f>
        <v/>
      </c>
      <c r="CD275" t="str">
        <f>""</f>
        <v/>
      </c>
      <c r="CE275" t="str">
        <f>""</f>
        <v/>
      </c>
      <c r="CF275" t="str">
        <f>""</f>
        <v/>
      </c>
      <c r="CG275" t="str">
        <f>""</f>
        <v/>
      </c>
    </row>
    <row r="276" spans="1:85" x14ac:dyDescent="0.25">
      <c r="A276" t="str">
        <f>"    MAN - Volkswagen Truck &amp; Bus"</f>
        <v xml:space="preserve">    MAN - Volkswagen Truck &amp; Bus</v>
      </c>
      <c r="B276" t="str">
        <f>"VOW GR Equity"</f>
        <v>VOW GR Equity</v>
      </c>
      <c r="C276" t="str">
        <f t="shared" si="25"/>
        <v>X1701</v>
      </c>
      <c r="D276" t="str">
        <f t="shared" si="26"/>
        <v>WARDS_RETAIL_SALES_UNITS</v>
      </c>
      <c r="E276" t="str">
        <f t="shared" si="22"/>
        <v>Dynamic</v>
      </c>
      <c r="F276" t="str">
        <f ca="1">IF(AND(ISNUMBER($F$369),$B$294=1),$F$369,HLOOKUP(INDIRECT(ADDRESS(2,COLUMN())),OFFSET($AT$2,0,0,ROW()-1,40),ROW()-1,FALSE))</f>
        <v/>
      </c>
      <c r="G276" t="str">
        <f ca="1">IF(AND(ISNUMBER($G$369),$B$294=1),$G$369,HLOOKUP(INDIRECT(ADDRESS(2,COLUMN())),OFFSET($AT$2,0,0,ROW()-1,40),ROW()-1,FALSE))</f>
        <v/>
      </c>
      <c r="H276" t="str">
        <f ca="1">IF(AND(ISNUMBER($H$369),$B$294=1),$H$369,HLOOKUP(INDIRECT(ADDRESS(2,COLUMN())),OFFSET($AT$2,0,0,ROW()-1,40),ROW()-1,FALSE))</f>
        <v/>
      </c>
      <c r="I276" t="str">
        <f ca="1">IF(AND(ISNUMBER($I$369),$B$294=1),$I$369,HLOOKUP(INDIRECT(ADDRESS(2,COLUMN())),OFFSET($AT$2,0,0,ROW()-1,40),ROW()-1,FALSE))</f>
        <v/>
      </c>
      <c r="J276" t="str">
        <f ca="1">IF(AND(ISNUMBER($J$369),$B$294=1),$J$369,HLOOKUP(INDIRECT(ADDRESS(2,COLUMN())),OFFSET($AT$2,0,0,ROW()-1,40),ROW()-1,FALSE))</f>
        <v/>
      </c>
      <c r="K276" t="str">
        <f ca="1">IF(AND(ISNUMBER($K$369),$B$294=1),$K$369,HLOOKUP(INDIRECT(ADDRESS(2,COLUMN())),OFFSET($AT$2,0,0,ROW()-1,40),ROW()-1,FALSE))</f>
        <v/>
      </c>
      <c r="L276" t="str">
        <f ca="1">IF(AND(ISNUMBER($L$369),$B$294=1),$L$369,HLOOKUP(INDIRECT(ADDRESS(2,COLUMN())),OFFSET($AT$2,0,0,ROW()-1,40),ROW()-1,FALSE))</f>
        <v/>
      </c>
      <c r="M276" t="str">
        <f ca="1">IF(AND(ISNUMBER($M$369),$B$294=1),$M$369,HLOOKUP(INDIRECT(ADDRESS(2,COLUMN())),OFFSET($AT$2,0,0,ROW()-1,40),ROW()-1,FALSE))</f>
        <v/>
      </c>
      <c r="N276" t="str">
        <f ca="1">IF(AND(ISNUMBER($N$369),$B$294=1),$N$369,HLOOKUP(INDIRECT(ADDRESS(2,COLUMN())),OFFSET($AT$2,0,0,ROW()-1,40),ROW()-1,FALSE))</f>
        <v/>
      </c>
      <c r="O276" t="str">
        <f ca="1">IF(AND(ISNUMBER($O$369),$B$294=1),$O$369,HLOOKUP(INDIRECT(ADDRESS(2,COLUMN())),OFFSET($AT$2,0,0,ROW()-1,40),ROW()-1,FALSE))</f>
        <v/>
      </c>
      <c r="P276">
        <f ca="1">IF(AND(ISNUMBER($P$369),$B$294=1),$P$369,HLOOKUP(INDIRECT(ADDRESS(2,COLUMN())),OFFSET($AT$2,0,0,ROW()-1,40),ROW()-1,FALSE))</f>
        <v>76</v>
      </c>
      <c r="Q276">
        <f ca="1">IF(AND(ISNUMBER($Q$369),$B$294=1),$Q$369,HLOOKUP(INDIRECT(ADDRESS(2,COLUMN())),OFFSET($AT$2,0,0,ROW()-1,40),ROW()-1,FALSE))</f>
        <v>57</v>
      </c>
      <c r="R276">
        <f ca="1">IF(AND(ISNUMBER($R$369),$B$294=1),$R$369,HLOOKUP(INDIRECT(ADDRESS(2,COLUMN())),OFFSET($AT$2,0,0,ROW()-1,40),ROW()-1,FALSE))</f>
        <v>52</v>
      </c>
      <c r="S276">
        <f ca="1">IF(AND(ISNUMBER($S$369),$B$294=1),$S$369,HLOOKUP(INDIRECT(ADDRESS(2,COLUMN())),OFFSET($AT$2,0,0,ROW()-1,40),ROW()-1,FALSE))</f>
        <v>50</v>
      </c>
      <c r="T276">
        <f ca="1">IF(AND(ISNUMBER($T$369),$B$294=1),$T$369,HLOOKUP(INDIRECT(ADDRESS(2,COLUMN())),OFFSET($AT$2,0,0,ROW()-1,40),ROW()-1,FALSE))</f>
        <v>40</v>
      </c>
      <c r="U276">
        <f ca="1">IF(AND(ISNUMBER($U$369),$B$294=1),$U$369,HLOOKUP(INDIRECT(ADDRESS(2,COLUMN())),OFFSET($AT$2,0,0,ROW()-1,40),ROW()-1,FALSE))</f>
        <v>34</v>
      </c>
      <c r="V276">
        <f ca="1">IF(AND(ISNUMBER($V$369),$B$294=1),$V$369,HLOOKUP(INDIRECT(ADDRESS(2,COLUMN())),OFFSET($AT$2,0,0,ROW()-1,40),ROW()-1,FALSE))</f>
        <v>39</v>
      </c>
      <c r="W276">
        <f ca="1">IF(AND(ISNUMBER($W$369),$B$294=1),$W$369,HLOOKUP(INDIRECT(ADDRESS(2,COLUMN())),OFFSET($AT$2,0,0,ROW()-1,40),ROW()-1,FALSE))</f>
        <v>46</v>
      </c>
      <c r="X276">
        <f ca="1">IF(AND(ISNUMBER($X$369),$B$294=1),$X$369,HLOOKUP(INDIRECT(ADDRESS(2,COLUMN())),OFFSET($AT$2,0,0,ROW()-1,40),ROW()-1,FALSE))</f>
        <v>44</v>
      </c>
      <c r="Y276">
        <f ca="1">IF(AND(ISNUMBER($Y$369),$B$294=1),$Y$369,HLOOKUP(INDIRECT(ADDRESS(2,COLUMN())),OFFSET($AT$2,0,0,ROW()-1,40),ROW()-1,FALSE))</f>
        <v>39</v>
      </c>
      <c r="Z276">
        <f ca="1">IF(AND(ISNUMBER($Z$369),$B$294=1),$Z$369,HLOOKUP(INDIRECT(ADDRESS(2,COLUMN())),OFFSET($AT$2,0,0,ROW()-1,40),ROW()-1,FALSE))</f>
        <v>30</v>
      </c>
      <c r="AA276">
        <f ca="1">IF(AND(ISNUMBER($AA$369),$B$294=1),$AA$369,HLOOKUP(INDIRECT(ADDRESS(2,COLUMN())),OFFSET($AT$2,0,0,ROW()-1,40),ROW()-1,FALSE))</f>
        <v>44</v>
      </c>
      <c r="AB276">
        <f ca="1">IF(AND(ISNUMBER($AB$369),$B$294=1),$AB$369,HLOOKUP(INDIRECT(ADDRESS(2,COLUMN())),OFFSET($AT$2,0,0,ROW()-1,40),ROW()-1,FALSE))</f>
        <v>74</v>
      </c>
      <c r="AC276">
        <f ca="1">IF(AND(ISNUMBER($AC$369),$B$294=1),$AC$369,HLOOKUP(INDIRECT(ADDRESS(2,COLUMN())),OFFSET($AT$2,0,0,ROW()-1,40),ROW()-1,FALSE))</f>
        <v>59</v>
      </c>
      <c r="AD276">
        <f ca="1">IF(AND(ISNUMBER($AD$369),$B$294=1),$AD$369,HLOOKUP(INDIRECT(ADDRESS(2,COLUMN())),OFFSET($AT$2,0,0,ROW()-1,40),ROW()-1,FALSE))</f>
        <v>55</v>
      </c>
      <c r="AE276">
        <f ca="1">IF(AND(ISNUMBER($AE$369),$B$294=1),$AE$369,HLOOKUP(INDIRECT(ADDRESS(2,COLUMN())),OFFSET($AT$2,0,0,ROW()-1,40),ROW()-1,FALSE))</f>
        <v>52</v>
      </c>
      <c r="AF276">
        <f ca="1">IF(AND(ISNUMBER($AF$369),$B$294=1),$AF$369,HLOOKUP(INDIRECT(ADDRESS(2,COLUMN())),OFFSET($AT$2,0,0,ROW()-1,40),ROW()-1,FALSE))</f>
        <v>52</v>
      </c>
      <c r="AG276">
        <f ca="1">IF(AND(ISNUMBER($AG$369),$B$294=1),$AG$369,HLOOKUP(INDIRECT(ADDRESS(2,COLUMN())),OFFSET($AT$2,0,0,ROW()-1,40),ROW()-1,FALSE))</f>
        <v>52</v>
      </c>
      <c r="AH276">
        <f ca="1">IF(AND(ISNUMBER($AH$369),$B$294=1),$AH$369,HLOOKUP(INDIRECT(ADDRESS(2,COLUMN())),OFFSET($AT$2,0,0,ROW()-1,40),ROW()-1,FALSE))</f>
        <v>50</v>
      </c>
      <c r="AI276">
        <f ca="1">IF(AND(ISNUMBER($AI$369),$B$294=1),$AI$369,HLOOKUP(INDIRECT(ADDRESS(2,COLUMN())),OFFSET($AT$2,0,0,ROW()-1,40),ROW()-1,FALSE))</f>
        <v>46</v>
      </c>
      <c r="AJ276">
        <f ca="1">IF(AND(ISNUMBER($AJ$369),$B$294=1),$AJ$369,HLOOKUP(INDIRECT(ADDRESS(2,COLUMN())),OFFSET($AT$2,0,0,ROW()-1,40),ROW()-1,FALSE))</f>
        <v>44</v>
      </c>
      <c r="AK276">
        <f ca="1">IF(AND(ISNUMBER($AK$369),$B$294=1),$AK$369,HLOOKUP(INDIRECT(ADDRESS(2,COLUMN())),OFFSET($AT$2,0,0,ROW()-1,40),ROW()-1,FALSE))</f>
        <v>57</v>
      </c>
      <c r="AL276">
        <f ca="1">IF(AND(ISNUMBER($AL$369),$B$294=1),$AL$369,HLOOKUP(INDIRECT(ADDRESS(2,COLUMN())),OFFSET($AT$2,0,0,ROW()-1,40),ROW()-1,FALSE))</f>
        <v>54</v>
      </c>
      <c r="AM276">
        <f ca="1">IF(AND(ISNUMBER($AM$369),$B$294=1),$AM$369,HLOOKUP(INDIRECT(ADDRESS(2,COLUMN())),OFFSET($AT$2,0,0,ROW()-1,40),ROW()-1,FALSE))</f>
        <v>57</v>
      </c>
      <c r="AN276">
        <f ca="1">IF(AND(ISNUMBER($AN$369),$B$294=1),$AN$369,HLOOKUP(INDIRECT(ADDRESS(2,COLUMN())),OFFSET($AT$2,0,0,ROW()-1,40),ROW()-1,FALSE))</f>
        <v>74</v>
      </c>
      <c r="AO276">
        <f ca="1">IF(AND(ISNUMBER($AO$369),$B$294=1),$AO$369,HLOOKUP(INDIRECT(ADDRESS(2,COLUMN())),OFFSET($AT$2,0,0,ROW()-1,40),ROW()-1,FALSE))</f>
        <v>72</v>
      </c>
      <c r="AP276">
        <f ca="1">IF(AND(ISNUMBER($AP$369),$B$294=1),$AP$369,HLOOKUP(INDIRECT(ADDRESS(2,COLUMN())),OFFSET($AT$2,0,0,ROW()-1,40),ROW()-1,FALSE))</f>
        <v>75</v>
      </c>
      <c r="AQ276">
        <f ca="1">IF(AND(ISNUMBER($AQ$369),$B$294=1),$AQ$369,HLOOKUP(INDIRECT(ADDRESS(2,COLUMN())),OFFSET($AT$2,0,0,ROW()-1,40),ROW()-1,FALSE))</f>
        <v>28</v>
      </c>
      <c r="AR276">
        <f ca="1">IF(AND(ISNUMBER($AR$369),$B$294=1),$AR$369,HLOOKUP(INDIRECT(ADDRESS(2,COLUMN())),OFFSET($AT$2,0,0,ROW()-1,40),ROW()-1,FALSE))</f>
        <v>26</v>
      </c>
      <c r="AS276">
        <f ca="1">IF(AND(ISNUMBER($AS$369),$B$294=1),$AS$369,HLOOKUP(INDIRECT(ADDRESS(2,COLUMN())),OFFSET($AT$2,0,0,ROW()-1,40),ROW()-1,FALSE))</f>
        <v>19</v>
      </c>
      <c r="AT276" t="str">
        <f>""</f>
        <v/>
      </c>
      <c r="AU276" t="str">
        <f>""</f>
        <v/>
      </c>
      <c r="AV276" t="str">
        <f>""</f>
        <v/>
      </c>
      <c r="AW276" t="str">
        <f>""</f>
        <v/>
      </c>
      <c r="AX276" t="str">
        <f>""</f>
        <v/>
      </c>
      <c r="AY276" t="str">
        <f>""</f>
        <v/>
      </c>
      <c r="AZ276" t="str">
        <f>""</f>
        <v/>
      </c>
      <c r="BA276" t="str">
        <f>""</f>
        <v/>
      </c>
      <c r="BB276" t="str">
        <f>""</f>
        <v/>
      </c>
      <c r="BC276" t="str">
        <f>""</f>
        <v/>
      </c>
      <c r="BD276">
        <f>76</f>
        <v>76</v>
      </c>
      <c r="BE276">
        <f>57</f>
        <v>57</v>
      </c>
      <c r="BF276">
        <f>52</f>
        <v>52</v>
      </c>
      <c r="BG276">
        <f>50</f>
        <v>50</v>
      </c>
      <c r="BH276">
        <f>40</f>
        <v>40</v>
      </c>
      <c r="BI276">
        <f>34</f>
        <v>34</v>
      </c>
      <c r="BJ276">
        <f>39</f>
        <v>39</v>
      </c>
      <c r="BK276">
        <f>46</f>
        <v>46</v>
      </c>
      <c r="BL276">
        <f>44</f>
        <v>44</v>
      </c>
      <c r="BM276">
        <f>39</f>
        <v>39</v>
      </c>
      <c r="BN276">
        <f>30</f>
        <v>30</v>
      </c>
      <c r="BO276">
        <f>44</f>
        <v>44</v>
      </c>
      <c r="BP276">
        <f>74</f>
        <v>74</v>
      </c>
      <c r="BQ276">
        <f>59</f>
        <v>59</v>
      </c>
      <c r="BR276">
        <f>55</f>
        <v>55</v>
      </c>
      <c r="BS276">
        <f>52</f>
        <v>52</v>
      </c>
      <c r="BT276">
        <f>52</f>
        <v>52</v>
      </c>
      <c r="BU276">
        <f>52</f>
        <v>52</v>
      </c>
      <c r="BV276">
        <f>50</f>
        <v>50</v>
      </c>
      <c r="BW276">
        <f>46</f>
        <v>46</v>
      </c>
      <c r="BX276">
        <f>44</f>
        <v>44</v>
      </c>
      <c r="BY276">
        <f>57</f>
        <v>57</v>
      </c>
      <c r="BZ276">
        <f>54</f>
        <v>54</v>
      </c>
      <c r="CA276">
        <f>57</f>
        <v>57</v>
      </c>
      <c r="CB276">
        <f>74</f>
        <v>74</v>
      </c>
      <c r="CC276">
        <f>72</f>
        <v>72</v>
      </c>
      <c r="CD276">
        <f>75</f>
        <v>75</v>
      </c>
      <c r="CE276">
        <f>28</f>
        <v>28</v>
      </c>
      <c r="CF276">
        <f>26</f>
        <v>26</v>
      </c>
      <c r="CG276">
        <f>19</f>
        <v>19</v>
      </c>
    </row>
    <row r="277" spans="1:85" x14ac:dyDescent="0.25">
      <c r="A277" t="str">
        <f>"    Scania"</f>
        <v xml:space="preserve">    Scania</v>
      </c>
      <c r="B277" t="str">
        <f>"SCVB SS Equity"</f>
        <v>SCVB SS Equity</v>
      </c>
      <c r="C277" t="str">
        <f t="shared" si="25"/>
        <v>X1701</v>
      </c>
      <c r="D277" t="str">
        <f t="shared" si="26"/>
        <v>WARDS_RETAIL_SALES_UNITS</v>
      </c>
      <c r="E277" t="str">
        <f t="shared" si="22"/>
        <v>Dynamic</v>
      </c>
      <c r="F277" t="str">
        <f ca="1">IF(AND(ISNUMBER($F$370),$B$294=1),$F$370,HLOOKUP(INDIRECT(ADDRESS(2,COLUMN())),OFFSET($AT$2,0,0,ROW()-1,40),ROW()-1,FALSE))</f>
        <v/>
      </c>
      <c r="G277" t="str">
        <f ca="1">IF(AND(ISNUMBER($G$370),$B$294=1),$G$370,HLOOKUP(INDIRECT(ADDRESS(2,COLUMN())),OFFSET($AT$2,0,0,ROW()-1,40),ROW()-1,FALSE))</f>
        <v/>
      </c>
      <c r="H277" t="str">
        <f ca="1">IF(AND(ISNUMBER($H$370),$B$294=1),$H$370,HLOOKUP(INDIRECT(ADDRESS(2,COLUMN())),OFFSET($AT$2,0,0,ROW()-1,40),ROW()-1,FALSE))</f>
        <v/>
      </c>
      <c r="I277" t="str">
        <f ca="1">IF(AND(ISNUMBER($I$370),$B$294=1),$I$370,HLOOKUP(INDIRECT(ADDRESS(2,COLUMN())),OFFSET($AT$2,0,0,ROW()-1,40),ROW()-1,FALSE))</f>
        <v/>
      </c>
      <c r="J277" t="str">
        <f ca="1">IF(AND(ISNUMBER($J$370),$B$294=1),$J$370,HLOOKUP(INDIRECT(ADDRESS(2,COLUMN())),OFFSET($AT$2,0,0,ROW()-1,40),ROW()-1,FALSE))</f>
        <v/>
      </c>
      <c r="K277" t="str">
        <f ca="1">IF(AND(ISNUMBER($K$370),$B$294=1),$K$370,HLOOKUP(INDIRECT(ADDRESS(2,COLUMN())),OFFSET($AT$2,0,0,ROW()-1,40),ROW()-1,FALSE))</f>
        <v/>
      </c>
      <c r="L277" t="str">
        <f ca="1">IF(AND(ISNUMBER($L$370),$B$294=1),$L$370,HLOOKUP(INDIRECT(ADDRESS(2,COLUMN())),OFFSET($AT$2,0,0,ROW()-1,40),ROW()-1,FALSE))</f>
        <v/>
      </c>
      <c r="M277" t="str">
        <f ca="1">IF(AND(ISNUMBER($M$370),$B$294=1),$M$370,HLOOKUP(INDIRECT(ADDRESS(2,COLUMN())),OFFSET($AT$2,0,0,ROW()-1,40),ROW()-1,FALSE))</f>
        <v/>
      </c>
      <c r="N277" t="str">
        <f ca="1">IF(AND(ISNUMBER($N$370),$B$294=1),$N$370,HLOOKUP(INDIRECT(ADDRESS(2,COLUMN())),OFFSET($AT$2,0,0,ROW()-1,40),ROW()-1,FALSE))</f>
        <v/>
      </c>
      <c r="O277" t="str">
        <f ca="1">IF(AND(ISNUMBER($O$370),$B$294=1),$O$370,HLOOKUP(INDIRECT(ADDRESS(2,COLUMN())),OFFSET($AT$2,0,0,ROW()-1,40),ROW()-1,FALSE))</f>
        <v/>
      </c>
      <c r="P277" t="str">
        <f ca="1">IF(AND(ISNUMBER($P$370),$B$294=1),$P$370,HLOOKUP(INDIRECT(ADDRESS(2,COLUMN())),OFFSET($AT$2,0,0,ROW()-1,40),ROW()-1,FALSE))</f>
        <v/>
      </c>
      <c r="Q277" t="str">
        <f ca="1">IF(AND(ISNUMBER($Q$370),$B$294=1),$Q$370,HLOOKUP(INDIRECT(ADDRESS(2,COLUMN())),OFFSET($AT$2,0,0,ROW()-1,40),ROW()-1,FALSE))</f>
        <v/>
      </c>
      <c r="R277" t="str">
        <f ca="1">IF(AND(ISNUMBER($R$370),$B$294=1),$R$370,HLOOKUP(INDIRECT(ADDRESS(2,COLUMN())),OFFSET($AT$2,0,0,ROW()-1,40),ROW()-1,FALSE))</f>
        <v/>
      </c>
      <c r="S277" t="str">
        <f ca="1">IF(AND(ISNUMBER($S$370),$B$294=1),$S$370,HLOOKUP(INDIRECT(ADDRESS(2,COLUMN())),OFFSET($AT$2,0,0,ROW()-1,40),ROW()-1,FALSE))</f>
        <v/>
      </c>
      <c r="T277" t="str">
        <f ca="1">IF(AND(ISNUMBER($T$370),$B$294=1),$T$370,HLOOKUP(INDIRECT(ADDRESS(2,COLUMN())),OFFSET($AT$2,0,0,ROW()-1,40),ROW()-1,FALSE))</f>
        <v/>
      </c>
      <c r="U277" t="str">
        <f ca="1">IF(AND(ISNUMBER($U$370),$B$294=1),$U$370,HLOOKUP(INDIRECT(ADDRESS(2,COLUMN())),OFFSET($AT$2,0,0,ROW()-1,40),ROW()-1,FALSE))</f>
        <v/>
      </c>
      <c r="V277" t="str">
        <f ca="1">IF(AND(ISNUMBER($V$370),$B$294=1),$V$370,HLOOKUP(INDIRECT(ADDRESS(2,COLUMN())),OFFSET($AT$2,0,0,ROW()-1,40),ROW()-1,FALSE))</f>
        <v/>
      </c>
      <c r="W277" t="str">
        <f ca="1">IF(AND(ISNUMBER($W$370),$B$294=1),$W$370,HLOOKUP(INDIRECT(ADDRESS(2,COLUMN())),OFFSET($AT$2,0,0,ROW()-1,40),ROW()-1,FALSE))</f>
        <v/>
      </c>
      <c r="X277" t="str">
        <f ca="1">IF(AND(ISNUMBER($X$370),$B$294=1),$X$370,HLOOKUP(INDIRECT(ADDRESS(2,COLUMN())),OFFSET($AT$2,0,0,ROW()-1,40),ROW()-1,FALSE))</f>
        <v/>
      </c>
      <c r="Y277" t="str">
        <f ca="1">IF(AND(ISNUMBER($Y$370),$B$294=1),$Y$370,HLOOKUP(INDIRECT(ADDRESS(2,COLUMN())),OFFSET($AT$2,0,0,ROW()-1,40),ROW()-1,FALSE))</f>
        <v/>
      </c>
      <c r="Z277" t="str">
        <f ca="1">IF(AND(ISNUMBER($Z$370),$B$294=1),$Z$370,HLOOKUP(INDIRECT(ADDRESS(2,COLUMN())),OFFSET($AT$2,0,0,ROW()-1,40),ROW()-1,FALSE))</f>
        <v/>
      </c>
      <c r="AA277" t="str">
        <f ca="1">IF(AND(ISNUMBER($AA$370),$B$294=1),$AA$370,HLOOKUP(INDIRECT(ADDRESS(2,COLUMN())),OFFSET($AT$2,0,0,ROW()-1,40),ROW()-1,FALSE))</f>
        <v/>
      </c>
      <c r="AB277" t="str">
        <f ca="1">IF(AND(ISNUMBER($AB$370),$B$294=1),$AB$370,HLOOKUP(INDIRECT(ADDRESS(2,COLUMN())),OFFSET($AT$2,0,0,ROW()-1,40),ROW()-1,FALSE))</f>
        <v/>
      </c>
      <c r="AC277" t="str">
        <f ca="1">IF(AND(ISNUMBER($AC$370),$B$294=1),$AC$370,HLOOKUP(INDIRECT(ADDRESS(2,COLUMN())),OFFSET($AT$2,0,0,ROW()-1,40),ROW()-1,FALSE))</f>
        <v/>
      </c>
      <c r="AD277" t="str">
        <f ca="1">IF(AND(ISNUMBER($AD$370),$B$294=1),$AD$370,HLOOKUP(INDIRECT(ADDRESS(2,COLUMN())),OFFSET($AT$2,0,0,ROW()-1,40),ROW()-1,FALSE))</f>
        <v/>
      </c>
      <c r="AE277" t="str">
        <f ca="1">IF(AND(ISNUMBER($AE$370),$B$294=1),$AE$370,HLOOKUP(INDIRECT(ADDRESS(2,COLUMN())),OFFSET($AT$2,0,0,ROW()-1,40),ROW()-1,FALSE))</f>
        <v/>
      </c>
      <c r="AF277" t="str">
        <f ca="1">IF(AND(ISNUMBER($AF$370),$B$294=1),$AF$370,HLOOKUP(INDIRECT(ADDRESS(2,COLUMN())),OFFSET($AT$2,0,0,ROW()-1,40),ROW()-1,FALSE))</f>
        <v/>
      </c>
      <c r="AG277" t="str">
        <f ca="1">IF(AND(ISNUMBER($AG$370),$B$294=1),$AG$370,HLOOKUP(INDIRECT(ADDRESS(2,COLUMN())),OFFSET($AT$2,0,0,ROW()-1,40),ROW()-1,FALSE))</f>
        <v/>
      </c>
      <c r="AH277" t="str">
        <f ca="1">IF(AND(ISNUMBER($AH$370),$B$294=1),$AH$370,HLOOKUP(INDIRECT(ADDRESS(2,COLUMN())),OFFSET($AT$2,0,0,ROW()-1,40),ROW()-1,FALSE))</f>
        <v/>
      </c>
      <c r="AI277" t="str">
        <f ca="1">IF(AND(ISNUMBER($AI$370),$B$294=1),$AI$370,HLOOKUP(INDIRECT(ADDRESS(2,COLUMN())),OFFSET($AT$2,0,0,ROW()-1,40),ROW()-1,FALSE))</f>
        <v/>
      </c>
      <c r="AJ277" t="str">
        <f ca="1">IF(AND(ISNUMBER($AJ$370),$B$294=1),$AJ$370,HLOOKUP(INDIRECT(ADDRESS(2,COLUMN())),OFFSET($AT$2,0,0,ROW()-1,40),ROW()-1,FALSE))</f>
        <v/>
      </c>
      <c r="AK277" t="str">
        <f ca="1">IF(AND(ISNUMBER($AK$370),$B$294=1),$AK$370,HLOOKUP(INDIRECT(ADDRESS(2,COLUMN())),OFFSET($AT$2,0,0,ROW()-1,40),ROW()-1,FALSE))</f>
        <v/>
      </c>
      <c r="AL277" t="str">
        <f ca="1">IF(AND(ISNUMBER($AL$370),$B$294=1),$AL$370,HLOOKUP(INDIRECT(ADDRESS(2,COLUMN())),OFFSET($AT$2,0,0,ROW()-1,40),ROW()-1,FALSE))</f>
        <v/>
      </c>
      <c r="AM277" t="str">
        <f ca="1">IF(AND(ISNUMBER($AM$370),$B$294=1),$AM$370,HLOOKUP(INDIRECT(ADDRESS(2,COLUMN())),OFFSET($AT$2,0,0,ROW()-1,40),ROW()-1,FALSE))</f>
        <v/>
      </c>
      <c r="AN277" t="str">
        <f ca="1">IF(AND(ISNUMBER($AN$370),$B$294=1),$AN$370,HLOOKUP(INDIRECT(ADDRESS(2,COLUMN())),OFFSET($AT$2,0,0,ROW()-1,40),ROW()-1,FALSE))</f>
        <v/>
      </c>
      <c r="AO277" t="str">
        <f ca="1">IF(AND(ISNUMBER($AO$370),$B$294=1),$AO$370,HLOOKUP(INDIRECT(ADDRESS(2,COLUMN())),OFFSET($AT$2,0,0,ROW()-1,40),ROW()-1,FALSE))</f>
        <v/>
      </c>
      <c r="AP277" t="str">
        <f ca="1">IF(AND(ISNUMBER($AP$370),$B$294=1),$AP$370,HLOOKUP(INDIRECT(ADDRESS(2,COLUMN())),OFFSET($AT$2,0,0,ROW()-1,40),ROW()-1,FALSE))</f>
        <v/>
      </c>
      <c r="AQ277" t="str">
        <f ca="1">IF(AND(ISNUMBER($AQ$370),$B$294=1),$AQ$370,HLOOKUP(INDIRECT(ADDRESS(2,COLUMN())),OFFSET($AT$2,0,0,ROW()-1,40),ROW()-1,FALSE))</f>
        <v/>
      </c>
      <c r="AR277" t="str">
        <f ca="1">IF(AND(ISNUMBER($AR$370),$B$294=1),$AR$370,HLOOKUP(INDIRECT(ADDRESS(2,COLUMN())),OFFSET($AT$2,0,0,ROW()-1,40),ROW()-1,FALSE))</f>
        <v/>
      </c>
      <c r="AS277" t="str">
        <f ca="1">IF(AND(ISNUMBER($AS$370),$B$294=1),$AS$370,HLOOKUP(INDIRECT(ADDRESS(2,COLUMN())),OFFSET($AT$2,0,0,ROW()-1,40),ROW()-1,FALSE))</f>
        <v/>
      </c>
      <c r="AT277" t="str">
        <f>""</f>
        <v/>
      </c>
      <c r="AU277" t="str">
        <f>""</f>
        <v/>
      </c>
      <c r="AV277" t="str">
        <f>""</f>
        <v/>
      </c>
      <c r="AW277" t="str">
        <f>""</f>
        <v/>
      </c>
      <c r="AX277" t="str">
        <f>""</f>
        <v/>
      </c>
      <c r="AY277" t="str">
        <f>""</f>
        <v/>
      </c>
      <c r="AZ277" t="str">
        <f>""</f>
        <v/>
      </c>
      <c r="BA277" t="str">
        <f>""</f>
        <v/>
      </c>
      <c r="BB277" t="str">
        <f>""</f>
        <v/>
      </c>
      <c r="BC277" t="str">
        <f>""</f>
        <v/>
      </c>
      <c r="BD277" t="str">
        <f>""</f>
        <v/>
      </c>
      <c r="BE277" t="str">
        <f>""</f>
        <v/>
      </c>
      <c r="BF277" t="str">
        <f>""</f>
        <v/>
      </c>
      <c r="BG277" t="str">
        <f>""</f>
        <v/>
      </c>
      <c r="BH277" t="str">
        <f>""</f>
        <v/>
      </c>
      <c r="BI277" t="str">
        <f>""</f>
        <v/>
      </c>
      <c r="BJ277" t="str">
        <f>""</f>
        <v/>
      </c>
      <c r="BK277" t="str">
        <f>""</f>
        <v/>
      </c>
      <c r="BL277" t="str">
        <f>""</f>
        <v/>
      </c>
      <c r="BM277" t="str">
        <f>""</f>
        <v/>
      </c>
      <c r="BN277" t="str">
        <f>""</f>
        <v/>
      </c>
      <c r="BO277" t="str">
        <f>""</f>
        <v/>
      </c>
      <c r="BP277" t="str">
        <f>""</f>
        <v/>
      </c>
      <c r="BQ277" t="str">
        <f>""</f>
        <v/>
      </c>
      <c r="BR277" t="str">
        <f>""</f>
        <v/>
      </c>
      <c r="BS277" t="str">
        <f>""</f>
        <v/>
      </c>
      <c r="BT277" t="str">
        <f>""</f>
        <v/>
      </c>
      <c r="BU277" t="str">
        <f>""</f>
        <v/>
      </c>
      <c r="BV277" t="str">
        <f>""</f>
        <v/>
      </c>
      <c r="BW277" t="str">
        <f>""</f>
        <v/>
      </c>
      <c r="BX277" t="str">
        <f>""</f>
        <v/>
      </c>
      <c r="BY277" t="str">
        <f>""</f>
        <v/>
      </c>
      <c r="BZ277" t="str">
        <f>""</f>
        <v/>
      </c>
      <c r="CA277" t="str">
        <f>""</f>
        <v/>
      </c>
      <c r="CB277" t="str">
        <f>""</f>
        <v/>
      </c>
      <c r="CC277" t="str">
        <f>""</f>
        <v/>
      </c>
      <c r="CD277" t="str">
        <f>""</f>
        <v/>
      </c>
      <c r="CE277" t="str">
        <f>""</f>
        <v/>
      </c>
      <c r="CF277" t="str">
        <f>""</f>
        <v/>
      </c>
      <c r="CG277" t="str">
        <f>""</f>
        <v/>
      </c>
    </row>
    <row r="278" spans="1:85" x14ac:dyDescent="0.25">
      <c r="A278" t="str">
        <f>"    Unspecified"</f>
        <v xml:space="preserve">    Unspecified</v>
      </c>
      <c r="B278" t="str">
        <f>"7205 JP Equity"</f>
        <v>7205 JP Equity</v>
      </c>
      <c r="E278" t="str">
        <f>"Expression"</f>
        <v>Expression</v>
      </c>
      <c r="F278">
        <f t="shared" ref="F278:AS278" ca="1" si="27">HLOOKUP(INDIRECT(ADDRESS(2,COLUMN())),OFFSET($AT$2,0,0,ROW()-1,40),ROW()-1,FALSE)</f>
        <v>474</v>
      </c>
      <c r="G278">
        <f t="shared" ca="1" si="27"/>
        <v>498</v>
      </c>
      <c r="H278">
        <f t="shared" ca="1" si="27"/>
        <v>515</v>
      </c>
      <c r="I278">
        <f t="shared" ca="1" si="27"/>
        <v>468</v>
      </c>
      <c r="J278">
        <f t="shared" ca="1" si="27"/>
        <v>518</v>
      </c>
      <c r="K278">
        <f t="shared" ca="1" si="27"/>
        <v>432</v>
      </c>
      <c r="L278">
        <f t="shared" ca="1" si="27"/>
        <v>437</v>
      </c>
      <c r="M278">
        <f t="shared" ca="1" si="27"/>
        <v>500</v>
      </c>
      <c r="N278">
        <f t="shared" ca="1" si="27"/>
        <v>433</v>
      </c>
      <c r="O278">
        <f t="shared" ca="1" si="27"/>
        <v>448</v>
      </c>
      <c r="P278">
        <f t="shared" ca="1" si="27"/>
        <v>0</v>
      </c>
      <c r="Q278">
        <f t="shared" ca="1" si="27"/>
        <v>0</v>
      </c>
      <c r="R278">
        <f t="shared" ca="1" si="27"/>
        <v>0</v>
      </c>
      <c r="S278">
        <f t="shared" ca="1" si="27"/>
        <v>0</v>
      </c>
      <c r="T278">
        <f t="shared" ca="1" si="27"/>
        <v>0</v>
      </c>
      <c r="U278">
        <f t="shared" ca="1" si="27"/>
        <v>0</v>
      </c>
      <c r="V278">
        <f t="shared" ca="1" si="27"/>
        <v>0</v>
      </c>
      <c r="W278">
        <f t="shared" ca="1" si="27"/>
        <v>0</v>
      </c>
      <c r="X278">
        <f t="shared" ca="1" si="27"/>
        <v>0</v>
      </c>
      <c r="Y278">
        <f t="shared" ca="1" si="27"/>
        <v>0</v>
      </c>
      <c r="Z278">
        <f t="shared" ca="1" si="27"/>
        <v>0</v>
      </c>
      <c r="AA278">
        <f t="shared" ca="1" si="27"/>
        <v>0</v>
      </c>
      <c r="AB278">
        <f t="shared" ca="1" si="27"/>
        <v>0</v>
      </c>
      <c r="AC278">
        <f t="shared" ca="1" si="27"/>
        <v>0</v>
      </c>
      <c r="AD278">
        <f t="shared" ca="1" si="27"/>
        <v>0</v>
      </c>
      <c r="AE278">
        <f t="shared" ca="1" si="27"/>
        <v>0</v>
      </c>
      <c r="AF278">
        <f t="shared" ca="1" si="27"/>
        <v>0</v>
      </c>
      <c r="AG278">
        <f t="shared" ca="1" si="27"/>
        <v>0</v>
      </c>
      <c r="AH278">
        <f t="shared" ca="1" si="27"/>
        <v>0</v>
      </c>
      <c r="AI278">
        <f t="shared" ca="1" si="27"/>
        <v>0</v>
      </c>
      <c r="AJ278">
        <f t="shared" ca="1" si="27"/>
        <v>0</v>
      </c>
      <c r="AK278">
        <f t="shared" ca="1" si="27"/>
        <v>0</v>
      </c>
      <c r="AL278">
        <f t="shared" ca="1" si="27"/>
        <v>0</v>
      </c>
      <c r="AM278">
        <f t="shared" ca="1" si="27"/>
        <v>0</v>
      </c>
      <c r="AN278">
        <f t="shared" ca="1" si="27"/>
        <v>0</v>
      </c>
      <c r="AO278">
        <f t="shared" ca="1" si="27"/>
        <v>0</v>
      </c>
      <c r="AP278">
        <f t="shared" ca="1" si="27"/>
        <v>0</v>
      </c>
      <c r="AQ278">
        <f t="shared" ca="1" si="27"/>
        <v>0</v>
      </c>
      <c r="AR278">
        <f t="shared" ca="1" si="27"/>
        <v>0</v>
      </c>
      <c r="AS278">
        <f t="shared" ca="1" si="27"/>
        <v>0</v>
      </c>
      <c r="AT278">
        <f>474</f>
        <v>474</v>
      </c>
      <c r="AU278">
        <f>498</f>
        <v>498</v>
      </c>
      <c r="AV278">
        <f>515</f>
        <v>515</v>
      </c>
      <c r="AW278">
        <f>468</f>
        <v>468</v>
      </c>
      <c r="AX278">
        <f>518</f>
        <v>518</v>
      </c>
      <c r="AY278">
        <f>432</f>
        <v>432</v>
      </c>
      <c r="AZ278">
        <f>437</f>
        <v>437</v>
      </c>
      <c r="BA278">
        <f>500</f>
        <v>500</v>
      </c>
      <c r="BB278">
        <f>433</f>
        <v>433</v>
      </c>
      <c r="BC278">
        <f>448</f>
        <v>448</v>
      </c>
      <c r="BD278">
        <f>0</f>
        <v>0</v>
      </c>
      <c r="BE278">
        <f>0</f>
        <v>0</v>
      </c>
      <c r="BF278">
        <f>0</f>
        <v>0</v>
      </c>
      <c r="BG278">
        <f>0</f>
        <v>0</v>
      </c>
      <c r="BH278">
        <f>0</f>
        <v>0</v>
      </c>
      <c r="BI278">
        <f>0</f>
        <v>0</v>
      </c>
      <c r="BJ278">
        <f>0</f>
        <v>0</v>
      </c>
      <c r="BK278">
        <f>0</f>
        <v>0</v>
      </c>
      <c r="BL278">
        <f>0</f>
        <v>0</v>
      </c>
      <c r="BM278">
        <f>0</f>
        <v>0</v>
      </c>
      <c r="BN278">
        <f>0</f>
        <v>0</v>
      </c>
      <c r="BO278">
        <f>0</f>
        <v>0</v>
      </c>
      <c r="BP278">
        <f>0</f>
        <v>0</v>
      </c>
      <c r="BQ278">
        <f>0</f>
        <v>0</v>
      </c>
      <c r="BR278">
        <f>0</f>
        <v>0</v>
      </c>
      <c r="BS278">
        <f>0</f>
        <v>0</v>
      </c>
      <c r="BT278">
        <f>0</f>
        <v>0</v>
      </c>
      <c r="BU278">
        <f>0</f>
        <v>0</v>
      </c>
      <c r="BV278">
        <f>0</f>
        <v>0</v>
      </c>
      <c r="BW278">
        <f>0</f>
        <v>0</v>
      </c>
      <c r="BX278">
        <f>0</f>
        <v>0</v>
      </c>
      <c r="BY278">
        <f>0</f>
        <v>0</v>
      </c>
      <c r="BZ278">
        <f>0</f>
        <v>0</v>
      </c>
      <c r="CA278">
        <f>0</f>
        <v>0</v>
      </c>
      <c r="CB278">
        <f>0</f>
        <v>0</v>
      </c>
      <c r="CC278">
        <f>0</f>
        <v>0</v>
      </c>
      <c r="CD278">
        <f>0</f>
        <v>0</v>
      </c>
      <c r="CE278">
        <f>0</f>
        <v>0</v>
      </c>
      <c r="CF278">
        <f>0</f>
        <v>0</v>
      </c>
      <c r="CG278">
        <f>0</f>
        <v>0</v>
      </c>
    </row>
    <row r="279" spans="1:85" x14ac:dyDescent="0.25">
      <c r="AT279" t="str">
        <f>""</f>
        <v/>
      </c>
      <c r="AU279" t="str">
        <f>""</f>
        <v/>
      </c>
      <c r="AV279" t="str">
        <f>""</f>
        <v/>
      </c>
      <c r="AW279" t="str">
        <f>""</f>
        <v/>
      </c>
      <c r="AX279" t="str">
        <f>""</f>
        <v/>
      </c>
      <c r="AY279" t="str">
        <f>""</f>
        <v/>
      </c>
      <c r="AZ279" t="str">
        <f>""</f>
        <v/>
      </c>
      <c r="BA279" t="str">
        <f>""</f>
        <v/>
      </c>
      <c r="BB279" t="str">
        <f>""</f>
        <v/>
      </c>
      <c r="BC279" t="str">
        <f>""</f>
        <v/>
      </c>
      <c r="BD279" t="str">
        <f>""</f>
        <v/>
      </c>
      <c r="BE279" t="str">
        <f>""</f>
        <v/>
      </c>
      <c r="BF279" t="str">
        <f>""</f>
        <v/>
      </c>
      <c r="BG279" t="str">
        <f>""</f>
        <v/>
      </c>
      <c r="BH279" t="str">
        <f>""</f>
        <v/>
      </c>
      <c r="BI279" t="str">
        <f>""</f>
        <v/>
      </c>
      <c r="BJ279" t="str">
        <f>""</f>
        <v/>
      </c>
      <c r="BK279" t="str">
        <f>""</f>
        <v/>
      </c>
      <c r="BL279" t="str">
        <f>""</f>
        <v/>
      </c>
      <c r="BM279" t="str">
        <f>""</f>
        <v/>
      </c>
      <c r="BN279" t="str">
        <f>""</f>
        <v/>
      </c>
      <c r="BO279" t="str">
        <f>""</f>
        <v/>
      </c>
      <c r="BP279" t="str">
        <f>""</f>
        <v/>
      </c>
      <c r="BQ279" t="str">
        <f>""</f>
        <v/>
      </c>
      <c r="BR279" t="str">
        <f>""</f>
        <v/>
      </c>
      <c r="BS279" t="str">
        <f>""</f>
        <v/>
      </c>
      <c r="BT279" t="str">
        <f>""</f>
        <v/>
      </c>
      <c r="BU279" t="str">
        <f>""</f>
        <v/>
      </c>
      <c r="BV279" t="str">
        <f>""</f>
        <v/>
      </c>
      <c r="BW279" t="str">
        <f>""</f>
        <v/>
      </c>
      <c r="BX279" t="str">
        <f>""</f>
        <v/>
      </c>
      <c r="BY279" t="str">
        <f>""</f>
        <v/>
      </c>
      <c r="BZ279" t="str">
        <f>""</f>
        <v/>
      </c>
      <c r="CA279" t="str">
        <f>""</f>
        <v/>
      </c>
      <c r="CB279" t="str">
        <f>""</f>
        <v/>
      </c>
      <c r="CC279" t="str">
        <f>""</f>
        <v/>
      </c>
      <c r="CD279" t="str">
        <f>""</f>
        <v/>
      </c>
      <c r="CE279" t="str">
        <f>""</f>
        <v/>
      </c>
      <c r="CF279" t="str">
        <f>""</f>
        <v/>
      </c>
      <c r="CG279" t="str">
        <f>""</f>
        <v/>
      </c>
    </row>
    <row r="280" spans="1:85" x14ac:dyDescent="0.25">
      <c r="AT280" t="str">
        <f>""</f>
        <v/>
      </c>
      <c r="AU280" t="str">
        <f>""</f>
        <v/>
      </c>
      <c r="AV280" t="str">
        <f>""</f>
        <v/>
      </c>
      <c r="AW280" t="str">
        <f>""</f>
        <v/>
      </c>
      <c r="AX280" t="str">
        <f>""</f>
        <v/>
      </c>
      <c r="AY280" t="str">
        <f>""</f>
        <v/>
      </c>
      <c r="AZ280" t="str">
        <f>""</f>
        <v/>
      </c>
      <c r="BA280" t="str">
        <f>""</f>
        <v/>
      </c>
      <c r="BB280" t="str">
        <f>""</f>
        <v/>
      </c>
      <c r="BC280" t="str">
        <f>""</f>
        <v/>
      </c>
      <c r="BD280" t="str">
        <f>""</f>
        <v/>
      </c>
      <c r="BE280" t="str">
        <f>""</f>
        <v/>
      </c>
      <c r="BF280" t="str">
        <f>""</f>
        <v/>
      </c>
      <c r="BG280" t="str">
        <f>""</f>
        <v/>
      </c>
      <c r="BH280" t="str">
        <f>""</f>
        <v/>
      </c>
      <c r="BI280" t="str">
        <f>""</f>
        <v/>
      </c>
      <c r="BJ280" t="str">
        <f>""</f>
        <v/>
      </c>
      <c r="BK280" t="str">
        <f>""</f>
        <v/>
      </c>
      <c r="BL280" t="str">
        <f>""</f>
        <v/>
      </c>
      <c r="BM280" t="str">
        <f>""</f>
        <v/>
      </c>
      <c r="BN280" t="str">
        <f>""</f>
        <v/>
      </c>
      <c r="BO280" t="str">
        <f>""</f>
        <v/>
      </c>
      <c r="BP280" t="str">
        <f>""</f>
        <v/>
      </c>
      <c r="BQ280" t="str">
        <f>""</f>
        <v/>
      </c>
      <c r="BR280" t="str">
        <f>""</f>
        <v/>
      </c>
      <c r="BS280" t="str">
        <f>""</f>
        <v/>
      </c>
      <c r="BT280" t="str">
        <f>""</f>
        <v/>
      </c>
      <c r="BU280" t="str">
        <f>""</f>
        <v/>
      </c>
      <c r="BV280" t="str">
        <f>""</f>
        <v/>
      </c>
      <c r="BW280" t="str">
        <f>""</f>
        <v/>
      </c>
      <c r="BX280" t="str">
        <f>""</f>
        <v/>
      </c>
      <c r="BY280" t="str">
        <f>""</f>
        <v/>
      </c>
      <c r="BZ280" t="str">
        <f>""</f>
        <v/>
      </c>
      <c r="CA280" t="str">
        <f>""</f>
        <v/>
      </c>
      <c r="CB280" t="str">
        <f>""</f>
        <v/>
      </c>
      <c r="CC280" t="str">
        <f>""</f>
        <v/>
      </c>
      <c r="CD280" t="str">
        <f>""</f>
        <v/>
      </c>
      <c r="CE280" t="str">
        <f>""</f>
        <v/>
      </c>
      <c r="CF280" t="str">
        <f>""</f>
        <v/>
      </c>
      <c r="CG280" t="str">
        <f>""</f>
        <v/>
      </c>
    </row>
    <row r="281" spans="1:85" x14ac:dyDescent="0.25">
      <c r="AT281" t="str">
        <f>""</f>
        <v/>
      </c>
      <c r="AU281" t="str">
        <f>""</f>
        <v/>
      </c>
      <c r="AV281" t="str">
        <f>""</f>
        <v/>
      </c>
      <c r="AW281" t="str">
        <f>""</f>
        <v/>
      </c>
      <c r="AX281" t="str">
        <f>""</f>
        <v/>
      </c>
      <c r="AY281" t="str">
        <f>""</f>
        <v/>
      </c>
      <c r="AZ281" t="str">
        <f>""</f>
        <v/>
      </c>
      <c r="BA281" t="str">
        <f>""</f>
        <v/>
      </c>
      <c r="BB281" t="str">
        <f>""</f>
        <v/>
      </c>
      <c r="BC281" t="str">
        <f>""</f>
        <v/>
      </c>
      <c r="BD281" t="str">
        <f>""</f>
        <v/>
      </c>
      <c r="BE281" t="str">
        <f>""</f>
        <v/>
      </c>
      <c r="BF281" t="str">
        <f>""</f>
        <v/>
      </c>
      <c r="BG281" t="str">
        <f>""</f>
        <v/>
      </c>
      <c r="BH281" t="str">
        <f>""</f>
        <v/>
      </c>
      <c r="BI281" t="str">
        <f>""</f>
        <v/>
      </c>
      <c r="BJ281" t="str">
        <f>""</f>
        <v/>
      </c>
      <c r="BK281" t="str">
        <f>""</f>
        <v/>
      </c>
      <c r="BL281" t="str">
        <f>""</f>
        <v/>
      </c>
      <c r="BM281" t="str">
        <f>""</f>
        <v/>
      </c>
      <c r="BN281" t="str">
        <f>""</f>
        <v/>
      </c>
      <c r="BO281" t="str">
        <f>""</f>
        <v/>
      </c>
      <c r="BP281" t="str">
        <f>""</f>
        <v/>
      </c>
      <c r="BQ281" t="str">
        <f>""</f>
        <v/>
      </c>
      <c r="BR281" t="str">
        <f>""</f>
        <v/>
      </c>
      <c r="BS281" t="str">
        <f>""</f>
        <v/>
      </c>
      <c r="BT281" t="str">
        <f>""</f>
        <v/>
      </c>
      <c r="BU281" t="str">
        <f>""</f>
        <v/>
      </c>
      <c r="BV281" t="str">
        <f>""</f>
        <v/>
      </c>
      <c r="BW281" t="str">
        <f>""</f>
        <v/>
      </c>
      <c r="BX281" t="str">
        <f>""</f>
        <v/>
      </c>
      <c r="BY281" t="str">
        <f>""</f>
        <v/>
      </c>
      <c r="BZ281" t="str">
        <f>""</f>
        <v/>
      </c>
      <c r="CA281" t="str">
        <f>""</f>
        <v/>
      </c>
      <c r="CB281" t="str">
        <f>""</f>
        <v/>
      </c>
      <c r="CC281" t="str">
        <f>""</f>
        <v/>
      </c>
      <c r="CD281" t="str">
        <f>""</f>
        <v/>
      </c>
      <c r="CE281" t="str">
        <f>""</f>
        <v/>
      </c>
      <c r="CF281" t="str">
        <f>""</f>
        <v/>
      </c>
      <c r="CG281" t="str">
        <f>""</f>
        <v/>
      </c>
    </row>
    <row r="282" spans="1:85" x14ac:dyDescent="0.25">
      <c r="AT282" t="str">
        <f>""</f>
        <v/>
      </c>
      <c r="AU282" t="str">
        <f>""</f>
        <v/>
      </c>
      <c r="AV282" t="str">
        <f>""</f>
        <v/>
      </c>
      <c r="AW282" t="str">
        <f>""</f>
        <v/>
      </c>
      <c r="AX282" t="str">
        <f>""</f>
        <v/>
      </c>
      <c r="AY282" t="str">
        <f>""</f>
        <v/>
      </c>
      <c r="AZ282" t="str">
        <f>""</f>
        <v/>
      </c>
      <c r="BA282" t="str">
        <f>""</f>
        <v/>
      </c>
      <c r="BB282" t="str">
        <f>""</f>
        <v/>
      </c>
      <c r="BC282" t="str">
        <f>""</f>
        <v/>
      </c>
      <c r="BD282" t="str">
        <f>""</f>
        <v/>
      </c>
      <c r="BE282" t="str">
        <f>""</f>
        <v/>
      </c>
      <c r="BF282" t="str">
        <f>""</f>
        <v/>
      </c>
      <c r="BG282" t="str">
        <f>""</f>
        <v/>
      </c>
      <c r="BH282" t="str">
        <f>""</f>
        <v/>
      </c>
      <c r="BI282" t="str">
        <f>""</f>
        <v/>
      </c>
      <c r="BJ282" t="str">
        <f>""</f>
        <v/>
      </c>
      <c r="BK282" t="str">
        <f>""</f>
        <v/>
      </c>
      <c r="BL282" t="str">
        <f>""</f>
        <v/>
      </c>
      <c r="BM282" t="str">
        <f>""</f>
        <v/>
      </c>
      <c r="BN282" t="str">
        <f>""</f>
        <v/>
      </c>
      <c r="BO282" t="str">
        <f>""</f>
        <v/>
      </c>
      <c r="BP282" t="str">
        <f>""</f>
        <v/>
      </c>
      <c r="BQ282" t="str">
        <f>""</f>
        <v/>
      </c>
      <c r="BR282" t="str">
        <f>""</f>
        <v/>
      </c>
      <c r="BS282" t="str">
        <f>""</f>
        <v/>
      </c>
      <c r="BT282" t="str">
        <f>""</f>
        <v/>
      </c>
      <c r="BU282" t="str">
        <f>""</f>
        <v/>
      </c>
      <c r="BV282" t="str">
        <f>""</f>
        <v/>
      </c>
      <c r="BW282" t="str">
        <f>""</f>
        <v/>
      </c>
      <c r="BX282" t="str">
        <f>""</f>
        <v/>
      </c>
      <c r="BY282" t="str">
        <f>""</f>
        <v/>
      </c>
      <c r="BZ282" t="str">
        <f>""</f>
        <v/>
      </c>
      <c r="CA282" t="str">
        <f>""</f>
        <v/>
      </c>
      <c r="CB282" t="str">
        <f>""</f>
        <v/>
      </c>
      <c r="CC282" t="str">
        <f>""</f>
        <v/>
      </c>
      <c r="CD282" t="str">
        <f>""</f>
        <v/>
      </c>
      <c r="CE282" t="str">
        <f>""</f>
        <v/>
      </c>
      <c r="CF282" t="str">
        <f>""</f>
        <v/>
      </c>
      <c r="CG282" t="str">
        <f>""</f>
        <v/>
      </c>
    </row>
    <row r="283" spans="1:85" x14ac:dyDescent="0.25">
      <c r="AT283" t="str">
        <f>""</f>
        <v/>
      </c>
      <c r="AU283" t="str">
        <f>""</f>
        <v/>
      </c>
      <c r="AV283" t="str">
        <f>""</f>
        <v/>
      </c>
      <c r="AW283" t="str">
        <f>""</f>
        <v/>
      </c>
      <c r="AX283" t="str">
        <f>""</f>
        <v/>
      </c>
      <c r="AY283" t="str">
        <f>""</f>
        <v/>
      </c>
      <c r="AZ283" t="str">
        <f>""</f>
        <v/>
      </c>
      <c r="BA283" t="str">
        <f>""</f>
        <v/>
      </c>
      <c r="BB283" t="str">
        <f>""</f>
        <v/>
      </c>
      <c r="BC283" t="str">
        <f>""</f>
        <v/>
      </c>
      <c r="BD283" t="str">
        <f>""</f>
        <v/>
      </c>
      <c r="BE283" t="str">
        <f>""</f>
        <v/>
      </c>
      <c r="BF283" t="str">
        <f>""</f>
        <v/>
      </c>
      <c r="BG283" t="str">
        <f>""</f>
        <v/>
      </c>
      <c r="BH283" t="str">
        <f>""</f>
        <v/>
      </c>
      <c r="BI283" t="str">
        <f>""</f>
        <v/>
      </c>
      <c r="BJ283" t="str">
        <f>""</f>
        <v/>
      </c>
      <c r="BK283" t="str">
        <f>""</f>
        <v/>
      </c>
      <c r="BL283" t="str">
        <f>""</f>
        <v/>
      </c>
      <c r="BM283" t="str">
        <f>""</f>
        <v/>
      </c>
      <c r="BN283" t="str">
        <f>""</f>
        <v/>
      </c>
      <c r="BO283" t="str">
        <f>""</f>
        <v/>
      </c>
      <c r="BP283" t="str">
        <f>""</f>
        <v/>
      </c>
      <c r="BQ283" t="str">
        <f>""</f>
        <v/>
      </c>
      <c r="BR283" t="str">
        <f>""</f>
        <v/>
      </c>
      <c r="BS283" t="str">
        <f>""</f>
        <v/>
      </c>
      <c r="BT283" t="str">
        <f>""</f>
        <v/>
      </c>
      <c r="BU283" t="str">
        <f>""</f>
        <v/>
      </c>
      <c r="BV283" t="str">
        <f>""</f>
        <v/>
      </c>
      <c r="BW283" t="str">
        <f>""</f>
        <v/>
      </c>
      <c r="BX283" t="str">
        <f>""</f>
        <v/>
      </c>
      <c r="BY283" t="str">
        <f>""</f>
        <v/>
      </c>
      <c r="BZ283" t="str">
        <f>""</f>
        <v/>
      </c>
      <c r="CA283" t="str">
        <f>""</f>
        <v/>
      </c>
      <c r="CB283" t="str">
        <f>""</f>
        <v/>
      </c>
      <c r="CC283" t="str">
        <f>""</f>
        <v/>
      </c>
      <c r="CD283" t="str">
        <f>""</f>
        <v/>
      </c>
      <c r="CE283" t="str">
        <f>""</f>
        <v/>
      </c>
      <c r="CF283" t="str">
        <f>""</f>
        <v/>
      </c>
      <c r="CG283" t="str">
        <f>""</f>
        <v/>
      </c>
    </row>
    <row r="284" spans="1:85" x14ac:dyDescent="0.25">
      <c r="AT284" t="str">
        <f>""</f>
        <v/>
      </c>
      <c r="AU284" t="str">
        <f>""</f>
        <v/>
      </c>
      <c r="AV284" t="str">
        <f>""</f>
        <v/>
      </c>
      <c r="AW284" t="str">
        <f>""</f>
        <v/>
      </c>
      <c r="AX284" t="str">
        <f>""</f>
        <v/>
      </c>
      <c r="AY284" t="str">
        <f>""</f>
        <v/>
      </c>
      <c r="AZ284" t="str">
        <f>""</f>
        <v/>
      </c>
      <c r="BA284" t="str">
        <f>""</f>
        <v/>
      </c>
      <c r="BB284" t="str">
        <f>""</f>
        <v/>
      </c>
      <c r="BC284" t="str">
        <f>""</f>
        <v/>
      </c>
      <c r="BD284" t="str">
        <f>""</f>
        <v/>
      </c>
      <c r="BE284" t="str">
        <f>""</f>
        <v/>
      </c>
      <c r="BF284" t="str">
        <f>""</f>
        <v/>
      </c>
      <c r="BG284" t="str">
        <f>""</f>
        <v/>
      </c>
      <c r="BH284" t="str">
        <f>""</f>
        <v/>
      </c>
      <c r="BI284" t="str">
        <f>""</f>
        <v/>
      </c>
      <c r="BJ284" t="str">
        <f>""</f>
        <v/>
      </c>
      <c r="BK284" t="str">
        <f>""</f>
        <v/>
      </c>
      <c r="BL284" t="str">
        <f>""</f>
        <v/>
      </c>
      <c r="BM284" t="str">
        <f>""</f>
        <v/>
      </c>
      <c r="BN284" t="str">
        <f>""</f>
        <v/>
      </c>
      <c r="BO284" t="str">
        <f>""</f>
        <v/>
      </c>
      <c r="BP284" t="str">
        <f>""</f>
        <v/>
      </c>
      <c r="BQ284" t="str">
        <f>""</f>
        <v/>
      </c>
      <c r="BR284" t="str">
        <f>""</f>
        <v/>
      </c>
      <c r="BS284" t="str">
        <f>""</f>
        <v/>
      </c>
      <c r="BT284" t="str">
        <f>""</f>
        <v/>
      </c>
      <c r="BU284" t="str">
        <f>""</f>
        <v/>
      </c>
      <c r="BV284" t="str">
        <f>""</f>
        <v/>
      </c>
      <c r="BW284" t="str">
        <f>""</f>
        <v/>
      </c>
      <c r="BX284" t="str">
        <f>""</f>
        <v/>
      </c>
      <c r="BY284" t="str">
        <f>""</f>
        <v/>
      </c>
      <c r="BZ284" t="str">
        <f>""</f>
        <v/>
      </c>
      <c r="CA284" t="str">
        <f>""</f>
        <v/>
      </c>
      <c r="CB284" t="str">
        <f>""</f>
        <v/>
      </c>
      <c r="CC284" t="str">
        <f>""</f>
        <v/>
      </c>
      <c r="CD284" t="str">
        <f>""</f>
        <v/>
      </c>
      <c r="CE284" t="str">
        <f>""</f>
        <v/>
      </c>
      <c r="CF284" t="str">
        <f>""</f>
        <v/>
      </c>
      <c r="CG284" t="str">
        <f>""</f>
        <v/>
      </c>
    </row>
    <row r="285" spans="1:85" x14ac:dyDescent="0.25">
      <c r="AT285" t="str">
        <f>""</f>
        <v/>
      </c>
      <c r="AU285" t="str">
        <f>""</f>
        <v/>
      </c>
      <c r="AV285" t="str">
        <f>""</f>
        <v/>
      </c>
      <c r="AW285" t="str">
        <f>""</f>
        <v/>
      </c>
      <c r="AX285" t="str">
        <f>""</f>
        <v/>
      </c>
      <c r="AY285" t="str">
        <f>""</f>
        <v/>
      </c>
      <c r="AZ285" t="str">
        <f>""</f>
        <v/>
      </c>
      <c r="BA285" t="str">
        <f>""</f>
        <v/>
      </c>
      <c r="BB285" t="str">
        <f>""</f>
        <v/>
      </c>
      <c r="BC285" t="str">
        <f>""</f>
        <v/>
      </c>
      <c r="BD285" t="str">
        <f>""</f>
        <v/>
      </c>
      <c r="BE285" t="str">
        <f>""</f>
        <v/>
      </c>
      <c r="BF285" t="str">
        <f>""</f>
        <v/>
      </c>
      <c r="BG285" t="str">
        <f>""</f>
        <v/>
      </c>
      <c r="BH285" t="str">
        <f>""</f>
        <v/>
      </c>
      <c r="BI285" t="str">
        <f>""</f>
        <v/>
      </c>
      <c r="BJ285" t="str">
        <f>""</f>
        <v/>
      </c>
      <c r="BK285" t="str">
        <f>""</f>
        <v/>
      </c>
      <c r="BL285" t="str">
        <f>""</f>
        <v/>
      </c>
      <c r="BM285" t="str">
        <f>""</f>
        <v/>
      </c>
      <c r="BN285" t="str">
        <f>""</f>
        <v/>
      </c>
      <c r="BO285" t="str">
        <f>""</f>
        <v/>
      </c>
      <c r="BP285" t="str">
        <f>""</f>
        <v/>
      </c>
      <c r="BQ285" t="str">
        <f>""</f>
        <v/>
      </c>
      <c r="BR285" t="str">
        <f>""</f>
        <v/>
      </c>
      <c r="BS285" t="str">
        <f>""</f>
        <v/>
      </c>
      <c r="BT285" t="str">
        <f>""</f>
        <v/>
      </c>
      <c r="BU285" t="str">
        <f>""</f>
        <v/>
      </c>
      <c r="BV285" t="str">
        <f>""</f>
        <v/>
      </c>
      <c r="BW285" t="str">
        <f>""</f>
        <v/>
      </c>
      <c r="BX285" t="str">
        <f>""</f>
        <v/>
      </c>
      <c r="BY285" t="str">
        <f>""</f>
        <v/>
      </c>
      <c r="BZ285" t="str">
        <f>""</f>
        <v/>
      </c>
      <c r="CA285" t="str">
        <f>""</f>
        <v/>
      </c>
      <c r="CB285" t="str">
        <f>""</f>
        <v/>
      </c>
      <c r="CC285" t="str">
        <f>""</f>
        <v/>
      </c>
      <c r="CD285" t="str">
        <f>""</f>
        <v/>
      </c>
      <c r="CE285" t="str">
        <f>""</f>
        <v/>
      </c>
      <c r="CF285" t="str">
        <f>""</f>
        <v/>
      </c>
      <c r="CG285" t="str">
        <f>""</f>
        <v/>
      </c>
    </row>
    <row r="286" spans="1:85" x14ac:dyDescent="0.25">
      <c r="A286" t="str">
        <f t="shared" ref="A286:AS286" si="28">"~~~~~~~~~~"</f>
        <v>~~~~~~~~~~</v>
      </c>
      <c r="B286" t="str">
        <f t="shared" si="28"/>
        <v>~~~~~~~~~~</v>
      </c>
      <c r="C286" t="str">
        <f t="shared" si="28"/>
        <v>~~~~~~~~~~</v>
      </c>
      <c r="D286" t="str">
        <f t="shared" si="28"/>
        <v>~~~~~~~~~~</v>
      </c>
      <c r="E286" t="str">
        <f t="shared" si="28"/>
        <v>~~~~~~~~~~</v>
      </c>
      <c r="F286" t="str">
        <f t="shared" si="28"/>
        <v>~~~~~~~~~~</v>
      </c>
      <c r="G286" t="str">
        <f t="shared" si="28"/>
        <v>~~~~~~~~~~</v>
      </c>
      <c r="H286" t="str">
        <f t="shared" si="28"/>
        <v>~~~~~~~~~~</v>
      </c>
      <c r="I286" t="str">
        <f t="shared" si="28"/>
        <v>~~~~~~~~~~</v>
      </c>
      <c r="J286" t="str">
        <f t="shared" si="28"/>
        <v>~~~~~~~~~~</v>
      </c>
      <c r="K286" t="str">
        <f t="shared" si="28"/>
        <v>~~~~~~~~~~</v>
      </c>
      <c r="L286" t="str">
        <f t="shared" si="28"/>
        <v>~~~~~~~~~~</v>
      </c>
      <c r="M286" t="str">
        <f t="shared" si="28"/>
        <v>~~~~~~~~~~</v>
      </c>
      <c r="N286" t="str">
        <f t="shared" si="28"/>
        <v>~~~~~~~~~~</v>
      </c>
      <c r="O286" t="str">
        <f t="shared" si="28"/>
        <v>~~~~~~~~~~</v>
      </c>
      <c r="P286" t="str">
        <f t="shared" si="28"/>
        <v>~~~~~~~~~~</v>
      </c>
      <c r="Q286" t="str">
        <f t="shared" si="28"/>
        <v>~~~~~~~~~~</v>
      </c>
      <c r="R286" t="str">
        <f t="shared" si="28"/>
        <v>~~~~~~~~~~</v>
      </c>
      <c r="S286" t="str">
        <f t="shared" si="28"/>
        <v>~~~~~~~~~~</v>
      </c>
      <c r="T286" t="str">
        <f t="shared" si="28"/>
        <v>~~~~~~~~~~</v>
      </c>
      <c r="U286" t="str">
        <f t="shared" si="28"/>
        <v>~~~~~~~~~~</v>
      </c>
      <c r="V286" t="str">
        <f t="shared" si="28"/>
        <v>~~~~~~~~~~</v>
      </c>
      <c r="W286" t="str">
        <f t="shared" si="28"/>
        <v>~~~~~~~~~~</v>
      </c>
      <c r="X286" t="str">
        <f t="shared" si="28"/>
        <v>~~~~~~~~~~</v>
      </c>
      <c r="Y286" t="str">
        <f t="shared" si="28"/>
        <v>~~~~~~~~~~</v>
      </c>
      <c r="Z286" t="str">
        <f t="shared" si="28"/>
        <v>~~~~~~~~~~</v>
      </c>
      <c r="AA286" t="str">
        <f t="shared" si="28"/>
        <v>~~~~~~~~~~</v>
      </c>
      <c r="AB286" t="str">
        <f t="shared" si="28"/>
        <v>~~~~~~~~~~</v>
      </c>
      <c r="AC286" t="str">
        <f t="shared" si="28"/>
        <v>~~~~~~~~~~</v>
      </c>
      <c r="AD286" t="str">
        <f t="shared" si="28"/>
        <v>~~~~~~~~~~</v>
      </c>
      <c r="AE286" t="str">
        <f t="shared" si="28"/>
        <v>~~~~~~~~~~</v>
      </c>
      <c r="AF286" t="str">
        <f t="shared" si="28"/>
        <v>~~~~~~~~~~</v>
      </c>
      <c r="AG286" t="str">
        <f t="shared" si="28"/>
        <v>~~~~~~~~~~</v>
      </c>
      <c r="AH286" t="str">
        <f t="shared" si="28"/>
        <v>~~~~~~~~~~</v>
      </c>
      <c r="AI286" t="str">
        <f t="shared" si="28"/>
        <v>~~~~~~~~~~</v>
      </c>
      <c r="AJ286" t="str">
        <f t="shared" si="28"/>
        <v>~~~~~~~~~~</v>
      </c>
      <c r="AK286" t="str">
        <f t="shared" si="28"/>
        <v>~~~~~~~~~~</v>
      </c>
      <c r="AL286" t="str">
        <f t="shared" si="28"/>
        <v>~~~~~~~~~~</v>
      </c>
      <c r="AM286" t="str">
        <f t="shared" si="28"/>
        <v>~~~~~~~~~~</v>
      </c>
      <c r="AN286" t="str">
        <f t="shared" si="28"/>
        <v>~~~~~~~~~~</v>
      </c>
      <c r="AO286" t="str">
        <f t="shared" si="28"/>
        <v>~~~~~~~~~~</v>
      </c>
      <c r="AP286" t="str">
        <f t="shared" si="28"/>
        <v>~~~~~~~~~~</v>
      </c>
      <c r="AQ286" t="str">
        <f t="shared" si="28"/>
        <v>~~~~~~~~~~</v>
      </c>
      <c r="AR286" t="str">
        <f t="shared" si="28"/>
        <v>~~~~~~~~~~</v>
      </c>
      <c r="AS286" t="str">
        <f t="shared" si="28"/>
        <v>~~~~~~~~~~</v>
      </c>
      <c r="AT286" t="str">
        <f>""</f>
        <v/>
      </c>
      <c r="AU286" t="str">
        <f>""</f>
        <v/>
      </c>
      <c r="AV286" t="str">
        <f>""</f>
        <v/>
      </c>
      <c r="AW286" t="str">
        <f>""</f>
        <v/>
      </c>
      <c r="AX286" t="str">
        <f>""</f>
        <v/>
      </c>
      <c r="AY286" t="str">
        <f>""</f>
        <v/>
      </c>
      <c r="AZ286" t="str">
        <f>""</f>
        <v/>
      </c>
      <c r="BA286" t="str">
        <f>""</f>
        <v/>
      </c>
      <c r="BB286" t="str">
        <f>""</f>
        <v/>
      </c>
      <c r="BC286" t="str">
        <f>""</f>
        <v/>
      </c>
      <c r="BD286" t="str">
        <f>""</f>
        <v/>
      </c>
      <c r="BE286" t="str">
        <f>""</f>
        <v/>
      </c>
      <c r="BF286" t="str">
        <f>""</f>
        <v/>
      </c>
      <c r="BG286" t="str">
        <f>""</f>
        <v/>
      </c>
      <c r="BH286" t="str">
        <f>""</f>
        <v/>
      </c>
      <c r="BI286" t="str">
        <f>""</f>
        <v/>
      </c>
      <c r="BJ286" t="str">
        <f>""</f>
        <v/>
      </c>
      <c r="BK286" t="str">
        <f>""</f>
        <v/>
      </c>
      <c r="BL286" t="str">
        <f>""</f>
        <v/>
      </c>
      <c r="BM286" t="str">
        <f>""</f>
        <v/>
      </c>
      <c r="BN286" t="str">
        <f>""</f>
        <v/>
      </c>
      <c r="BO286" t="str">
        <f>""</f>
        <v/>
      </c>
      <c r="BP286" t="str">
        <f>""</f>
        <v/>
      </c>
      <c r="BQ286" t="str">
        <f>""</f>
        <v/>
      </c>
      <c r="BR286" t="str">
        <f>""</f>
        <v/>
      </c>
      <c r="BS286" t="str">
        <f>""</f>
        <v/>
      </c>
      <c r="BT286" t="str">
        <f>""</f>
        <v/>
      </c>
      <c r="BU286" t="str">
        <f>""</f>
        <v/>
      </c>
      <c r="BV286" t="str">
        <f>""</f>
        <v/>
      </c>
      <c r="BW286" t="str">
        <f>""</f>
        <v/>
      </c>
      <c r="BX286" t="str">
        <f>""</f>
        <v/>
      </c>
      <c r="BY286" t="str">
        <f>""</f>
        <v/>
      </c>
      <c r="BZ286" t="str">
        <f>""</f>
        <v/>
      </c>
      <c r="CA286" t="str">
        <f>""</f>
        <v/>
      </c>
      <c r="CB286" t="str">
        <f>""</f>
        <v/>
      </c>
      <c r="CC286" t="str">
        <f>""</f>
        <v/>
      </c>
      <c r="CD286" t="str">
        <f>""</f>
        <v/>
      </c>
      <c r="CE286" t="str">
        <f>""</f>
        <v/>
      </c>
      <c r="CF286" t="str">
        <f>""</f>
        <v/>
      </c>
      <c r="CG286" t="str">
        <f>""</f>
        <v/>
      </c>
    </row>
    <row r="287" spans="1:85" x14ac:dyDescent="0.25">
      <c r="A287" t="str">
        <f>"All rows below have been added for reference by formula rows above."</f>
        <v>All rows below have been added for reference by formula rows above.</v>
      </c>
      <c r="AT287" t="str">
        <f>""</f>
        <v/>
      </c>
      <c r="AU287" t="str">
        <f>""</f>
        <v/>
      </c>
      <c r="AV287" t="str">
        <f>""</f>
        <v/>
      </c>
      <c r="AW287" t="str">
        <f>""</f>
        <v/>
      </c>
      <c r="AX287" t="str">
        <f>""</f>
        <v/>
      </c>
      <c r="AY287" t="str">
        <f>""</f>
        <v/>
      </c>
      <c r="AZ287" t="str">
        <f>""</f>
        <v/>
      </c>
      <c r="BA287" t="str">
        <f>""</f>
        <v/>
      </c>
      <c r="BB287" t="str">
        <f>""</f>
        <v/>
      </c>
      <c r="BC287" t="str">
        <f>""</f>
        <v/>
      </c>
      <c r="BD287" t="str">
        <f>""</f>
        <v/>
      </c>
      <c r="BE287" t="str">
        <f>""</f>
        <v/>
      </c>
      <c r="BF287" t="str">
        <f>""</f>
        <v/>
      </c>
      <c r="BG287" t="str">
        <f>""</f>
        <v/>
      </c>
      <c r="BH287" t="str">
        <f>""</f>
        <v/>
      </c>
      <c r="BI287" t="str">
        <f>""</f>
        <v/>
      </c>
      <c r="BJ287" t="str">
        <f>""</f>
        <v/>
      </c>
      <c r="BK287" t="str">
        <f>""</f>
        <v/>
      </c>
      <c r="BL287" t="str">
        <f>""</f>
        <v/>
      </c>
      <c r="BM287" t="str">
        <f>""</f>
        <v/>
      </c>
      <c r="BN287" t="str">
        <f>""</f>
        <v/>
      </c>
      <c r="BO287" t="str">
        <f>""</f>
        <v/>
      </c>
      <c r="BP287" t="str">
        <f>""</f>
        <v/>
      </c>
      <c r="BQ287" t="str">
        <f>""</f>
        <v/>
      </c>
      <c r="BR287" t="str">
        <f>""</f>
        <v/>
      </c>
      <c r="BS287" t="str">
        <f>""</f>
        <v/>
      </c>
      <c r="BT287" t="str">
        <f>""</f>
        <v/>
      </c>
      <c r="BU287" t="str">
        <f>""</f>
        <v/>
      </c>
      <c r="BV287" t="str">
        <f>""</f>
        <v/>
      </c>
      <c r="BW287" t="str">
        <f>""</f>
        <v/>
      </c>
      <c r="BX287" t="str">
        <f>""</f>
        <v/>
      </c>
      <c r="BY287" t="str">
        <f>""</f>
        <v/>
      </c>
      <c r="BZ287" t="str">
        <f>""</f>
        <v/>
      </c>
      <c r="CA287" t="str">
        <f>""</f>
        <v/>
      </c>
      <c r="CB287" t="str">
        <f>""</f>
        <v/>
      </c>
      <c r="CC287" t="str">
        <f>""</f>
        <v/>
      </c>
      <c r="CD287" t="str">
        <f>""</f>
        <v/>
      </c>
      <c r="CE287" t="str">
        <f>""</f>
        <v/>
      </c>
      <c r="CF287" t="str">
        <f>""</f>
        <v/>
      </c>
      <c r="CG287" t="str">
        <f>""</f>
        <v/>
      </c>
    </row>
    <row r="288" spans="1:85" x14ac:dyDescent="0.25">
      <c r="A288">
        <f>RTD("bloomberg.ccyreader", "", "#track", "DBG", "BIHITX", "1.0","RepeatHit")</f>
        <v>0</v>
      </c>
      <c r="AT288" t="str">
        <f>""</f>
        <v/>
      </c>
      <c r="AU288" t="str">
        <f>""</f>
        <v/>
      </c>
      <c r="AV288" t="str">
        <f>""</f>
        <v/>
      </c>
      <c r="AW288" t="str">
        <f>""</f>
        <v/>
      </c>
      <c r="AX288" t="str">
        <f>""</f>
        <v/>
      </c>
      <c r="AY288" t="str">
        <f>""</f>
        <v/>
      </c>
      <c r="AZ288" t="str">
        <f>""</f>
        <v/>
      </c>
      <c r="BA288" t="str">
        <f>""</f>
        <v/>
      </c>
      <c r="BB288" t="str">
        <f>""</f>
        <v/>
      </c>
      <c r="BC288" t="str">
        <f>""</f>
        <v/>
      </c>
      <c r="BD288" t="str">
        <f>""</f>
        <v/>
      </c>
      <c r="BE288" t="str">
        <f>""</f>
        <v/>
      </c>
      <c r="BF288" t="str">
        <f>""</f>
        <v/>
      </c>
      <c r="BG288" t="str">
        <f>""</f>
        <v/>
      </c>
      <c r="BH288" t="str">
        <f>""</f>
        <v/>
      </c>
      <c r="BI288" t="str">
        <f>""</f>
        <v/>
      </c>
      <c r="BJ288" t="str">
        <f>""</f>
        <v/>
      </c>
      <c r="BK288" t="str">
        <f>""</f>
        <v/>
      </c>
      <c r="BL288" t="str">
        <f>""</f>
        <v/>
      </c>
      <c r="BM288" t="str">
        <f>""</f>
        <v/>
      </c>
      <c r="BN288" t="str">
        <f>""</f>
        <v/>
      </c>
      <c r="BO288" t="str">
        <f>""</f>
        <v/>
      </c>
      <c r="BP288" t="str">
        <f>""</f>
        <v/>
      </c>
      <c r="BQ288" t="str">
        <f>""</f>
        <v/>
      </c>
      <c r="BR288" t="str">
        <f>""</f>
        <v/>
      </c>
      <c r="BS288" t="str">
        <f>""</f>
        <v/>
      </c>
      <c r="BT288" t="str">
        <f>""</f>
        <v/>
      </c>
      <c r="BU288" t="str">
        <f>""</f>
        <v/>
      </c>
      <c r="BV288" t="str">
        <f>""</f>
        <v/>
      </c>
      <c r="BW288" t="str">
        <f>""</f>
        <v/>
      </c>
      <c r="BX288" t="str">
        <f>""</f>
        <v/>
      </c>
      <c r="BY288" t="str">
        <f>""</f>
        <v/>
      </c>
      <c r="BZ288" t="str">
        <f>""</f>
        <v/>
      </c>
      <c r="CA288" t="str">
        <f>""</f>
        <v/>
      </c>
      <c r="CB288" t="str">
        <f>""</f>
        <v/>
      </c>
      <c r="CC288" t="str">
        <f>""</f>
        <v/>
      </c>
      <c r="CD288" t="str">
        <f>""</f>
        <v/>
      </c>
      <c r="CE288" t="str">
        <f>""</f>
        <v/>
      </c>
      <c r="CF288" t="str">
        <f>""</f>
        <v/>
      </c>
      <c r="CG288" t="str">
        <f>""</f>
        <v/>
      </c>
    </row>
    <row r="289" spans="1:85" x14ac:dyDescent="0.25">
      <c r="A289" t="str">
        <f>"Currency"</f>
        <v>Currency</v>
      </c>
      <c r="B289" t="str">
        <f>"USD"</f>
        <v>USD</v>
      </c>
      <c r="AT289" t="str">
        <f>""</f>
        <v/>
      </c>
      <c r="AU289" t="str">
        <f>""</f>
        <v/>
      </c>
      <c r="AV289" t="str">
        <f>""</f>
        <v/>
      </c>
      <c r="AW289" t="str">
        <f>""</f>
        <v/>
      </c>
      <c r="AX289" t="str">
        <f>""</f>
        <v/>
      </c>
      <c r="AY289" t="str">
        <f>""</f>
        <v/>
      </c>
      <c r="AZ289" t="str">
        <f>""</f>
        <v/>
      </c>
      <c r="BA289" t="str">
        <f>""</f>
        <v/>
      </c>
      <c r="BB289" t="str">
        <f>""</f>
        <v/>
      </c>
      <c r="BC289" t="str">
        <f>""</f>
        <v/>
      </c>
      <c r="BD289" t="str">
        <f>""</f>
        <v/>
      </c>
      <c r="BE289" t="str">
        <f>""</f>
        <v/>
      </c>
      <c r="BF289" t="str">
        <f>""</f>
        <v/>
      </c>
      <c r="BG289" t="str">
        <f>""</f>
        <v/>
      </c>
      <c r="BH289" t="str">
        <f>""</f>
        <v/>
      </c>
      <c r="BI289" t="str">
        <f>""</f>
        <v/>
      </c>
      <c r="BJ289" t="str">
        <f>""</f>
        <v/>
      </c>
      <c r="BK289" t="str">
        <f>""</f>
        <v/>
      </c>
      <c r="BL289" t="str">
        <f>""</f>
        <v/>
      </c>
      <c r="BM289" t="str">
        <f>""</f>
        <v/>
      </c>
      <c r="BN289" t="str">
        <f>""</f>
        <v/>
      </c>
      <c r="BO289" t="str">
        <f>""</f>
        <v/>
      </c>
      <c r="BP289" t="str">
        <f>""</f>
        <v/>
      </c>
      <c r="BQ289" t="str">
        <f>""</f>
        <v/>
      </c>
      <c r="BR289" t="str">
        <f>""</f>
        <v/>
      </c>
      <c r="BS289" t="str">
        <f>""</f>
        <v/>
      </c>
      <c r="BT289" t="str">
        <f>""</f>
        <v/>
      </c>
      <c r="BU289" t="str">
        <f>""</f>
        <v/>
      </c>
      <c r="BV289" t="str">
        <f>""</f>
        <v/>
      </c>
      <c r="BW289" t="str">
        <f>""</f>
        <v/>
      </c>
      <c r="BX289" t="str">
        <f>""</f>
        <v/>
      </c>
      <c r="BY289" t="str">
        <f>""</f>
        <v/>
      </c>
      <c r="BZ289" t="str">
        <f>""</f>
        <v/>
      </c>
      <c r="CA289" t="str">
        <f>""</f>
        <v/>
      </c>
      <c r="CB289" t="str">
        <f>""</f>
        <v/>
      </c>
      <c r="CC289" t="str">
        <f>""</f>
        <v/>
      </c>
      <c r="CD289" t="str">
        <f>""</f>
        <v/>
      </c>
      <c r="CE289" t="str">
        <f>""</f>
        <v/>
      </c>
      <c r="CF289" t="str">
        <f>""</f>
        <v/>
      </c>
      <c r="CG289" t="str">
        <f>""</f>
        <v/>
      </c>
    </row>
    <row r="290" spans="1:85" x14ac:dyDescent="0.25">
      <c r="A290" t="str">
        <f>"Periodicity"</f>
        <v>Periodicity</v>
      </c>
      <c r="B290" t="str">
        <f>"CM"</f>
        <v>CM</v>
      </c>
      <c r="C290" t="str">
        <f>"AM"</f>
        <v>AM</v>
      </c>
      <c r="AT290" t="str">
        <f>""</f>
        <v/>
      </c>
      <c r="AU290" t="str">
        <f>""</f>
        <v/>
      </c>
      <c r="AV290" t="str">
        <f>""</f>
        <v/>
      </c>
      <c r="AW290" t="str">
        <f>""</f>
        <v/>
      </c>
      <c r="AX290" t="str">
        <f>""</f>
        <v/>
      </c>
      <c r="AY290" t="str">
        <f>""</f>
        <v/>
      </c>
      <c r="AZ290" t="str">
        <f>""</f>
        <v/>
      </c>
      <c r="BA290" t="str">
        <f>""</f>
        <v/>
      </c>
      <c r="BB290" t="str">
        <f>""</f>
        <v/>
      </c>
      <c r="BC290" t="str">
        <f>""</f>
        <v/>
      </c>
      <c r="BD290" t="str">
        <f>""</f>
        <v/>
      </c>
      <c r="BE290" t="str">
        <f>""</f>
        <v/>
      </c>
      <c r="BF290" t="str">
        <f>""</f>
        <v/>
      </c>
      <c r="BG290" t="str">
        <f>""</f>
        <v/>
      </c>
      <c r="BH290" t="str">
        <f>""</f>
        <v/>
      </c>
      <c r="BI290" t="str">
        <f>""</f>
        <v/>
      </c>
      <c r="BJ290" t="str">
        <f>""</f>
        <v/>
      </c>
      <c r="BK290" t="str">
        <f>""</f>
        <v/>
      </c>
      <c r="BL290" t="str">
        <f>""</f>
        <v/>
      </c>
      <c r="BM290" t="str">
        <f>""</f>
        <v/>
      </c>
      <c r="BN290" t="str">
        <f>""</f>
        <v/>
      </c>
      <c r="BO290" t="str">
        <f>""</f>
        <v/>
      </c>
      <c r="BP290" t="str">
        <f>""</f>
        <v/>
      </c>
      <c r="BQ290" t="str">
        <f>""</f>
        <v/>
      </c>
      <c r="BR290" t="str">
        <f>""</f>
        <v/>
      </c>
      <c r="BS290" t="str">
        <f>""</f>
        <v/>
      </c>
      <c r="BT290" t="str">
        <f>""</f>
        <v/>
      </c>
      <c r="BU290" t="str">
        <f>""</f>
        <v/>
      </c>
      <c r="BV290" t="str">
        <f>""</f>
        <v/>
      </c>
      <c r="BW290" t="str">
        <f>""</f>
        <v/>
      </c>
      <c r="BX290" t="str">
        <f>""</f>
        <v/>
      </c>
      <c r="BY290" t="str">
        <f>""</f>
        <v/>
      </c>
      <c r="BZ290" t="str">
        <f>""</f>
        <v/>
      </c>
      <c r="CA290" t="str">
        <f>""</f>
        <v/>
      </c>
      <c r="CB290" t="str">
        <f>""</f>
        <v/>
      </c>
      <c r="CC290" t="str">
        <f>""</f>
        <v/>
      </c>
      <c r="CD290" t="str">
        <f>""</f>
        <v/>
      </c>
      <c r="CE290" t="str">
        <f>""</f>
        <v/>
      </c>
      <c r="CF290" t="str">
        <f>""</f>
        <v/>
      </c>
      <c r="CG290" t="str">
        <f>""</f>
        <v/>
      </c>
    </row>
    <row r="291" spans="1:85" x14ac:dyDescent="0.25">
      <c r="A291" t="str">
        <f>"Number of Periods"</f>
        <v>Number of Periods</v>
      </c>
      <c r="B291">
        <f>40</f>
        <v>40</v>
      </c>
      <c r="AT291" t="str">
        <f>""</f>
        <v/>
      </c>
      <c r="AU291" t="str">
        <f>""</f>
        <v/>
      </c>
      <c r="AV291" t="str">
        <f>""</f>
        <v/>
      </c>
      <c r="AW291" t="str">
        <f>""</f>
        <v/>
      </c>
      <c r="AX291" t="str">
        <f>""</f>
        <v/>
      </c>
      <c r="AY291" t="str">
        <f>""</f>
        <v/>
      </c>
      <c r="AZ291" t="str">
        <f>""</f>
        <v/>
      </c>
      <c r="BA291" t="str">
        <f>""</f>
        <v/>
      </c>
      <c r="BB291" t="str">
        <f>""</f>
        <v/>
      </c>
      <c r="BC291" t="str">
        <f>""</f>
        <v/>
      </c>
      <c r="BD291" t="str">
        <f>""</f>
        <v/>
      </c>
      <c r="BE291" t="str">
        <f>""</f>
        <v/>
      </c>
      <c r="BF291" t="str">
        <f>""</f>
        <v/>
      </c>
      <c r="BG291" t="str">
        <f>""</f>
        <v/>
      </c>
      <c r="BH291" t="str">
        <f>""</f>
        <v/>
      </c>
      <c r="BI291" t="str">
        <f>""</f>
        <v/>
      </c>
      <c r="BJ291" t="str">
        <f>""</f>
        <v/>
      </c>
      <c r="BK291" t="str">
        <f>""</f>
        <v/>
      </c>
      <c r="BL291" t="str">
        <f>""</f>
        <v/>
      </c>
      <c r="BM291" t="str">
        <f>""</f>
        <v/>
      </c>
      <c r="BN291" t="str">
        <f>""</f>
        <v/>
      </c>
      <c r="BO291" t="str">
        <f>""</f>
        <v/>
      </c>
      <c r="BP291" t="str">
        <f>""</f>
        <v/>
      </c>
      <c r="BQ291" t="str">
        <f>""</f>
        <v/>
      </c>
      <c r="BR291" t="str">
        <f>""</f>
        <v/>
      </c>
      <c r="BS291" t="str">
        <f>""</f>
        <v/>
      </c>
      <c r="BT291" t="str">
        <f>""</f>
        <v/>
      </c>
      <c r="BU291" t="str">
        <f>""</f>
        <v/>
      </c>
      <c r="BV291" t="str">
        <f>""</f>
        <v/>
      </c>
      <c r="BW291" t="str">
        <f>""</f>
        <v/>
      </c>
      <c r="BX291" t="str">
        <f>""</f>
        <v/>
      </c>
      <c r="BY291" t="str">
        <f>""</f>
        <v/>
      </c>
      <c r="BZ291" t="str">
        <f>""</f>
        <v/>
      </c>
      <c r="CA291" t="str">
        <f>""</f>
        <v/>
      </c>
      <c r="CB291" t="str">
        <f>""</f>
        <v/>
      </c>
      <c r="CC291" t="str">
        <f>""</f>
        <v/>
      </c>
      <c r="CD291" t="str">
        <f>""</f>
        <v/>
      </c>
      <c r="CE291" t="str">
        <f>""</f>
        <v/>
      </c>
      <c r="CF291" t="str">
        <f>""</f>
        <v/>
      </c>
      <c r="CG291" t="str">
        <f>""</f>
        <v/>
      </c>
    </row>
    <row r="292" spans="1:85" x14ac:dyDescent="0.25">
      <c r="A292" t="str">
        <f>"Start Date"</f>
        <v>Start Date</v>
      </c>
      <c r="B292" t="str">
        <f>CONCATENATE("-",$B$291,$B$290)</f>
        <v>-40CM</v>
      </c>
      <c r="C292" t="str">
        <f>CONCATENATE("-",$B$291,$C$290)</f>
        <v>-40AM</v>
      </c>
      <c r="AT292" t="str">
        <f>""</f>
        <v/>
      </c>
      <c r="AU292" t="str">
        <f>""</f>
        <v/>
      </c>
      <c r="AV292" t="str">
        <f>""</f>
        <v/>
      </c>
      <c r="AW292" t="str">
        <f>""</f>
        <v/>
      </c>
      <c r="AX292" t="str">
        <f>""</f>
        <v/>
      </c>
      <c r="AY292" t="str">
        <f>""</f>
        <v/>
      </c>
      <c r="AZ292" t="str">
        <f>""</f>
        <v/>
      </c>
      <c r="BA292" t="str">
        <f>""</f>
        <v/>
      </c>
      <c r="BB292" t="str">
        <f>""</f>
        <v/>
      </c>
      <c r="BC292" t="str">
        <f>""</f>
        <v/>
      </c>
      <c r="BD292" t="str">
        <f>""</f>
        <v/>
      </c>
      <c r="BE292" t="str">
        <f>""</f>
        <v/>
      </c>
      <c r="BF292" t="str">
        <f>""</f>
        <v/>
      </c>
      <c r="BG292" t="str">
        <f>""</f>
        <v/>
      </c>
      <c r="BH292" t="str">
        <f>""</f>
        <v/>
      </c>
      <c r="BI292" t="str">
        <f>""</f>
        <v/>
      </c>
      <c r="BJ292" t="str">
        <f>""</f>
        <v/>
      </c>
      <c r="BK292" t="str">
        <f>""</f>
        <v/>
      </c>
      <c r="BL292" t="str">
        <f>""</f>
        <v/>
      </c>
      <c r="BM292" t="str">
        <f>""</f>
        <v/>
      </c>
      <c r="BN292" t="str">
        <f>""</f>
        <v/>
      </c>
      <c r="BO292" t="str">
        <f>""</f>
        <v/>
      </c>
      <c r="BP292" t="str">
        <f>""</f>
        <v/>
      </c>
      <c r="BQ292" t="str">
        <f>""</f>
        <v/>
      </c>
      <c r="BR292" t="str">
        <f>""</f>
        <v/>
      </c>
      <c r="BS292" t="str">
        <f>""</f>
        <v/>
      </c>
      <c r="BT292" t="str">
        <f>""</f>
        <v/>
      </c>
      <c r="BU292" t="str">
        <f>""</f>
        <v/>
      </c>
      <c r="BV292" t="str">
        <f>""</f>
        <v/>
      </c>
      <c r="BW292" t="str">
        <f>""</f>
        <v/>
      </c>
      <c r="BX292" t="str">
        <f>""</f>
        <v/>
      </c>
      <c r="BY292" t="str">
        <f>""</f>
        <v/>
      </c>
      <c r="BZ292" t="str">
        <f>""</f>
        <v/>
      </c>
      <c r="CA292" t="str">
        <f>""</f>
        <v/>
      </c>
      <c r="CB292" t="str">
        <f>""</f>
        <v/>
      </c>
      <c r="CC292" t="str">
        <f>""</f>
        <v/>
      </c>
      <c r="CD292" t="str">
        <f>""</f>
        <v/>
      </c>
      <c r="CE292" t="str">
        <f>""</f>
        <v/>
      </c>
      <c r="CF292" t="str">
        <f>""</f>
        <v/>
      </c>
      <c r="CG292" t="str">
        <f>""</f>
        <v/>
      </c>
    </row>
    <row r="293" spans="1:85" x14ac:dyDescent="0.25">
      <c r="A293" t="str">
        <f>"End Date"</f>
        <v>End Date</v>
      </c>
      <c r="B293">
        <f ca="1">TODAY()</f>
        <v>43073</v>
      </c>
      <c r="AT293" t="str">
        <f>""</f>
        <v/>
      </c>
      <c r="AU293" t="str">
        <f>""</f>
        <v/>
      </c>
      <c r="AV293" t="str">
        <f>""</f>
        <v/>
      </c>
      <c r="AW293" t="str">
        <f>""</f>
        <v/>
      </c>
      <c r="AX293" t="str">
        <f>""</f>
        <v/>
      </c>
      <c r="AY293" t="str">
        <f>""</f>
        <v/>
      </c>
      <c r="AZ293" t="str">
        <f>""</f>
        <v/>
      </c>
      <c r="BA293" t="str">
        <f>""</f>
        <v/>
      </c>
      <c r="BB293" t="str">
        <f>""</f>
        <v/>
      </c>
      <c r="BC293" t="str">
        <f>""</f>
        <v/>
      </c>
      <c r="BD293" t="str">
        <f>""</f>
        <v/>
      </c>
      <c r="BE293" t="str">
        <f>""</f>
        <v/>
      </c>
      <c r="BF293" t="str">
        <f>""</f>
        <v/>
      </c>
      <c r="BG293" t="str">
        <f>""</f>
        <v/>
      </c>
      <c r="BH293" t="str">
        <f>""</f>
        <v/>
      </c>
      <c r="BI293" t="str">
        <f>""</f>
        <v/>
      </c>
      <c r="BJ293" t="str">
        <f>""</f>
        <v/>
      </c>
      <c r="BK293" t="str">
        <f>""</f>
        <v/>
      </c>
      <c r="BL293" t="str">
        <f>""</f>
        <v/>
      </c>
      <c r="BM293" t="str">
        <f>""</f>
        <v/>
      </c>
      <c r="BN293" t="str">
        <f>""</f>
        <v/>
      </c>
      <c r="BO293" t="str">
        <f>""</f>
        <v/>
      </c>
      <c r="BP293" t="str">
        <f>""</f>
        <v/>
      </c>
      <c r="BQ293" t="str">
        <f>""</f>
        <v/>
      </c>
      <c r="BR293" t="str">
        <f>""</f>
        <v/>
      </c>
      <c r="BS293" t="str">
        <f>""</f>
        <v/>
      </c>
      <c r="BT293" t="str">
        <f>""</f>
        <v/>
      </c>
      <c r="BU293" t="str">
        <f>""</f>
        <v/>
      </c>
      <c r="BV293" t="str">
        <f>""</f>
        <v/>
      </c>
      <c r="BW293" t="str">
        <f>""</f>
        <v/>
      </c>
      <c r="BX293" t="str">
        <f>""</f>
        <v/>
      </c>
      <c r="BY293" t="str">
        <f>""</f>
        <v/>
      </c>
      <c r="BZ293" t="str">
        <f>""</f>
        <v/>
      </c>
      <c r="CA293" t="str">
        <f>""</f>
        <v/>
      </c>
      <c r="CB293" t="str">
        <f>""</f>
        <v/>
      </c>
      <c r="CC293" t="str">
        <f>""</f>
        <v/>
      </c>
      <c r="CD293" t="str">
        <f>""</f>
        <v/>
      </c>
      <c r="CE293" t="str">
        <f>""</f>
        <v/>
      </c>
      <c r="CF293" t="str">
        <f>""</f>
        <v/>
      </c>
      <c r="CG293" t="str">
        <f>""</f>
        <v/>
      </c>
    </row>
    <row r="294" spans="1:85" x14ac:dyDescent="0.25">
      <c r="A294" t="str">
        <f>"HeaderStatus"</f>
        <v>HeaderStatus</v>
      </c>
      <c r="B294">
        <f ca="1">$B$390*$B$398</f>
        <v>4</v>
      </c>
      <c r="AT294" t="str">
        <f>""</f>
        <v/>
      </c>
      <c r="AU294" t="str">
        <f>""</f>
        <v/>
      </c>
      <c r="AV294" t="str">
        <f>""</f>
        <v/>
      </c>
      <c r="AW294" t="str">
        <f>""</f>
        <v/>
      </c>
      <c r="AX294" t="str">
        <f>""</f>
        <v/>
      </c>
      <c r="AY294" t="str">
        <f>""</f>
        <v/>
      </c>
      <c r="AZ294" t="str">
        <f>""</f>
        <v/>
      </c>
      <c r="BA294" t="str">
        <f>""</f>
        <v/>
      </c>
      <c r="BB294" t="str">
        <f>""</f>
        <v/>
      </c>
      <c r="BC294" t="str">
        <f>""</f>
        <v/>
      </c>
      <c r="BD294" t="str">
        <f>""</f>
        <v/>
      </c>
      <c r="BE294" t="str">
        <f>""</f>
        <v/>
      </c>
      <c r="BF294" t="str">
        <f>""</f>
        <v/>
      </c>
      <c r="BG294" t="str">
        <f>""</f>
        <v/>
      </c>
      <c r="BH294" t="str">
        <f>""</f>
        <v/>
      </c>
      <c r="BI294" t="str">
        <f>""</f>
        <v/>
      </c>
      <c r="BJ294" t="str">
        <f>""</f>
        <v/>
      </c>
      <c r="BK294" t="str">
        <f>""</f>
        <v/>
      </c>
      <c r="BL294" t="str">
        <f>""</f>
        <v/>
      </c>
      <c r="BM294" t="str">
        <f>""</f>
        <v/>
      </c>
      <c r="BN294" t="str">
        <f>""</f>
        <v/>
      </c>
      <c r="BO294" t="str">
        <f>""</f>
        <v/>
      </c>
      <c r="BP294" t="str">
        <f>""</f>
        <v/>
      </c>
      <c r="BQ294" t="str">
        <f>""</f>
        <v/>
      </c>
      <c r="BR294" t="str">
        <f>""</f>
        <v/>
      </c>
      <c r="BS294" t="str">
        <f>""</f>
        <v/>
      </c>
      <c r="BT294" t="str">
        <f>""</f>
        <v/>
      </c>
      <c r="BU294" t="str">
        <f>""</f>
        <v/>
      </c>
      <c r="BV294" t="str">
        <f>""</f>
        <v/>
      </c>
      <c r="BW294" t="str">
        <f>""</f>
        <v/>
      </c>
      <c r="BX294" t="str">
        <f>""</f>
        <v/>
      </c>
      <c r="BY294" t="str">
        <f>""</f>
        <v/>
      </c>
      <c r="BZ294" t="str">
        <f>""</f>
        <v/>
      </c>
      <c r="CA294" t="str">
        <f>""</f>
        <v/>
      </c>
      <c r="CB294" t="str">
        <f>""</f>
        <v/>
      </c>
      <c r="CC294" t="str">
        <f>""</f>
        <v/>
      </c>
      <c r="CD294" t="str">
        <f>""</f>
        <v/>
      </c>
      <c r="CE294" t="str">
        <f>""</f>
        <v/>
      </c>
      <c r="CF294" t="str">
        <f>""</f>
        <v/>
      </c>
      <c r="CG294" t="str">
        <f>""</f>
        <v/>
      </c>
    </row>
    <row r="295" spans="1:85" x14ac:dyDescent="0.25">
      <c r="AT295" t="str">
        <f>""</f>
        <v/>
      </c>
      <c r="AU295" t="str">
        <f>""</f>
        <v/>
      </c>
      <c r="AV295" t="str">
        <f>""</f>
        <v/>
      </c>
      <c r="AW295" t="str">
        <f>""</f>
        <v/>
      </c>
      <c r="AX295" t="str">
        <f>""</f>
        <v/>
      </c>
      <c r="AY295" t="str">
        <f>""</f>
        <v/>
      </c>
      <c r="AZ295" t="str">
        <f>""</f>
        <v/>
      </c>
      <c r="BA295" t="str">
        <f>""</f>
        <v/>
      </c>
      <c r="BB295" t="str">
        <f>""</f>
        <v/>
      </c>
      <c r="BC295" t="str">
        <f>""</f>
        <v/>
      </c>
      <c r="BD295" t="str">
        <f>""</f>
        <v/>
      </c>
      <c r="BE295" t="str">
        <f>""</f>
        <v/>
      </c>
      <c r="BF295" t="str">
        <f>""</f>
        <v/>
      </c>
      <c r="BG295" t="str">
        <f>""</f>
        <v/>
      </c>
      <c r="BH295" t="str">
        <f>""</f>
        <v/>
      </c>
      <c r="BI295" t="str">
        <f>""</f>
        <v/>
      </c>
      <c r="BJ295" t="str">
        <f>""</f>
        <v/>
      </c>
      <c r="BK295" t="str">
        <f>""</f>
        <v/>
      </c>
      <c r="BL295" t="str">
        <f>""</f>
        <v/>
      </c>
      <c r="BM295" t="str">
        <f>""</f>
        <v/>
      </c>
      <c r="BN295" t="str">
        <f>""</f>
        <v/>
      </c>
      <c r="BO295" t="str">
        <f>""</f>
        <v/>
      </c>
      <c r="BP295" t="str">
        <f>""</f>
        <v/>
      </c>
      <c r="BQ295" t="str">
        <f>""</f>
        <v/>
      </c>
      <c r="BR295" t="str">
        <f>""</f>
        <v/>
      </c>
      <c r="BS295" t="str">
        <f>""</f>
        <v/>
      </c>
      <c r="BT295" t="str">
        <f>""</f>
        <v/>
      </c>
      <c r="BU295" t="str">
        <f>""</f>
        <v/>
      </c>
      <c r="BV295" t="str">
        <f>""</f>
        <v/>
      </c>
      <c r="BW295" t="str">
        <f>""</f>
        <v/>
      </c>
      <c r="BX295" t="str">
        <f>""</f>
        <v/>
      </c>
      <c r="BY295" t="str">
        <f>""</f>
        <v/>
      </c>
      <c r="BZ295" t="str">
        <f>""</f>
        <v/>
      </c>
      <c r="CA295" t="str">
        <f>""</f>
        <v/>
      </c>
      <c r="CB295" t="str">
        <f>""</f>
        <v/>
      </c>
      <c r="CC295" t="str">
        <f>""</f>
        <v/>
      </c>
      <c r="CD295" t="str">
        <f>""</f>
        <v/>
      </c>
      <c r="CE295" t="str">
        <f>""</f>
        <v/>
      </c>
      <c r="CF295" t="str">
        <f>""</f>
        <v/>
      </c>
      <c r="CG295" t="str">
        <f>""</f>
        <v/>
      </c>
    </row>
    <row r="296" spans="1:85" x14ac:dyDescent="0.25">
      <c r="A296" t="str">
        <f>$A$162</f>
        <v>Total North America (Class 8)</v>
      </c>
      <c r="B296" t="str">
        <f>$B$162</f>
        <v>TRCKNA8S Index</v>
      </c>
      <c r="C296" t="str">
        <f>$C$162</f>
        <v>PR005</v>
      </c>
      <c r="D296" t="str">
        <f>$D$162</f>
        <v>PX_LAST</v>
      </c>
      <c r="E296" t="str">
        <f>$E$162</f>
        <v>Dynamic</v>
      </c>
      <c r="F296" t="str">
        <f ca="1">_xll.BDH($B$162,$C$162,$B$292,$B$293,CONCATENATE("Per=",$B$290),"Dts=H","Dir=H",CONCATENATE("Points=",$B$291),"Sort=R","Days=A","Fill=B",CONCATENATE("FX=", $B$289),"cols=40;rows=1")</f>
        <v/>
      </c>
      <c r="H296">
        <v>23156</v>
      </c>
      <c r="I296">
        <v>22487</v>
      </c>
      <c r="J296">
        <v>21659</v>
      </c>
      <c r="K296">
        <v>19665</v>
      </c>
      <c r="L296">
        <v>22164</v>
      </c>
      <c r="M296">
        <v>20944</v>
      </c>
      <c r="N296">
        <v>17952</v>
      </c>
      <c r="O296">
        <v>19393</v>
      </c>
      <c r="P296">
        <v>14629</v>
      </c>
      <c r="Q296">
        <v>14271</v>
      </c>
      <c r="R296">
        <v>21679</v>
      </c>
      <c r="S296">
        <v>19143</v>
      </c>
      <c r="T296">
        <v>18449</v>
      </c>
      <c r="U296">
        <v>19789</v>
      </c>
      <c r="V296">
        <v>20439</v>
      </c>
      <c r="W296">
        <v>17631</v>
      </c>
      <c r="X296">
        <v>22619</v>
      </c>
      <c r="Y296">
        <v>21848</v>
      </c>
      <c r="Z296">
        <v>20898</v>
      </c>
      <c r="AA296">
        <v>24108</v>
      </c>
      <c r="AB296">
        <v>19685</v>
      </c>
      <c r="AC296">
        <v>19395</v>
      </c>
      <c r="AD296">
        <v>25767</v>
      </c>
      <c r="AE296">
        <v>23362</v>
      </c>
      <c r="AF296">
        <v>24031</v>
      </c>
      <c r="AG296">
        <v>25808</v>
      </c>
      <c r="AH296">
        <v>26349</v>
      </c>
      <c r="AI296">
        <v>28082</v>
      </c>
      <c r="AJ296">
        <v>29906</v>
      </c>
      <c r="AK296">
        <v>25874</v>
      </c>
      <c r="AL296">
        <v>25050</v>
      </c>
      <c r="AM296">
        <v>25206</v>
      </c>
      <c r="AN296">
        <v>21673</v>
      </c>
      <c r="AO296">
        <v>21180</v>
      </c>
      <c r="AP296">
        <v>28502</v>
      </c>
      <c r="AQ296">
        <v>21371</v>
      </c>
      <c r="AR296">
        <v>27237</v>
      </c>
      <c r="AS296">
        <v>24427</v>
      </c>
      <c r="AT296" t="str">
        <f>""</f>
        <v/>
      </c>
      <c r="AU296" t="str">
        <f>""</f>
        <v/>
      </c>
      <c r="AV296" t="str">
        <f>""</f>
        <v/>
      </c>
      <c r="AW296" t="str">
        <f>""</f>
        <v/>
      </c>
      <c r="AX296" t="str">
        <f>""</f>
        <v/>
      </c>
      <c r="AY296" t="str">
        <f>""</f>
        <v/>
      </c>
      <c r="AZ296" t="str">
        <f>""</f>
        <v/>
      </c>
      <c r="BA296" t="str">
        <f>""</f>
        <v/>
      </c>
      <c r="BB296" t="str">
        <f>""</f>
        <v/>
      </c>
      <c r="BC296" t="str">
        <f>""</f>
        <v/>
      </c>
      <c r="BD296" t="str">
        <f>""</f>
        <v/>
      </c>
      <c r="BE296" t="str">
        <f>""</f>
        <v/>
      </c>
      <c r="BF296" t="str">
        <f>""</f>
        <v/>
      </c>
      <c r="BG296" t="str">
        <f>""</f>
        <v/>
      </c>
      <c r="BH296" t="str">
        <f>""</f>
        <v/>
      </c>
      <c r="BI296" t="str">
        <f>""</f>
        <v/>
      </c>
      <c r="BJ296" t="str">
        <f>""</f>
        <v/>
      </c>
      <c r="BK296" t="str">
        <f>""</f>
        <v/>
      </c>
      <c r="BL296" t="str">
        <f>""</f>
        <v/>
      </c>
      <c r="BM296" t="str">
        <f>""</f>
        <v/>
      </c>
      <c r="BN296" t="str">
        <f>""</f>
        <v/>
      </c>
      <c r="BO296" t="str">
        <f>""</f>
        <v/>
      </c>
      <c r="BP296" t="str">
        <f>""</f>
        <v/>
      </c>
      <c r="BQ296" t="str">
        <f>""</f>
        <v/>
      </c>
      <c r="BR296" t="str">
        <f>""</f>
        <v/>
      </c>
      <c r="BS296" t="str">
        <f>""</f>
        <v/>
      </c>
      <c r="BT296" t="str">
        <f>""</f>
        <v/>
      </c>
      <c r="BU296" t="str">
        <f>""</f>
        <v/>
      </c>
      <c r="BV296" t="str">
        <f>""</f>
        <v/>
      </c>
      <c r="BW296" t="str">
        <f>""</f>
        <v/>
      </c>
      <c r="BX296" t="str">
        <f>""</f>
        <v/>
      </c>
      <c r="BY296" t="str">
        <f>""</f>
        <v/>
      </c>
      <c r="BZ296" t="str">
        <f>""</f>
        <v/>
      </c>
      <c r="CA296" t="str">
        <f>""</f>
        <v/>
      </c>
      <c r="CB296" t="str">
        <f>""</f>
        <v/>
      </c>
      <c r="CC296" t="str">
        <f>""</f>
        <v/>
      </c>
      <c r="CD296" t="str">
        <f>""</f>
        <v/>
      </c>
      <c r="CE296" t="str">
        <f>""</f>
        <v/>
      </c>
      <c r="CF296" t="str">
        <f>""</f>
        <v/>
      </c>
      <c r="CG296" t="str">
        <f>""</f>
        <v/>
      </c>
    </row>
    <row r="297" spans="1:85" x14ac:dyDescent="0.25">
      <c r="A297" t="str">
        <f>$A$177</f>
        <v>United States (Class 8)</v>
      </c>
      <c r="B297" t="str">
        <f>$B$177</f>
        <v>TRCKUS8S Index</v>
      </c>
      <c r="C297" t="str">
        <f>$C$177</f>
        <v>PR005</v>
      </c>
      <c r="D297" t="str">
        <f>$D$177</f>
        <v>PX_LAST</v>
      </c>
      <c r="E297" t="str">
        <f>$E$177</f>
        <v>Dynamic</v>
      </c>
      <c r="F297" t="str">
        <f ca="1">_xll.BDH($B$177,$C$177,$B$292,$B$293,CONCATENATE("Per=",$B$290),"Dts=H","Dir=H",CONCATENATE("Points=",$B$291),"Sort=R","Days=A","Fill=B",CONCATENATE("FX=", $B$289),"cols=40;rows=1")</f>
        <v/>
      </c>
      <c r="H297">
        <v>17928</v>
      </c>
      <c r="I297">
        <v>17667</v>
      </c>
      <c r="J297">
        <v>17166</v>
      </c>
      <c r="K297">
        <v>15317</v>
      </c>
      <c r="L297">
        <v>17310</v>
      </c>
      <c r="M297">
        <v>16248</v>
      </c>
      <c r="N297">
        <v>13836</v>
      </c>
      <c r="O297">
        <v>14793</v>
      </c>
      <c r="P297">
        <v>11200</v>
      </c>
      <c r="Q297">
        <v>10944</v>
      </c>
      <c r="R297">
        <v>15629</v>
      </c>
      <c r="S297">
        <v>13943</v>
      </c>
      <c r="T297">
        <v>13618</v>
      </c>
      <c r="U297">
        <v>14968</v>
      </c>
      <c r="V297">
        <v>16262</v>
      </c>
      <c r="W297">
        <v>14085</v>
      </c>
      <c r="X297">
        <v>18354</v>
      </c>
      <c r="Y297">
        <v>17312</v>
      </c>
      <c r="Z297">
        <v>16633</v>
      </c>
      <c r="AA297">
        <v>20034</v>
      </c>
      <c r="AB297">
        <v>15876</v>
      </c>
      <c r="AC297">
        <v>15949</v>
      </c>
      <c r="AD297">
        <v>20773</v>
      </c>
      <c r="AE297">
        <v>19204</v>
      </c>
      <c r="AF297">
        <v>19256</v>
      </c>
      <c r="AG297">
        <v>20978</v>
      </c>
      <c r="AH297">
        <v>21999</v>
      </c>
      <c r="AI297">
        <v>23392</v>
      </c>
      <c r="AJ297">
        <v>25366</v>
      </c>
      <c r="AK297">
        <v>21506</v>
      </c>
      <c r="AL297">
        <v>20509</v>
      </c>
      <c r="AM297">
        <v>20628</v>
      </c>
      <c r="AN297">
        <v>17820</v>
      </c>
      <c r="AO297">
        <v>17373</v>
      </c>
      <c r="AP297">
        <v>23379</v>
      </c>
      <c r="AQ297">
        <v>16706</v>
      </c>
      <c r="AR297">
        <v>22032</v>
      </c>
      <c r="AS297">
        <v>20078</v>
      </c>
      <c r="AT297" t="str">
        <f>""</f>
        <v/>
      </c>
      <c r="AU297" t="str">
        <f>""</f>
        <v/>
      </c>
      <c r="AV297" t="str">
        <f>""</f>
        <v/>
      </c>
      <c r="AW297" t="str">
        <f>""</f>
        <v/>
      </c>
      <c r="AX297" t="str">
        <f>""</f>
        <v/>
      </c>
      <c r="AY297" t="str">
        <f>""</f>
        <v/>
      </c>
      <c r="AZ297" t="str">
        <f>""</f>
        <v/>
      </c>
      <c r="BA297" t="str">
        <f>""</f>
        <v/>
      </c>
      <c r="BB297" t="str">
        <f>""</f>
        <v/>
      </c>
      <c r="BC297" t="str">
        <f>""</f>
        <v/>
      </c>
      <c r="BD297" t="str">
        <f>""</f>
        <v/>
      </c>
      <c r="BE297" t="str">
        <f>""</f>
        <v/>
      </c>
      <c r="BF297" t="str">
        <f>""</f>
        <v/>
      </c>
      <c r="BG297" t="str">
        <f>""</f>
        <v/>
      </c>
      <c r="BH297" t="str">
        <f>""</f>
        <v/>
      </c>
      <c r="BI297" t="str">
        <f>""</f>
        <v/>
      </c>
      <c r="BJ297" t="str">
        <f>""</f>
        <v/>
      </c>
      <c r="BK297" t="str">
        <f>""</f>
        <v/>
      </c>
      <c r="BL297" t="str">
        <f>""</f>
        <v/>
      </c>
      <c r="BM297" t="str">
        <f>""</f>
        <v/>
      </c>
      <c r="BN297" t="str">
        <f>""</f>
        <v/>
      </c>
      <c r="BO297" t="str">
        <f>""</f>
        <v/>
      </c>
      <c r="BP297" t="str">
        <f>""</f>
        <v/>
      </c>
      <c r="BQ297" t="str">
        <f>""</f>
        <v/>
      </c>
      <c r="BR297" t="str">
        <f>""</f>
        <v/>
      </c>
      <c r="BS297" t="str">
        <f>""</f>
        <v/>
      </c>
      <c r="BT297" t="str">
        <f>""</f>
        <v/>
      </c>
      <c r="BU297" t="str">
        <f>""</f>
        <v/>
      </c>
      <c r="BV297" t="str">
        <f>""</f>
        <v/>
      </c>
      <c r="BW297" t="str">
        <f>""</f>
        <v/>
      </c>
      <c r="BX297" t="str">
        <f>""</f>
        <v/>
      </c>
      <c r="BY297" t="str">
        <f>""</f>
        <v/>
      </c>
      <c r="BZ297" t="str">
        <f>""</f>
        <v/>
      </c>
      <c r="CA297" t="str">
        <f>""</f>
        <v/>
      </c>
      <c r="CB297" t="str">
        <f>""</f>
        <v/>
      </c>
      <c r="CC297" t="str">
        <f>""</f>
        <v/>
      </c>
      <c r="CD297" t="str">
        <f>""</f>
        <v/>
      </c>
      <c r="CE297" t="str">
        <f>""</f>
        <v/>
      </c>
      <c r="CF297" t="str">
        <f>""</f>
        <v/>
      </c>
      <c r="CG297" t="str">
        <f>""</f>
        <v/>
      </c>
    </row>
    <row r="298" spans="1:85" x14ac:dyDescent="0.25">
      <c r="A298" t="str">
        <f>$A$178</f>
        <v xml:space="preserve">    Daimler - Freightliner</v>
      </c>
      <c r="B298" t="str">
        <f>$B$178</f>
        <v>DAI GR Equity</v>
      </c>
      <c r="C298" t="str">
        <f>$C$178</f>
        <v>X1701</v>
      </c>
      <c r="D298" t="str">
        <f>$D$178</f>
        <v>WARDS_RETAIL_SALES_UNITS</v>
      </c>
      <c r="E298" t="str">
        <f>$E$178</f>
        <v>Dynamic</v>
      </c>
      <c r="F298" t="str">
        <f ca="1">_xll.BDH($B$178,$C$178,$B$292,$B$293,CONCATENATE("Per=",$B$290),"Dts=H","Dir=H",CONCATENATE("Points=",$B$291),"Sort=R","Days=A","Fill=B","DZ665=16578413","X0012=Class 8","X0001=NAUS",CONCATENATE("FX=", $B$289),"cols=40;rows=1")</f>
        <v/>
      </c>
      <c r="G298">
        <v>6334</v>
      </c>
      <c r="H298">
        <v>7252</v>
      </c>
      <c r="I298">
        <v>5848</v>
      </c>
      <c r="J298">
        <v>5787</v>
      </c>
      <c r="K298">
        <v>6313</v>
      </c>
      <c r="L298">
        <v>6900</v>
      </c>
      <c r="M298">
        <v>4965</v>
      </c>
      <c r="N298">
        <v>5322</v>
      </c>
      <c r="O298">
        <v>4310</v>
      </c>
      <c r="P298">
        <v>4077</v>
      </c>
      <c r="Q298">
        <v>4375</v>
      </c>
      <c r="R298">
        <v>5538</v>
      </c>
      <c r="S298">
        <v>4371</v>
      </c>
      <c r="T298">
        <v>5131</v>
      </c>
      <c r="U298">
        <v>6127</v>
      </c>
      <c r="V298">
        <v>4912</v>
      </c>
      <c r="W298">
        <v>6725</v>
      </c>
      <c r="X298">
        <v>7012</v>
      </c>
      <c r="Y298">
        <v>6358</v>
      </c>
      <c r="Z298">
        <v>8562</v>
      </c>
      <c r="AA298">
        <v>6487</v>
      </c>
      <c r="AB298">
        <v>6915</v>
      </c>
      <c r="AC298">
        <v>6846</v>
      </c>
      <c r="AD298">
        <v>9208</v>
      </c>
      <c r="AE298">
        <v>8033</v>
      </c>
      <c r="AF298">
        <v>8025</v>
      </c>
      <c r="AG298">
        <v>8272</v>
      </c>
      <c r="AH298">
        <v>9114</v>
      </c>
      <c r="AI298">
        <v>9386</v>
      </c>
      <c r="AJ298">
        <v>8254</v>
      </c>
      <c r="AK298">
        <v>6689</v>
      </c>
      <c r="AL298">
        <v>6776</v>
      </c>
      <c r="AM298">
        <v>7002</v>
      </c>
      <c r="AN298">
        <v>7755</v>
      </c>
      <c r="AO298">
        <v>8187</v>
      </c>
      <c r="AP298">
        <v>5691</v>
      </c>
      <c r="AQ298">
        <v>8153</v>
      </c>
      <c r="AR298">
        <v>7226</v>
      </c>
      <c r="AS298">
        <v>7027</v>
      </c>
      <c r="AT298" t="str">
        <f>""</f>
        <v/>
      </c>
      <c r="AU298" t="str">
        <f>""</f>
        <v/>
      </c>
      <c r="AV298" t="str">
        <f>""</f>
        <v/>
      </c>
      <c r="AW298" t="str">
        <f>""</f>
        <v/>
      </c>
      <c r="AX298" t="str">
        <f>""</f>
        <v/>
      </c>
      <c r="AY298" t="str">
        <f>""</f>
        <v/>
      </c>
      <c r="AZ298" t="str">
        <f>""</f>
        <v/>
      </c>
      <c r="BA298" t="str">
        <f>""</f>
        <v/>
      </c>
      <c r="BB298" t="str">
        <f>""</f>
        <v/>
      </c>
      <c r="BC298" t="str">
        <f>""</f>
        <v/>
      </c>
      <c r="BD298" t="str">
        <f>""</f>
        <v/>
      </c>
      <c r="BE298" t="str">
        <f>""</f>
        <v/>
      </c>
      <c r="BF298" t="str">
        <f>""</f>
        <v/>
      </c>
      <c r="BG298" t="str">
        <f>""</f>
        <v/>
      </c>
      <c r="BH298" t="str">
        <f>""</f>
        <v/>
      </c>
      <c r="BI298" t="str">
        <f>""</f>
        <v/>
      </c>
      <c r="BJ298" t="str">
        <f>""</f>
        <v/>
      </c>
      <c r="BK298" t="str">
        <f>""</f>
        <v/>
      </c>
      <c r="BL298" t="str">
        <f>""</f>
        <v/>
      </c>
      <c r="BM298" t="str">
        <f>""</f>
        <v/>
      </c>
      <c r="BN298" t="str">
        <f>""</f>
        <v/>
      </c>
      <c r="BO298" t="str">
        <f>""</f>
        <v/>
      </c>
      <c r="BP298" t="str">
        <f>""</f>
        <v/>
      </c>
      <c r="BQ298" t="str">
        <f>""</f>
        <v/>
      </c>
      <c r="BR298" t="str">
        <f>""</f>
        <v/>
      </c>
      <c r="BS298" t="str">
        <f>""</f>
        <v/>
      </c>
      <c r="BT298" t="str">
        <f>""</f>
        <v/>
      </c>
      <c r="BU298" t="str">
        <f>""</f>
        <v/>
      </c>
      <c r="BV298" t="str">
        <f>""</f>
        <v/>
      </c>
      <c r="BW298" t="str">
        <f>""</f>
        <v/>
      </c>
      <c r="BX298" t="str">
        <f>""</f>
        <v/>
      </c>
      <c r="BY298" t="str">
        <f>""</f>
        <v/>
      </c>
      <c r="BZ298" t="str">
        <f>""</f>
        <v/>
      </c>
      <c r="CA298" t="str">
        <f>""</f>
        <v/>
      </c>
      <c r="CB298" t="str">
        <f>""</f>
        <v/>
      </c>
      <c r="CC298" t="str">
        <f>""</f>
        <v/>
      </c>
      <c r="CD298" t="str">
        <f>""</f>
        <v/>
      </c>
      <c r="CE298" t="str">
        <f>""</f>
        <v/>
      </c>
      <c r="CF298" t="str">
        <f>""</f>
        <v/>
      </c>
      <c r="CG298" t="str">
        <f>""</f>
        <v/>
      </c>
    </row>
    <row r="299" spans="1:85" x14ac:dyDescent="0.25">
      <c r="A299" t="str">
        <f>$A$179</f>
        <v xml:space="preserve">    Daimler - Western Star</v>
      </c>
      <c r="B299" t="str">
        <f>$B$179</f>
        <v>DAI GR Equity</v>
      </c>
      <c r="C299" t="str">
        <f>$C$179</f>
        <v>X1701</v>
      </c>
      <c r="D299" t="str">
        <f>$D$179</f>
        <v>WARDS_RETAIL_SALES_UNITS</v>
      </c>
      <c r="E299" t="str">
        <f>$E$179</f>
        <v>Dynamic</v>
      </c>
      <c r="F299" t="str">
        <f ca="1">_xll.BDH($B$179,$C$179,$B$292,$B$293,CONCATENATE("Per=",$B$290),"Dts=H","Dir=H",CONCATENATE("Points=",$B$291),"Sort=R","Days=A","Fill=B","DZ665=16578421","X0012=Class 8","X0001=NAUS",CONCATENATE("FX=", $B$289),"cols=40;rows=1")</f>
        <v/>
      </c>
      <c r="G299">
        <v>373</v>
      </c>
      <c r="H299">
        <v>413</v>
      </c>
      <c r="I299">
        <v>473</v>
      </c>
      <c r="J299">
        <v>442</v>
      </c>
      <c r="K299">
        <v>560</v>
      </c>
      <c r="L299">
        <v>405</v>
      </c>
      <c r="M299">
        <v>432</v>
      </c>
      <c r="N299">
        <v>447</v>
      </c>
      <c r="O299">
        <v>281</v>
      </c>
      <c r="P299">
        <v>272</v>
      </c>
      <c r="Q299">
        <v>521</v>
      </c>
      <c r="R299">
        <v>403</v>
      </c>
      <c r="S299">
        <v>323</v>
      </c>
      <c r="T299">
        <v>333</v>
      </c>
      <c r="U299">
        <v>386</v>
      </c>
      <c r="V299">
        <v>385</v>
      </c>
      <c r="W299">
        <v>453</v>
      </c>
      <c r="X299">
        <v>463</v>
      </c>
      <c r="Y299">
        <v>483</v>
      </c>
      <c r="Z299">
        <v>475</v>
      </c>
      <c r="AA299">
        <v>371</v>
      </c>
      <c r="AB299">
        <v>353</v>
      </c>
      <c r="AC299">
        <v>576</v>
      </c>
      <c r="AD299">
        <v>382</v>
      </c>
      <c r="AE299">
        <v>392</v>
      </c>
      <c r="AF299">
        <v>375</v>
      </c>
      <c r="AG299">
        <v>406</v>
      </c>
      <c r="AH299">
        <v>355</v>
      </c>
      <c r="AI299">
        <v>536</v>
      </c>
      <c r="AJ299">
        <v>391</v>
      </c>
      <c r="AK299">
        <v>376</v>
      </c>
      <c r="AL299">
        <v>407</v>
      </c>
      <c r="AM299">
        <v>333</v>
      </c>
      <c r="AN299">
        <v>325</v>
      </c>
      <c r="AO299">
        <v>646</v>
      </c>
      <c r="AP299">
        <v>289</v>
      </c>
      <c r="AQ299">
        <v>349</v>
      </c>
      <c r="AR299">
        <v>250</v>
      </c>
      <c r="AS299">
        <v>370</v>
      </c>
      <c r="AT299" t="str">
        <f>""</f>
        <v/>
      </c>
      <c r="AU299" t="str">
        <f>""</f>
        <v/>
      </c>
      <c r="AV299" t="str">
        <f>""</f>
        <v/>
      </c>
      <c r="AW299" t="str">
        <f>""</f>
        <v/>
      </c>
      <c r="AX299" t="str">
        <f>""</f>
        <v/>
      </c>
      <c r="AY299" t="str">
        <f>""</f>
        <v/>
      </c>
      <c r="AZ299" t="str">
        <f>""</f>
        <v/>
      </c>
      <c r="BA299" t="str">
        <f>""</f>
        <v/>
      </c>
      <c r="BB299" t="str">
        <f>""</f>
        <v/>
      </c>
      <c r="BC299" t="str">
        <f>""</f>
        <v/>
      </c>
      <c r="BD299" t="str">
        <f>""</f>
        <v/>
      </c>
      <c r="BE299" t="str">
        <f>""</f>
        <v/>
      </c>
      <c r="BF299" t="str">
        <f>""</f>
        <v/>
      </c>
      <c r="BG299" t="str">
        <f>""</f>
        <v/>
      </c>
      <c r="BH299" t="str">
        <f>""</f>
        <v/>
      </c>
      <c r="BI299" t="str">
        <f>""</f>
        <v/>
      </c>
      <c r="BJ299" t="str">
        <f>""</f>
        <v/>
      </c>
      <c r="BK299" t="str">
        <f>""</f>
        <v/>
      </c>
      <c r="BL299" t="str">
        <f>""</f>
        <v/>
      </c>
      <c r="BM299" t="str">
        <f>""</f>
        <v/>
      </c>
      <c r="BN299" t="str">
        <f>""</f>
        <v/>
      </c>
      <c r="BO299" t="str">
        <f>""</f>
        <v/>
      </c>
      <c r="BP299" t="str">
        <f>""</f>
        <v/>
      </c>
      <c r="BQ299" t="str">
        <f>""</f>
        <v/>
      </c>
      <c r="BR299" t="str">
        <f>""</f>
        <v/>
      </c>
      <c r="BS299" t="str">
        <f>""</f>
        <v/>
      </c>
      <c r="BT299" t="str">
        <f>""</f>
        <v/>
      </c>
      <c r="BU299" t="str">
        <f>""</f>
        <v/>
      </c>
      <c r="BV299" t="str">
        <f>""</f>
        <v/>
      </c>
      <c r="BW299" t="str">
        <f>""</f>
        <v/>
      </c>
      <c r="BX299" t="str">
        <f>""</f>
        <v/>
      </c>
      <c r="BY299" t="str">
        <f>""</f>
        <v/>
      </c>
      <c r="BZ299" t="str">
        <f>""</f>
        <v/>
      </c>
      <c r="CA299" t="str">
        <f>""</f>
        <v/>
      </c>
      <c r="CB299" t="str">
        <f>""</f>
        <v/>
      </c>
      <c r="CC299" t="str">
        <f>""</f>
        <v/>
      </c>
      <c r="CD299" t="str">
        <f>""</f>
        <v/>
      </c>
      <c r="CE299" t="str">
        <f>""</f>
        <v/>
      </c>
      <c r="CF299" t="str">
        <f>""</f>
        <v/>
      </c>
      <c r="CG299" t="str">
        <f>""</f>
        <v/>
      </c>
    </row>
    <row r="300" spans="1:85" x14ac:dyDescent="0.25">
      <c r="A300" t="str">
        <f>$A$180</f>
        <v xml:space="preserve">    Daimler - Sterling</v>
      </c>
      <c r="B300" t="str">
        <f>$B$180</f>
        <v>DAI GR Equity</v>
      </c>
      <c r="C300" t="str">
        <f>$C$180</f>
        <v>X1701</v>
      </c>
      <c r="D300" t="str">
        <f>$D$180</f>
        <v>WARDS_RETAIL_SALES_UNITS</v>
      </c>
      <c r="E300" t="str">
        <f>$E$180</f>
        <v>Dynamic</v>
      </c>
      <c r="F300" t="str">
        <f ca="1">_xll.BDH($B$180,$C$180,$B$292,$B$293,CONCATENATE("Per=",$B$290),"Dts=H","Dir=H",CONCATENATE("Points=",$B$291),"Sort=R","Days=A","Fill=B","DZ665=25574529","X0012=Class 8","X0001=NAUS",CONCATENATE("FX=", $B$289) )</f>
        <v/>
      </c>
      <c r="AT300" t="str">
        <f>""</f>
        <v/>
      </c>
      <c r="AU300" t="str">
        <f>""</f>
        <v/>
      </c>
      <c r="AV300" t="str">
        <f>""</f>
        <v/>
      </c>
      <c r="AW300" t="str">
        <f>""</f>
        <v/>
      </c>
      <c r="AX300" t="str">
        <f>""</f>
        <v/>
      </c>
      <c r="AY300" t="str">
        <f>""</f>
        <v/>
      </c>
      <c r="AZ300" t="str">
        <f>""</f>
        <v/>
      </c>
      <c r="BA300" t="str">
        <f>""</f>
        <v/>
      </c>
      <c r="BB300" t="str">
        <f>""</f>
        <v/>
      </c>
      <c r="BC300" t="str">
        <f>""</f>
        <v/>
      </c>
      <c r="BD300" t="str">
        <f>""</f>
        <v/>
      </c>
      <c r="BE300" t="str">
        <f>""</f>
        <v/>
      </c>
      <c r="BF300" t="str">
        <f>""</f>
        <v/>
      </c>
      <c r="BG300" t="str">
        <f>""</f>
        <v/>
      </c>
      <c r="BH300" t="str">
        <f>""</f>
        <v/>
      </c>
      <c r="BI300" t="str">
        <f>""</f>
        <v/>
      </c>
      <c r="BJ300" t="str">
        <f>""</f>
        <v/>
      </c>
      <c r="BK300" t="str">
        <f>""</f>
        <v/>
      </c>
      <c r="BL300" t="str">
        <f>""</f>
        <v/>
      </c>
      <c r="BM300" t="str">
        <f>""</f>
        <v/>
      </c>
      <c r="BN300" t="str">
        <f>""</f>
        <v/>
      </c>
      <c r="BO300" t="str">
        <f>""</f>
        <v/>
      </c>
      <c r="BP300" t="str">
        <f>""</f>
        <v/>
      </c>
      <c r="BQ300" t="str">
        <f>""</f>
        <v/>
      </c>
      <c r="BR300" t="str">
        <f>""</f>
        <v/>
      </c>
      <c r="BS300" t="str">
        <f>""</f>
        <v/>
      </c>
      <c r="BT300" t="str">
        <f>""</f>
        <v/>
      </c>
      <c r="BU300" t="str">
        <f>""</f>
        <v/>
      </c>
      <c r="BV300" t="str">
        <f>""</f>
        <v/>
      </c>
      <c r="BW300" t="str">
        <f>""</f>
        <v/>
      </c>
      <c r="BX300" t="str">
        <f>""</f>
        <v/>
      </c>
      <c r="BY300" t="str">
        <f>""</f>
        <v/>
      </c>
      <c r="BZ300" t="str">
        <f>""</f>
        <v/>
      </c>
      <c r="CA300" t="str">
        <f>""</f>
        <v/>
      </c>
      <c r="CB300" t="str">
        <f>""</f>
        <v/>
      </c>
      <c r="CC300" t="str">
        <f>""</f>
        <v/>
      </c>
      <c r="CD300" t="str">
        <f>""</f>
        <v/>
      </c>
      <c r="CE300" t="str">
        <f>""</f>
        <v/>
      </c>
      <c r="CF300" t="str">
        <f>""</f>
        <v/>
      </c>
      <c r="CG300" t="str">
        <f>""</f>
        <v/>
      </c>
    </row>
    <row r="301" spans="1:85" x14ac:dyDescent="0.25">
      <c r="A301" t="str">
        <f>$A$181</f>
        <v xml:space="preserve">    PACCAR - Kenworth</v>
      </c>
      <c r="B301" t="str">
        <f>$B$181</f>
        <v>PCAR US Equity</v>
      </c>
      <c r="C301" t="str">
        <f>$C$181</f>
        <v>X1701</v>
      </c>
      <c r="D301" t="str">
        <f>$D$181</f>
        <v>WARDS_RETAIL_SALES_UNITS</v>
      </c>
      <c r="E301" t="str">
        <f>$E$181</f>
        <v>Dynamic</v>
      </c>
      <c r="F301" t="str">
        <f ca="1">_xll.BDH($B$181,$C$181,$B$292,$B$293,CONCATENATE("Per=",$B$290),"Dts=H","Dir=H",CONCATENATE("Points=",$B$291),"Sort=R","Days=A","Fill=B","DZ665=267317","X0012=Class 8","X0001=NAUS",CONCATENATE("FX=", $B$289),"cols=40;rows=1")</f>
        <v/>
      </c>
      <c r="G301">
        <v>2769</v>
      </c>
      <c r="H301">
        <v>2689</v>
      </c>
      <c r="I301">
        <v>2427</v>
      </c>
      <c r="J301">
        <v>2432</v>
      </c>
      <c r="K301">
        <v>2530</v>
      </c>
      <c r="L301">
        <v>2414</v>
      </c>
      <c r="M301">
        <v>2323</v>
      </c>
      <c r="N301">
        <v>2112</v>
      </c>
      <c r="O301">
        <v>1331</v>
      </c>
      <c r="P301">
        <v>1188</v>
      </c>
      <c r="Q301">
        <v>3079</v>
      </c>
      <c r="R301">
        <v>1965</v>
      </c>
      <c r="S301">
        <v>2108</v>
      </c>
      <c r="T301">
        <v>2791</v>
      </c>
      <c r="U301">
        <v>2516</v>
      </c>
      <c r="V301">
        <v>2333</v>
      </c>
      <c r="W301">
        <v>2741</v>
      </c>
      <c r="X301">
        <v>2587</v>
      </c>
      <c r="Y301">
        <v>2538</v>
      </c>
      <c r="Z301">
        <v>2926</v>
      </c>
      <c r="AA301">
        <v>2208</v>
      </c>
      <c r="AB301">
        <v>1682</v>
      </c>
      <c r="AC301">
        <v>3019</v>
      </c>
      <c r="AD301">
        <v>2672</v>
      </c>
      <c r="AE301">
        <v>2922</v>
      </c>
      <c r="AF301">
        <v>3390</v>
      </c>
      <c r="AG301">
        <v>3598</v>
      </c>
      <c r="AH301">
        <v>3486</v>
      </c>
      <c r="AI301">
        <v>3734</v>
      </c>
      <c r="AJ301">
        <v>3145</v>
      </c>
      <c r="AK301">
        <v>3417</v>
      </c>
      <c r="AL301">
        <v>2952</v>
      </c>
      <c r="AM301">
        <v>2695</v>
      </c>
      <c r="AN301">
        <v>2171</v>
      </c>
      <c r="AO301">
        <v>3625</v>
      </c>
      <c r="AP301">
        <v>2665</v>
      </c>
      <c r="AQ301">
        <v>3048</v>
      </c>
      <c r="AR301">
        <v>2780</v>
      </c>
      <c r="AS301">
        <v>2634</v>
      </c>
      <c r="AT301" t="str">
        <f>""</f>
        <v/>
      </c>
      <c r="AU301" t="str">
        <f>""</f>
        <v/>
      </c>
      <c r="AV301" t="str">
        <f>""</f>
        <v/>
      </c>
      <c r="AW301" t="str">
        <f>""</f>
        <v/>
      </c>
      <c r="AX301" t="str">
        <f>""</f>
        <v/>
      </c>
      <c r="AY301" t="str">
        <f>""</f>
        <v/>
      </c>
      <c r="AZ301" t="str">
        <f>""</f>
        <v/>
      </c>
      <c r="BA301" t="str">
        <f>""</f>
        <v/>
      </c>
      <c r="BB301" t="str">
        <f>""</f>
        <v/>
      </c>
      <c r="BC301" t="str">
        <f>""</f>
        <v/>
      </c>
      <c r="BD301" t="str">
        <f>""</f>
        <v/>
      </c>
      <c r="BE301" t="str">
        <f>""</f>
        <v/>
      </c>
      <c r="BF301" t="str">
        <f>""</f>
        <v/>
      </c>
      <c r="BG301" t="str">
        <f>""</f>
        <v/>
      </c>
      <c r="BH301" t="str">
        <f>""</f>
        <v/>
      </c>
      <c r="BI301" t="str">
        <f>""</f>
        <v/>
      </c>
      <c r="BJ301" t="str">
        <f>""</f>
        <v/>
      </c>
      <c r="BK301" t="str">
        <f>""</f>
        <v/>
      </c>
      <c r="BL301" t="str">
        <f>""</f>
        <v/>
      </c>
      <c r="BM301" t="str">
        <f>""</f>
        <v/>
      </c>
      <c r="BN301" t="str">
        <f>""</f>
        <v/>
      </c>
      <c r="BO301" t="str">
        <f>""</f>
        <v/>
      </c>
      <c r="BP301" t="str">
        <f>""</f>
        <v/>
      </c>
      <c r="BQ301" t="str">
        <f>""</f>
        <v/>
      </c>
      <c r="BR301" t="str">
        <f>""</f>
        <v/>
      </c>
      <c r="BS301" t="str">
        <f>""</f>
        <v/>
      </c>
      <c r="BT301" t="str">
        <f>""</f>
        <v/>
      </c>
      <c r="BU301" t="str">
        <f>""</f>
        <v/>
      </c>
      <c r="BV301" t="str">
        <f>""</f>
        <v/>
      </c>
      <c r="BW301" t="str">
        <f>""</f>
        <v/>
      </c>
      <c r="BX301" t="str">
        <f>""</f>
        <v/>
      </c>
      <c r="BY301" t="str">
        <f>""</f>
        <v/>
      </c>
      <c r="BZ301" t="str">
        <f>""</f>
        <v/>
      </c>
      <c r="CA301" t="str">
        <f>""</f>
        <v/>
      </c>
      <c r="CB301" t="str">
        <f>""</f>
        <v/>
      </c>
      <c r="CC301" t="str">
        <f>""</f>
        <v/>
      </c>
      <c r="CD301" t="str">
        <f>""</f>
        <v/>
      </c>
      <c r="CE301" t="str">
        <f>""</f>
        <v/>
      </c>
      <c r="CF301" t="str">
        <f>""</f>
        <v/>
      </c>
      <c r="CG301" t="str">
        <f>""</f>
        <v/>
      </c>
    </row>
    <row r="302" spans="1:85" x14ac:dyDescent="0.25">
      <c r="A302" t="str">
        <f>$A$182</f>
        <v xml:space="preserve">    PACCAR - Peterbilt</v>
      </c>
      <c r="B302" t="str">
        <f>$B$182</f>
        <v>PCAR US Equity</v>
      </c>
      <c r="C302" t="str">
        <f>$C$182</f>
        <v>X1701</v>
      </c>
      <c r="D302" t="str">
        <f>$D$182</f>
        <v>WARDS_RETAIL_SALES_UNITS</v>
      </c>
      <c r="E302" t="str">
        <f>$E$182</f>
        <v>Dynamic</v>
      </c>
      <c r="F302" t="str">
        <f ca="1">_xll.BDH($B$182,$C$182,$B$292,$B$293,CONCATENATE("Per=",$B$290),"Dts=H","Dir=H",CONCATENATE("Points=",$B$291),"Sort=R","Days=A","Fill=B","DZ665=267319","X0012=Class 8","X0001=NAUS",CONCATENATE("FX=", $B$289),"cols=40;rows=1")</f>
        <v/>
      </c>
      <c r="G302">
        <v>3076</v>
      </c>
      <c r="H302">
        <v>2604</v>
      </c>
      <c r="I302">
        <v>2761</v>
      </c>
      <c r="J302">
        <v>2587</v>
      </c>
      <c r="K302">
        <v>2781</v>
      </c>
      <c r="L302">
        <v>2454</v>
      </c>
      <c r="M302">
        <v>2285</v>
      </c>
      <c r="N302">
        <v>2192</v>
      </c>
      <c r="O302">
        <v>1816</v>
      </c>
      <c r="P302">
        <v>1862</v>
      </c>
      <c r="Q302">
        <v>2120</v>
      </c>
      <c r="R302">
        <v>2062</v>
      </c>
      <c r="S302">
        <v>2069</v>
      </c>
      <c r="T302">
        <v>2152</v>
      </c>
      <c r="U302">
        <v>2260</v>
      </c>
      <c r="V302">
        <v>2236</v>
      </c>
      <c r="W302">
        <v>2333</v>
      </c>
      <c r="X302">
        <v>2347</v>
      </c>
      <c r="Y302">
        <v>2332</v>
      </c>
      <c r="Z302">
        <v>2327</v>
      </c>
      <c r="AA302">
        <v>2169</v>
      </c>
      <c r="AB302">
        <v>2124</v>
      </c>
      <c r="AC302">
        <v>2419</v>
      </c>
      <c r="AD302">
        <v>1857</v>
      </c>
      <c r="AE302">
        <v>2212</v>
      </c>
      <c r="AF302">
        <v>2812</v>
      </c>
      <c r="AG302">
        <v>3036</v>
      </c>
      <c r="AH302">
        <v>3075</v>
      </c>
      <c r="AI302">
        <v>2935</v>
      </c>
      <c r="AJ302">
        <v>2894</v>
      </c>
      <c r="AK302">
        <v>2981</v>
      </c>
      <c r="AL302">
        <v>2792</v>
      </c>
      <c r="AM302">
        <v>2470</v>
      </c>
      <c r="AN302">
        <v>2238</v>
      </c>
      <c r="AO302">
        <v>2890</v>
      </c>
      <c r="AP302">
        <v>2673</v>
      </c>
      <c r="AQ302">
        <v>3080</v>
      </c>
      <c r="AR302">
        <v>2792</v>
      </c>
      <c r="AS302">
        <v>2635</v>
      </c>
      <c r="AT302" t="str">
        <f>""</f>
        <v/>
      </c>
      <c r="AU302" t="str">
        <f>""</f>
        <v/>
      </c>
      <c r="AV302" t="str">
        <f>""</f>
        <v/>
      </c>
      <c r="AW302" t="str">
        <f>""</f>
        <v/>
      </c>
      <c r="AX302" t="str">
        <f>""</f>
        <v/>
      </c>
      <c r="AY302" t="str">
        <f>""</f>
        <v/>
      </c>
      <c r="AZ302" t="str">
        <f>""</f>
        <v/>
      </c>
      <c r="BA302" t="str">
        <f>""</f>
        <v/>
      </c>
      <c r="BB302" t="str">
        <f>""</f>
        <v/>
      </c>
      <c r="BC302" t="str">
        <f>""</f>
        <v/>
      </c>
      <c r="BD302" t="str">
        <f>""</f>
        <v/>
      </c>
      <c r="BE302" t="str">
        <f>""</f>
        <v/>
      </c>
      <c r="BF302" t="str">
        <f>""</f>
        <v/>
      </c>
      <c r="BG302" t="str">
        <f>""</f>
        <v/>
      </c>
      <c r="BH302" t="str">
        <f>""</f>
        <v/>
      </c>
      <c r="BI302" t="str">
        <f>""</f>
        <v/>
      </c>
      <c r="BJ302" t="str">
        <f>""</f>
        <v/>
      </c>
      <c r="BK302" t="str">
        <f>""</f>
        <v/>
      </c>
      <c r="BL302" t="str">
        <f>""</f>
        <v/>
      </c>
      <c r="BM302" t="str">
        <f>""</f>
        <v/>
      </c>
      <c r="BN302" t="str">
        <f>""</f>
        <v/>
      </c>
      <c r="BO302" t="str">
        <f>""</f>
        <v/>
      </c>
      <c r="BP302" t="str">
        <f>""</f>
        <v/>
      </c>
      <c r="BQ302" t="str">
        <f>""</f>
        <v/>
      </c>
      <c r="BR302" t="str">
        <f>""</f>
        <v/>
      </c>
      <c r="BS302" t="str">
        <f>""</f>
        <v/>
      </c>
      <c r="BT302" t="str">
        <f>""</f>
        <v/>
      </c>
      <c r="BU302" t="str">
        <f>""</f>
        <v/>
      </c>
      <c r="BV302" t="str">
        <f>""</f>
        <v/>
      </c>
      <c r="BW302" t="str">
        <f>""</f>
        <v/>
      </c>
      <c r="BX302" t="str">
        <f>""</f>
        <v/>
      </c>
      <c r="BY302" t="str">
        <f>""</f>
        <v/>
      </c>
      <c r="BZ302" t="str">
        <f>""</f>
        <v/>
      </c>
      <c r="CA302" t="str">
        <f>""</f>
        <v/>
      </c>
      <c r="CB302" t="str">
        <f>""</f>
        <v/>
      </c>
      <c r="CC302" t="str">
        <f>""</f>
        <v/>
      </c>
      <c r="CD302" t="str">
        <f>""</f>
        <v/>
      </c>
      <c r="CE302" t="str">
        <f>""</f>
        <v/>
      </c>
      <c r="CF302" t="str">
        <f>""</f>
        <v/>
      </c>
      <c r="CG302" t="str">
        <f>""</f>
        <v/>
      </c>
    </row>
    <row r="303" spans="1:85" x14ac:dyDescent="0.25">
      <c r="A303" t="str">
        <f>$A$183</f>
        <v xml:space="preserve">    Volvo - Volvo Truck</v>
      </c>
      <c r="B303" t="str">
        <f>$B$183</f>
        <v>VOLVB SS Equity</v>
      </c>
      <c r="C303" t="str">
        <f>$C$183</f>
        <v>X1701</v>
      </c>
      <c r="D303" t="str">
        <f>$D$183</f>
        <v>WARDS_RETAIL_SALES_UNITS</v>
      </c>
      <c r="E303" t="str">
        <f>$E$183</f>
        <v>Dynamic</v>
      </c>
      <c r="F303" t="str">
        <f ca="1">_xll.BDH($B$183,$C$183,$B$292,$B$293,CONCATENATE("Per=",$B$290),"Dts=H","Dir=H",CONCATENATE("Points=",$B$291),"Sort=R","Days=A","Fill=B","DZ665=20497950","X0012=Class 8","X0001=NAUS",CONCATENATE("FX=", $B$289),"cols=40;rows=1")</f>
        <v/>
      </c>
      <c r="G303">
        <v>1500</v>
      </c>
      <c r="H303">
        <v>1384</v>
      </c>
      <c r="I303">
        <v>1513</v>
      </c>
      <c r="J303">
        <v>1282</v>
      </c>
      <c r="K303">
        <v>1630</v>
      </c>
      <c r="L303">
        <v>1351</v>
      </c>
      <c r="M303">
        <v>1226</v>
      </c>
      <c r="N303">
        <v>1640</v>
      </c>
      <c r="O303">
        <v>1048</v>
      </c>
      <c r="P303">
        <v>1178</v>
      </c>
      <c r="Q303">
        <v>2354</v>
      </c>
      <c r="R303">
        <v>1451</v>
      </c>
      <c r="S303">
        <v>1414</v>
      </c>
      <c r="T303">
        <v>1557</v>
      </c>
      <c r="U303">
        <v>1696</v>
      </c>
      <c r="V303">
        <v>1562</v>
      </c>
      <c r="W303">
        <v>2465</v>
      </c>
      <c r="X303">
        <v>1775</v>
      </c>
      <c r="Y303">
        <v>1828</v>
      </c>
      <c r="Z303">
        <v>1468</v>
      </c>
      <c r="AA303">
        <v>1888</v>
      </c>
      <c r="AB303">
        <v>1085</v>
      </c>
      <c r="AC303">
        <v>3394</v>
      </c>
      <c r="AD303">
        <v>2192</v>
      </c>
      <c r="AE303">
        <v>2317</v>
      </c>
      <c r="AF303">
        <v>2272</v>
      </c>
      <c r="AG303">
        <v>2500</v>
      </c>
      <c r="AH303">
        <v>2656</v>
      </c>
      <c r="AI303">
        <v>3276</v>
      </c>
      <c r="AJ303">
        <v>2799</v>
      </c>
      <c r="AK303">
        <v>2712</v>
      </c>
      <c r="AL303">
        <v>2874</v>
      </c>
      <c r="AM303">
        <v>2211</v>
      </c>
      <c r="AN303">
        <v>1727</v>
      </c>
      <c r="AO303">
        <v>2929</v>
      </c>
      <c r="AP303">
        <v>1904</v>
      </c>
      <c r="AQ303">
        <v>2378</v>
      </c>
      <c r="AR303">
        <v>2477</v>
      </c>
      <c r="AS303">
        <v>2326</v>
      </c>
      <c r="AT303" t="str">
        <f>""</f>
        <v/>
      </c>
      <c r="AU303" t="str">
        <f>""</f>
        <v/>
      </c>
      <c r="AV303" t="str">
        <f>""</f>
        <v/>
      </c>
      <c r="AW303" t="str">
        <f>""</f>
        <v/>
      </c>
      <c r="AX303" t="str">
        <f>""</f>
        <v/>
      </c>
      <c r="AY303" t="str">
        <f>""</f>
        <v/>
      </c>
      <c r="AZ303" t="str">
        <f>""</f>
        <v/>
      </c>
      <c r="BA303" t="str">
        <f>""</f>
        <v/>
      </c>
      <c r="BB303" t="str">
        <f>""</f>
        <v/>
      </c>
      <c r="BC303" t="str">
        <f>""</f>
        <v/>
      </c>
      <c r="BD303" t="str">
        <f>""</f>
        <v/>
      </c>
      <c r="BE303" t="str">
        <f>""</f>
        <v/>
      </c>
      <c r="BF303" t="str">
        <f>""</f>
        <v/>
      </c>
      <c r="BG303" t="str">
        <f>""</f>
        <v/>
      </c>
      <c r="BH303" t="str">
        <f>""</f>
        <v/>
      </c>
      <c r="BI303" t="str">
        <f>""</f>
        <v/>
      </c>
      <c r="BJ303" t="str">
        <f>""</f>
        <v/>
      </c>
      <c r="BK303" t="str">
        <f>""</f>
        <v/>
      </c>
      <c r="BL303" t="str">
        <f>""</f>
        <v/>
      </c>
      <c r="BM303" t="str">
        <f>""</f>
        <v/>
      </c>
      <c r="BN303" t="str">
        <f>""</f>
        <v/>
      </c>
      <c r="BO303" t="str">
        <f>""</f>
        <v/>
      </c>
      <c r="BP303" t="str">
        <f>""</f>
        <v/>
      </c>
      <c r="BQ303" t="str">
        <f>""</f>
        <v/>
      </c>
      <c r="BR303" t="str">
        <f>""</f>
        <v/>
      </c>
      <c r="BS303" t="str">
        <f>""</f>
        <v/>
      </c>
      <c r="BT303" t="str">
        <f>""</f>
        <v/>
      </c>
      <c r="BU303" t="str">
        <f>""</f>
        <v/>
      </c>
      <c r="BV303" t="str">
        <f>""</f>
        <v/>
      </c>
      <c r="BW303" t="str">
        <f>""</f>
        <v/>
      </c>
      <c r="BX303" t="str">
        <f>""</f>
        <v/>
      </c>
      <c r="BY303" t="str">
        <f>""</f>
        <v/>
      </c>
      <c r="BZ303" t="str">
        <f>""</f>
        <v/>
      </c>
      <c r="CA303" t="str">
        <f>""</f>
        <v/>
      </c>
      <c r="CB303" t="str">
        <f>""</f>
        <v/>
      </c>
      <c r="CC303" t="str">
        <f>""</f>
        <v/>
      </c>
      <c r="CD303" t="str">
        <f>""</f>
        <v/>
      </c>
      <c r="CE303" t="str">
        <f>""</f>
        <v/>
      </c>
      <c r="CF303" t="str">
        <f>""</f>
        <v/>
      </c>
      <c r="CG303" t="str">
        <f>""</f>
        <v/>
      </c>
    </row>
    <row r="304" spans="1:85" x14ac:dyDescent="0.25">
      <c r="A304" t="str">
        <f>$A$184</f>
        <v xml:space="preserve">    Volvo - Mack</v>
      </c>
      <c r="B304" t="str">
        <f>$B$184</f>
        <v>VOLVB SS Equity</v>
      </c>
      <c r="C304" t="str">
        <f>$C$184</f>
        <v>X1701</v>
      </c>
      <c r="D304" t="str">
        <f>$D$184</f>
        <v>WARDS_RETAIL_SALES_UNITS</v>
      </c>
      <c r="E304" t="str">
        <f>$E$184</f>
        <v>Dynamic</v>
      </c>
      <c r="F304" t="str">
        <f ca="1">_xll.BDH($B$184,$C$184,$B$292,$B$293,CONCATENATE("Per=",$B$290),"Dts=H","Dir=H",CONCATENATE("Points=",$B$291),"Sort=R","Days=A","Fill=B","DZ665=20497958","X0012=Class 8","X0001=NAUS",CONCATENATE("FX=", $B$289),"cols=40;rows=1")</f>
        <v/>
      </c>
      <c r="G304">
        <v>1063</v>
      </c>
      <c r="H304">
        <v>1312</v>
      </c>
      <c r="I304">
        <v>1372</v>
      </c>
      <c r="J304">
        <v>1141</v>
      </c>
      <c r="K304">
        <v>1764</v>
      </c>
      <c r="L304">
        <v>1176</v>
      </c>
      <c r="M304">
        <v>1061</v>
      </c>
      <c r="N304">
        <v>1658</v>
      </c>
      <c r="O304">
        <v>1105</v>
      </c>
      <c r="P304">
        <v>1070</v>
      </c>
      <c r="Q304">
        <v>1903</v>
      </c>
      <c r="R304">
        <v>1096</v>
      </c>
      <c r="S304">
        <v>1142</v>
      </c>
      <c r="T304">
        <v>1372</v>
      </c>
      <c r="U304">
        <v>1292</v>
      </c>
      <c r="V304">
        <v>1370</v>
      </c>
      <c r="W304">
        <v>2055</v>
      </c>
      <c r="X304">
        <v>1376</v>
      </c>
      <c r="Y304">
        <v>1194</v>
      </c>
      <c r="Z304">
        <v>1918</v>
      </c>
      <c r="AA304">
        <v>1254</v>
      </c>
      <c r="AB304">
        <v>1181</v>
      </c>
      <c r="AC304">
        <v>2350</v>
      </c>
      <c r="AD304">
        <v>1471</v>
      </c>
      <c r="AE304">
        <v>1220</v>
      </c>
      <c r="AF304">
        <v>1810</v>
      </c>
      <c r="AG304">
        <v>1764</v>
      </c>
      <c r="AH304">
        <v>1748</v>
      </c>
      <c r="AI304">
        <v>2145</v>
      </c>
      <c r="AJ304">
        <v>1618</v>
      </c>
      <c r="AK304">
        <v>1747</v>
      </c>
      <c r="AL304">
        <v>1753</v>
      </c>
      <c r="AM304">
        <v>1206</v>
      </c>
      <c r="AN304">
        <v>994</v>
      </c>
      <c r="AO304">
        <v>2825</v>
      </c>
      <c r="AP304">
        <v>1704</v>
      </c>
      <c r="AQ304">
        <v>1507</v>
      </c>
      <c r="AR304">
        <v>1656</v>
      </c>
      <c r="AS304">
        <v>1862</v>
      </c>
      <c r="AT304" t="str">
        <f>""</f>
        <v/>
      </c>
      <c r="AU304" t="str">
        <f>""</f>
        <v/>
      </c>
      <c r="AV304" t="str">
        <f>""</f>
        <v/>
      </c>
      <c r="AW304" t="str">
        <f>""</f>
        <v/>
      </c>
      <c r="AX304" t="str">
        <f>""</f>
        <v/>
      </c>
      <c r="AY304" t="str">
        <f>""</f>
        <v/>
      </c>
      <c r="AZ304" t="str">
        <f>""</f>
        <v/>
      </c>
      <c r="BA304" t="str">
        <f>""</f>
        <v/>
      </c>
      <c r="BB304" t="str">
        <f>""</f>
        <v/>
      </c>
      <c r="BC304" t="str">
        <f>""</f>
        <v/>
      </c>
      <c r="BD304" t="str">
        <f>""</f>
        <v/>
      </c>
      <c r="BE304" t="str">
        <f>""</f>
        <v/>
      </c>
      <c r="BF304" t="str">
        <f>""</f>
        <v/>
      </c>
      <c r="BG304" t="str">
        <f>""</f>
        <v/>
      </c>
      <c r="BH304" t="str">
        <f>""</f>
        <v/>
      </c>
      <c r="BI304" t="str">
        <f>""</f>
        <v/>
      </c>
      <c r="BJ304" t="str">
        <f>""</f>
        <v/>
      </c>
      <c r="BK304" t="str">
        <f>""</f>
        <v/>
      </c>
      <c r="BL304" t="str">
        <f>""</f>
        <v/>
      </c>
      <c r="BM304" t="str">
        <f>""</f>
        <v/>
      </c>
      <c r="BN304" t="str">
        <f>""</f>
        <v/>
      </c>
      <c r="BO304" t="str">
        <f>""</f>
        <v/>
      </c>
      <c r="BP304" t="str">
        <f>""</f>
        <v/>
      </c>
      <c r="BQ304" t="str">
        <f>""</f>
        <v/>
      </c>
      <c r="BR304" t="str">
        <f>""</f>
        <v/>
      </c>
      <c r="BS304" t="str">
        <f>""</f>
        <v/>
      </c>
      <c r="BT304" t="str">
        <f>""</f>
        <v/>
      </c>
      <c r="BU304" t="str">
        <f>""</f>
        <v/>
      </c>
      <c r="BV304" t="str">
        <f>""</f>
        <v/>
      </c>
      <c r="BW304" t="str">
        <f>""</f>
        <v/>
      </c>
      <c r="BX304" t="str">
        <f>""</f>
        <v/>
      </c>
      <c r="BY304" t="str">
        <f>""</f>
        <v/>
      </c>
      <c r="BZ304" t="str">
        <f>""</f>
        <v/>
      </c>
      <c r="CA304" t="str">
        <f>""</f>
        <v/>
      </c>
      <c r="CB304" t="str">
        <f>""</f>
        <v/>
      </c>
      <c r="CC304" t="str">
        <f>""</f>
        <v/>
      </c>
      <c r="CD304" t="str">
        <f>""</f>
        <v/>
      </c>
      <c r="CE304" t="str">
        <f>""</f>
        <v/>
      </c>
      <c r="CF304" t="str">
        <f>""</f>
        <v/>
      </c>
      <c r="CG304" t="str">
        <f>""</f>
        <v/>
      </c>
    </row>
    <row r="305" spans="1:85" x14ac:dyDescent="0.25">
      <c r="A305" t="str">
        <f>$A$185</f>
        <v xml:space="preserve">    Navistar - International</v>
      </c>
      <c r="B305" t="str">
        <f>$B$185</f>
        <v>NAV US Equity</v>
      </c>
      <c r="C305" t="str">
        <f>$C$185</f>
        <v>X1701</v>
      </c>
      <c r="D305" t="str">
        <f>$D$185</f>
        <v>WARDS_RETAIL_SALES_UNITS</v>
      </c>
      <c r="E305" t="str">
        <f>$E$185</f>
        <v>Dynamic</v>
      </c>
      <c r="F305" t="str">
        <f ca="1">_xll.BDH($B$185,$C$185,$B$292,$B$293,CONCATENATE("Per=",$B$290),"Dts=H","Dir=H",CONCATENATE("Points=",$B$291),"Sort=R","Days=A","Fill=B","DZ665=377405","X0012=Class 8","X0001=NAUS",CONCATENATE("FX=", $B$289),"cols=40;rows=1")</f>
        <v/>
      </c>
      <c r="G305">
        <v>2801</v>
      </c>
      <c r="H305">
        <v>1995</v>
      </c>
      <c r="I305">
        <v>2751</v>
      </c>
      <c r="J305">
        <v>1625</v>
      </c>
      <c r="K305">
        <v>1710</v>
      </c>
      <c r="L305">
        <v>1537</v>
      </c>
      <c r="M305">
        <v>1535</v>
      </c>
      <c r="N305">
        <v>1420</v>
      </c>
      <c r="O305">
        <v>1306</v>
      </c>
      <c r="P305">
        <v>1293</v>
      </c>
      <c r="Q305">
        <v>1269</v>
      </c>
      <c r="R305">
        <v>1418</v>
      </c>
      <c r="S305">
        <v>2188</v>
      </c>
      <c r="T305">
        <v>1608</v>
      </c>
      <c r="U305">
        <v>1967</v>
      </c>
      <c r="V305">
        <v>1276</v>
      </c>
      <c r="W305">
        <v>1552</v>
      </c>
      <c r="X305">
        <v>1743</v>
      </c>
      <c r="Y305">
        <v>1893</v>
      </c>
      <c r="Z305">
        <v>2354</v>
      </c>
      <c r="AA305">
        <v>1499</v>
      </c>
      <c r="AB305">
        <v>2605</v>
      </c>
      <c r="AC305">
        <v>2166</v>
      </c>
      <c r="AD305">
        <v>1420</v>
      </c>
      <c r="AE305">
        <v>2155</v>
      </c>
      <c r="AF305">
        <v>2290</v>
      </c>
      <c r="AG305">
        <v>2408</v>
      </c>
      <c r="AH305">
        <v>2945</v>
      </c>
      <c r="AI305">
        <v>3339</v>
      </c>
      <c r="AJ305">
        <v>2401</v>
      </c>
      <c r="AK305">
        <v>2581</v>
      </c>
      <c r="AL305">
        <v>3073</v>
      </c>
      <c r="AM305">
        <v>1902</v>
      </c>
      <c r="AN305">
        <v>2160</v>
      </c>
      <c r="AO305">
        <v>2276</v>
      </c>
      <c r="AP305">
        <v>1773</v>
      </c>
      <c r="AQ305">
        <v>3514</v>
      </c>
      <c r="AR305">
        <v>2892</v>
      </c>
      <c r="AS305">
        <v>2762</v>
      </c>
      <c r="AT305" t="str">
        <f>""</f>
        <v/>
      </c>
      <c r="AU305" t="str">
        <f>""</f>
        <v/>
      </c>
      <c r="AV305" t="str">
        <f>""</f>
        <v/>
      </c>
      <c r="AW305" t="str">
        <f>""</f>
        <v/>
      </c>
      <c r="AX305" t="str">
        <f>""</f>
        <v/>
      </c>
      <c r="AY305" t="str">
        <f>""</f>
        <v/>
      </c>
      <c r="AZ305" t="str">
        <f>""</f>
        <v/>
      </c>
      <c r="BA305" t="str">
        <f>""</f>
        <v/>
      </c>
      <c r="BB305" t="str">
        <f>""</f>
        <v/>
      </c>
      <c r="BC305" t="str">
        <f>""</f>
        <v/>
      </c>
      <c r="BD305" t="str">
        <f>""</f>
        <v/>
      </c>
      <c r="BE305" t="str">
        <f>""</f>
        <v/>
      </c>
      <c r="BF305" t="str">
        <f>""</f>
        <v/>
      </c>
      <c r="BG305" t="str">
        <f>""</f>
        <v/>
      </c>
      <c r="BH305" t="str">
        <f>""</f>
        <v/>
      </c>
      <c r="BI305" t="str">
        <f>""</f>
        <v/>
      </c>
      <c r="BJ305" t="str">
        <f>""</f>
        <v/>
      </c>
      <c r="BK305" t="str">
        <f>""</f>
        <v/>
      </c>
      <c r="BL305" t="str">
        <f>""</f>
        <v/>
      </c>
      <c r="BM305" t="str">
        <f>""</f>
        <v/>
      </c>
      <c r="BN305" t="str">
        <f>""</f>
        <v/>
      </c>
      <c r="BO305" t="str">
        <f>""</f>
        <v/>
      </c>
      <c r="BP305" t="str">
        <f>""</f>
        <v/>
      </c>
      <c r="BQ305" t="str">
        <f>""</f>
        <v/>
      </c>
      <c r="BR305" t="str">
        <f>""</f>
        <v/>
      </c>
      <c r="BS305" t="str">
        <f>""</f>
        <v/>
      </c>
      <c r="BT305" t="str">
        <f>""</f>
        <v/>
      </c>
      <c r="BU305" t="str">
        <f>""</f>
        <v/>
      </c>
      <c r="BV305" t="str">
        <f>""</f>
        <v/>
      </c>
      <c r="BW305" t="str">
        <f>""</f>
        <v/>
      </c>
      <c r="BX305" t="str">
        <f>""</f>
        <v/>
      </c>
      <c r="BY305" t="str">
        <f>""</f>
        <v/>
      </c>
      <c r="BZ305" t="str">
        <f>""</f>
        <v/>
      </c>
      <c r="CA305" t="str">
        <f>""</f>
        <v/>
      </c>
      <c r="CB305" t="str">
        <f>""</f>
        <v/>
      </c>
      <c r="CC305" t="str">
        <f>""</f>
        <v/>
      </c>
      <c r="CD305" t="str">
        <f>""</f>
        <v/>
      </c>
      <c r="CE305" t="str">
        <f>""</f>
        <v/>
      </c>
      <c r="CF305" t="str">
        <f>""</f>
        <v/>
      </c>
      <c r="CG305" t="str">
        <f>""</f>
        <v/>
      </c>
    </row>
    <row r="306" spans="1:85" x14ac:dyDescent="0.25">
      <c r="A306" t="str">
        <f>$A$187</f>
        <v>Canada (Class 8)</v>
      </c>
      <c r="B306" t="str">
        <f>$B$187</f>
        <v>TRCKCA8S Index</v>
      </c>
      <c r="C306" t="str">
        <f>$C$187</f>
        <v>PR005</v>
      </c>
      <c r="D306" t="str">
        <f>$D$187</f>
        <v>PX_LAST</v>
      </c>
      <c r="E306" t="str">
        <f>$E$187</f>
        <v>Dynamic</v>
      </c>
      <c r="F306" t="str">
        <f ca="1">_xll.BDH($B$187,$C$187,$B$292,$B$293,CONCATENATE("Per=",$B$290),"Dts=H","Dir=H",CONCATENATE("Points=",$B$291),"Sort=R","Days=A","Fill=B",CONCATENATE("FX=", $B$289),"cols=40;rows=1")</f>
        <v/>
      </c>
      <c r="H306">
        <v>2719</v>
      </c>
      <c r="I306">
        <v>2426</v>
      </c>
      <c r="J306">
        <v>2228</v>
      </c>
      <c r="K306">
        <v>2086</v>
      </c>
      <c r="L306">
        <v>2478</v>
      </c>
      <c r="M306">
        <v>2395</v>
      </c>
      <c r="N306">
        <v>1920</v>
      </c>
      <c r="O306">
        <v>2051</v>
      </c>
      <c r="P306">
        <v>1466</v>
      </c>
      <c r="Q306">
        <v>1377</v>
      </c>
      <c r="R306">
        <v>1911</v>
      </c>
      <c r="S306">
        <v>1899</v>
      </c>
      <c r="T306">
        <v>1979</v>
      </c>
      <c r="U306">
        <v>2124</v>
      </c>
      <c r="V306">
        <v>1810</v>
      </c>
      <c r="W306">
        <v>1676</v>
      </c>
      <c r="X306">
        <v>2016</v>
      </c>
      <c r="Y306">
        <v>2342</v>
      </c>
      <c r="Z306">
        <v>1955</v>
      </c>
      <c r="AA306">
        <v>1915</v>
      </c>
      <c r="AB306">
        <v>1858</v>
      </c>
      <c r="AC306">
        <v>1552</v>
      </c>
      <c r="AD306">
        <v>2327</v>
      </c>
      <c r="AE306">
        <v>2203</v>
      </c>
      <c r="AF306">
        <v>2636</v>
      </c>
      <c r="AG306">
        <v>2906</v>
      </c>
      <c r="AH306">
        <v>2114</v>
      </c>
      <c r="AI306">
        <v>2463</v>
      </c>
      <c r="AJ306">
        <v>2625</v>
      </c>
      <c r="AK306">
        <v>2647</v>
      </c>
      <c r="AL306">
        <v>2610</v>
      </c>
      <c r="AM306">
        <v>2880</v>
      </c>
      <c r="AN306">
        <v>2043</v>
      </c>
      <c r="AO306">
        <v>2127</v>
      </c>
      <c r="AP306">
        <v>2666</v>
      </c>
      <c r="AQ306">
        <v>2401</v>
      </c>
      <c r="AR306">
        <v>2916</v>
      </c>
      <c r="AS306">
        <v>2554</v>
      </c>
      <c r="AT306" t="str">
        <f>""</f>
        <v/>
      </c>
      <c r="AU306" t="str">
        <f>""</f>
        <v/>
      </c>
      <c r="AV306" t="str">
        <f>""</f>
        <v/>
      </c>
      <c r="AW306" t="str">
        <f>""</f>
        <v/>
      </c>
      <c r="AX306" t="str">
        <f>""</f>
        <v/>
      </c>
      <c r="AY306" t="str">
        <f>""</f>
        <v/>
      </c>
      <c r="AZ306" t="str">
        <f>""</f>
        <v/>
      </c>
      <c r="BA306" t="str">
        <f>""</f>
        <v/>
      </c>
      <c r="BB306" t="str">
        <f>""</f>
        <v/>
      </c>
      <c r="BC306" t="str">
        <f>""</f>
        <v/>
      </c>
      <c r="BD306" t="str">
        <f>""</f>
        <v/>
      </c>
      <c r="BE306" t="str">
        <f>""</f>
        <v/>
      </c>
      <c r="BF306" t="str">
        <f>""</f>
        <v/>
      </c>
      <c r="BG306" t="str">
        <f>""</f>
        <v/>
      </c>
      <c r="BH306" t="str">
        <f>""</f>
        <v/>
      </c>
      <c r="BI306" t="str">
        <f>""</f>
        <v/>
      </c>
      <c r="BJ306" t="str">
        <f>""</f>
        <v/>
      </c>
      <c r="BK306" t="str">
        <f>""</f>
        <v/>
      </c>
      <c r="BL306" t="str">
        <f>""</f>
        <v/>
      </c>
      <c r="BM306" t="str">
        <f>""</f>
        <v/>
      </c>
      <c r="BN306" t="str">
        <f>""</f>
        <v/>
      </c>
      <c r="BO306" t="str">
        <f>""</f>
        <v/>
      </c>
      <c r="BP306" t="str">
        <f>""</f>
        <v/>
      </c>
      <c r="BQ306" t="str">
        <f>""</f>
        <v/>
      </c>
      <c r="BR306" t="str">
        <f>""</f>
        <v/>
      </c>
      <c r="BS306" t="str">
        <f>""</f>
        <v/>
      </c>
      <c r="BT306" t="str">
        <f>""</f>
        <v/>
      </c>
      <c r="BU306" t="str">
        <f>""</f>
        <v/>
      </c>
      <c r="BV306" t="str">
        <f>""</f>
        <v/>
      </c>
      <c r="BW306" t="str">
        <f>""</f>
        <v/>
      </c>
      <c r="BX306" t="str">
        <f>""</f>
        <v/>
      </c>
      <c r="BY306" t="str">
        <f>""</f>
        <v/>
      </c>
      <c r="BZ306" t="str">
        <f>""</f>
        <v/>
      </c>
      <c r="CA306" t="str">
        <f>""</f>
        <v/>
      </c>
      <c r="CB306" t="str">
        <f>""</f>
        <v/>
      </c>
      <c r="CC306" t="str">
        <f>""</f>
        <v/>
      </c>
      <c r="CD306" t="str">
        <f>""</f>
        <v/>
      </c>
      <c r="CE306" t="str">
        <f>""</f>
        <v/>
      </c>
      <c r="CF306" t="str">
        <f>""</f>
        <v/>
      </c>
      <c r="CG306" t="str">
        <f>""</f>
        <v/>
      </c>
    </row>
    <row r="307" spans="1:85" x14ac:dyDescent="0.25">
      <c r="A307" t="str">
        <f>$A$188</f>
        <v xml:space="preserve">    Daimler - Freightliner</v>
      </c>
      <c r="B307" t="str">
        <f>$B$188</f>
        <v>DAI GR Equity</v>
      </c>
      <c r="C307" t="str">
        <f>$C$188</f>
        <v>X1701</v>
      </c>
      <c r="D307" t="str">
        <f>$D$188</f>
        <v>WARDS_RETAIL_SALES_UNITS</v>
      </c>
      <c r="E307" t="str">
        <f>$E$188</f>
        <v>Dynamic</v>
      </c>
      <c r="F307" t="str">
        <f ca="1">_xll.BDH($B$188,$C$188,$B$292,$B$293,CONCATENATE("Per=",$B$290),"Dts=H","Dir=H",CONCATENATE("Points=",$B$291),"Sort=R","Days=A","Fill=B","DZ665=16578413","X0012=Class 8","X0001=NACA",CONCATENATE("FX=", $B$289),"cols=40;rows=1")</f>
        <v/>
      </c>
      <c r="G307">
        <v>753</v>
      </c>
      <c r="H307">
        <v>690</v>
      </c>
      <c r="I307">
        <v>544</v>
      </c>
      <c r="J307">
        <v>515</v>
      </c>
      <c r="K307">
        <v>699</v>
      </c>
      <c r="L307">
        <v>716</v>
      </c>
      <c r="M307">
        <v>628</v>
      </c>
      <c r="N307">
        <v>587</v>
      </c>
      <c r="O307">
        <v>486</v>
      </c>
      <c r="P307">
        <v>519</v>
      </c>
      <c r="Q307">
        <v>557</v>
      </c>
      <c r="R307">
        <v>693</v>
      </c>
      <c r="S307">
        <v>525</v>
      </c>
      <c r="T307">
        <v>669</v>
      </c>
      <c r="U307">
        <v>557</v>
      </c>
      <c r="V307">
        <v>571</v>
      </c>
      <c r="W307">
        <v>607</v>
      </c>
      <c r="X307">
        <v>808</v>
      </c>
      <c r="Y307">
        <v>615</v>
      </c>
      <c r="Z307">
        <v>752</v>
      </c>
      <c r="AA307">
        <v>758</v>
      </c>
      <c r="AB307">
        <v>548</v>
      </c>
      <c r="AC307">
        <v>719</v>
      </c>
      <c r="AD307">
        <v>703</v>
      </c>
      <c r="AE307">
        <v>877</v>
      </c>
      <c r="AF307">
        <v>1052</v>
      </c>
      <c r="AG307">
        <v>560</v>
      </c>
      <c r="AH307">
        <v>675</v>
      </c>
      <c r="AI307">
        <v>738</v>
      </c>
      <c r="AJ307">
        <v>653</v>
      </c>
      <c r="AK307">
        <v>739</v>
      </c>
      <c r="AL307">
        <v>978</v>
      </c>
      <c r="AM307">
        <v>613</v>
      </c>
      <c r="AN307">
        <v>548</v>
      </c>
      <c r="AO307">
        <v>716</v>
      </c>
      <c r="AP307">
        <v>604</v>
      </c>
      <c r="AQ307">
        <v>848</v>
      </c>
      <c r="AR307">
        <v>639</v>
      </c>
      <c r="AS307">
        <v>540</v>
      </c>
      <c r="AT307" t="str">
        <f>""</f>
        <v/>
      </c>
      <c r="AU307" t="str">
        <f>""</f>
        <v/>
      </c>
      <c r="AV307" t="str">
        <f>""</f>
        <v/>
      </c>
      <c r="AW307" t="str">
        <f>""</f>
        <v/>
      </c>
      <c r="AX307" t="str">
        <f>""</f>
        <v/>
      </c>
      <c r="AY307" t="str">
        <f>""</f>
        <v/>
      </c>
      <c r="AZ307" t="str">
        <f>""</f>
        <v/>
      </c>
      <c r="BA307" t="str">
        <f>""</f>
        <v/>
      </c>
      <c r="BB307" t="str">
        <f>""</f>
        <v/>
      </c>
      <c r="BC307" t="str">
        <f>""</f>
        <v/>
      </c>
      <c r="BD307" t="str">
        <f>""</f>
        <v/>
      </c>
      <c r="BE307" t="str">
        <f>""</f>
        <v/>
      </c>
      <c r="BF307" t="str">
        <f>""</f>
        <v/>
      </c>
      <c r="BG307" t="str">
        <f>""</f>
        <v/>
      </c>
      <c r="BH307" t="str">
        <f>""</f>
        <v/>
      </c>
      <c r="BI307" t="str">
        <f>""</f>
        <v/>
      </c>
      <c r="BJ307" t="str">
        <f>""</f>
        <v/>
      </c>
      <c r="BK307" t="str">
        <f>""</f>
        <v/>
      </c>
      <c r="BL307" t="str">
        <f>""</f>
        <v/>
      </c>
      <c r="BM307" t="str">
        <f>""</f>
        <v/>
      </c>
      <c r="BN307" t="str">
        <f>""</f>
        <v/>
      </c>
      <c r="BO307" t="str">
        <f>""</f>
        <v/>
      </c>
      <c r="BP307" t="str">
        <f>""</f>
        <v/>
      </c>
      <c r="BQ307" t="str">
        <f>""</f>
        <v/>
      </c>
      <c r="BR307" t="str">
        <f>""</f>
        <v/>
      </c>
      <c r="BS307" t="str">
        <f>""</f>
        <v/>
      </c>
      <c r="BT307" t="str">
        <f>""</f>
        <v/>
      </c>
      <c r="BU307" t="str">
        <f>""</f>
        <v/>
      </c>
      <c r="BV307" t="str">
        <f>""</f>
        <v/>
      </c>
      <c r="BW307" t="str">
        <f>""</f>
        <v/>
      </c>
      <c r="BX307" t="str">
        <f>""</f>
        <v/>
      </c>
      <c r="BY307" t="str">
        <f>""</f>
        <v/>
      </c>
      <c r="BZ307" t="str">
        <f>""</f>
        <v/>
      </c>
      <c r="CA307" t="str">
        <f>""</f>
        <v/>
      </c>
      <c r="CB307" t="str">
        <f>""</f>
        <v/>
      </c>
      <c r="CC307" t="str">
        <f>""</f>
        <v/>
      </c>
      <c r="CD307" t="str">
        <f>""</f>
        <v/>
      </c>
      <c r="CE307" t="str">
        <f>""</f>
        <v/>
      </c>
      <c r="CF307" t="str">
        <f>""</f>
        <v/>
      </c>
      <c r="CG307" t="str">
        <f>""</f>
        <v/>
      </c>
    </row>
    <row r="308" spans="1:85" x14ac:dyDescent="0.25">
      <c r="A308" t="str">
        <f>$A$189</f>
        <v xml:space="preserve">    Daimler - Western Star</v>
      </c>
      <c r="B308" t="str">
        <f>$B$189</f>
        <v>DAI GR Equity</v>
      </c>
      <c r="C308" t="str">
        <f>$C$189</f>
        <v>X1701</v>
      </c>
      <c r="D308" t="str">
        <f>$D$189</f>
        <v>WARDS_RETAIL_SALES_UNITS</v>
      </c>
      <c r="E308" t="str">
        <f>$E$189</f>
        <v>Dynamic</v>
      </c>
      <c r="F308" t="str">
        <f ca="1">_xll.BDH($B$189,$C$189,$B$292,$B$293,CONCATENATE("Per=",$B$290),"Dts=H","Dir=H",CONCATENATE("Points=",$B$291),"Sort=R","Days=A","Fill=B","DZ665=16578421","X0012=Class 8","X0001=NACA",CONCATENATE("FX=", $B$289),"cols=40;rows=1")</f>
        <v/>
      </c>
      <c r="G308">
        <v>229</v>
      </c>
      <c r="H308">
        <v>233</v>
      </c>
      <c r="I308">
        <v>224</v>
      </c>
      <c r="J308">
        <v>227</v>
      </c>
      <c r="K308">
        <v>233</v>
      </c>
      <c r="L308">
        <v>212</v>
      </c>
      <c r="M308">
        <v>186</v>
      </c>
      <c r="N308">
        <v>191</v>
      </c>
      <c r="O308">
        <v>129</v>
      </c>
      <c r="P308">
        <v>118</v>
      </c>
      <c r="Q308">
        <v>187</v>
      </c>
      <c r="R308">
        <v>198</v>
      </c>
      <c r="S308">
        <v>146</v>
      </c>
      <c r="T308">
        <v>230</v>
      </c>
      <c r="U308">
        <v>179</v>
      </c>
      <c r="V308">
        <v>175</v>
      </c>
      <c r="W308">
        <v>277</v>
      </c>
      <c r="X308">
        <v>266</v>
      </c>
      <c r="Y308">
        <v>207</v>
      </c>
      <c r="Z308">
        <v>169</v>
      </c>
      <c r="AA308">
        <v>174</v>
      </c>
      <c r="AB308">
        <v>166</v>
      </c>
      <c r="AC308">
        <v>236</v>
      </c>
      <c r="AD308">
        <v>221</v>
      </c>
      <c r="AE308">
        <v>219</v>
      </c>
      <c r="AF308">
        <v>280</v>
      </c>
      <c r="AG308">
        <v>139</v>
      </c>
      <c r="AH308">
        <v>182</v>
      </c>
      <c r="AI308">
        <v>261</v>
      </c>
      <c r="AJ308">
        <v>214</v>
      </c>
      <c r="AK308">
        <v>183</v>
      </c>
      <c r="AL308">
        <v>202</v>
      </c>
      <c r="AM308">
        <v>148</v>
      </c>
      <c r="AN308">
        <v>175</v>
      </c>
      <c r="AO308">
        <v>279</v>
      </c>
      <c r="AP308">
        <v>227</v>
      </c>
      <c r="AQ308">
        <v>251</v>
      </c>
      <c r="AR308">
        <v>222</v>
      </c>
      <c r="AS308">
        <v>191</v>
      </c>
      <c r="AT308" t="str">
        <f>""</f>
        <v/>
      </c>
      <c r="AU308" t="str">
        <f>""</f>
        <v/>
      </c>
      <c r="AV308" t="str">
        <f>""</f>
        <v/>
      </c>
      <c r="AW308" t="str">
        <f>""</f>
        <v/>
      </c>
      <c r="AX308" t="str">
        <f>""</f>
        <v/>
      </c>
      <c r="AY308" t="str">
        <f>""</f>
        <v/>
      </c>
      <c r="AZ308" t="str">
        <f>""</f>
        <v/>
      </c>
      <c r="BA308" t="str">
        <f>""</f>
        <v/>
      </c>
      <c r="BB308" t="str">
        <f>""</f>
        <v/>
      </c>
      <c r="BC308" t="str">
        <f>""</f>
        <v/>
      </c>
      <c r="BD308" t="str">
        <f>""</f>
        <v/>
      </c>
      <c r="BE308" t="str">
        <f>""</f>
        <v/>
      </c>
      <c r="BF308" t="str">
        <f>""</f>
        <v/>
      </c>
      <c r="BG308" t="str">
        <f>""</f>
        <v/>
      </c>
      <c r="BH308" t="str">
        <f>""</f>
        <v/>
      </c>
      <c r="BI308" t="str">
        <f>""</f>
        <v/>
      </c>
      <c r="BJ308" t="str">
        <f>""</f>
        <v/>
      </c>
      <c r="BK308" t="str">
        <f>""</f>
        <v/>
      </c>
      <c r="BL308" t="str">
        <f>""</f>
        <v/>
      </c>
      <c r="BM308" t="str">
        <f>""</f>
        <v/>
      </c>
      <c r="BN308" t="str">
        <f>""</f>
        <v/>
      </c>
      <c r="BO308" t="str">
        <f>""</f>
        <v/>
      </c>
      <c r="BP308" t="str">
        <f>""</f>
        <v/>
      </c>
      <c r="BQ308" t="str">
        <f>""</f>
        <v/>
      </c>
      <c r="BR308" t="str">
        <f>""</f>
        <v/>
      </c>
      <c r="BS308" t="str">
        <f>""</f>
        <v/>
      </c>
      <c r="BT308" t="str">
        <f>""</f>
        <v/>
      </c>
      <c r="BU308" t="str">
        <f>""</f>
        <v/>
      </c>
      <c r="BV308" t="str">
        <f>""</f>
        <v/>
      </c>
      <c r="BW308" t="str">
        <f>""</f>
        <v/>
      </c>
      <c r="BX308" t="str">
        <f>""</f>
        <v/>
      </c>
      <c r="BY308" t="str">
        <f>""</f>
        <v/>
      </c>
      <c r="BZ308" t="str">
        <f>""</f>
        <v/>
      </c>
      <c r="CA308" t="str">
        <f>""</f>
        <v/>
      </c>
      <c r="CB308" t="str">
        <f>""</f>
        <v/>
      </c>
      <c r="CC308" t="str">
        <f>""</f>
        <v/>
      </c>
      <c r="CD308" t="str">
        <f>""</f>
        <v/>
      </c>
      <c r="CE308" t="str">
        <f>""</f>
        <v/>
      </c>
      <c r="CF308" t="str">
        <f>""</f>
        <v/>
      </c>
      <c r="CG308" t="str">
        <f>""</f>
        <v/>
      </c>
    </row>
    <row r="309" spans="1:85" x14ac:dyDescent="0.25">
      <c r="A309" t="str">
        <f>$A$190</f>
        <v xml:space="preserve">    Daimler - Sterling</v>
      </c>
      <c r="B309" t="str">
        <f>$B$190</f>
        <v>DAI GR Equity</v>
      </c>
      <c r="C309" t="str">
        <f>$C$190</f>
        <v>X1701</v>
      </c>
      <c r="D309" t="str">
        <f>$D$190</f>
        <v>WARDS_RETAIL_SALES_UNITS</v>
      </c>
      <c r="E309" t="str">
        <f>$E$190</f>
        <v>Dynamic</v>
      </c>
      <c r="F309" t="str">
        <f ca="1">_xll.BDH($B$190,$C$190,$B$292,$B$293,CONCATENATE("Per=",$B$290),"Dts=H","Dir=H",CONCATENATE("Points=",$B$291),"Sort=R","Days=A","Fill=B","DZ665=25574529","X0012=Class 8","X0001=NACA",CONCATENATE("FX=", $B$289) )</f>
        <v/>
      </c>
      <c r="AT309" t="str">
        <f>""</f>
        <v/>
      </c>
      <c r="AU309" t="str">
        <f>""</f>
        <v/>
      </c>
      <c r="AV309" t="str">
        <f>""</f>
        <v/>
      </c>
      <c r="AW309" t="str">
        <f>""</f>
        <v/>
      </c>
      <c r="AX309" t="str">
        <f>""</f>
        <v/>
      </c>
      <c r="AY309" t="str">
        <f>""</f>
        <v/>
      </c>
      <c r="AZ309" t="str">
        <f>""</f>
        <v/>
      </c>
      <c r="BA309" t="str">
        <f>""</f>
        <v/>
      </c>
      <c r="BB309" t="str">
        <f>""</f>
        <v/>
      </c>
      <c r="BC309" t="str">
        <f>""</f>
        <v/>
      </c>
      <c r="BD309" t="str">
        <f>""</f>
        <v/>
      </c>
      <c r="BE309" t="str">
        <f>""</f>
        <v/>
      </c>
      <c r="BF309" t="str">
        <f>""</f>
        <v/>
      </c>
      <c r="BG309" t="str">
        <f>""</f>
        <v/>
      </c>
      <c r="BH309" t="str">
        <f>""</f>
        <v/>
      </c>
      <c r="BI309" t="str">
        <f>""</f>
        <v/>
      </c>
      <c r="BJ309" t="str">
        <f>""</f>
        <v/>
      </c>
      <c r="BK309" t="str">
        <f>""</f>
        <v/>
      </c>
      <c r="BL309" t="str">
        <f>""</f>
        <v/>
      </c>
      <c r="BM309" t="str">
        <f>""</f>
        <v/>
      </c>
      <c r="BN309" t="str">
        <f>""</f>
        <v/>
      </c>
      <c r="BO309" t="str">
        <f>""</f>
        <v/>
      </c>
      <c r="BP309" t="str">
        <f>""</f>
        <v/>
      </c>
      <c r="BQ309" t="str">
        <f>""</f>
        <v/>
      </c>
      <c r="BR309" t="str">
        <f>""</f>
        <v/>
      </c>
      <c r="BS309" t="str">
        <f>""</f>
        <v/>
      </c>
      <c r="BT309" t="str">
        <f>""</f>
        <v/>
      </c>
      <c r="BU309" t="str">
        <f>""</f>
        <v/>
      </c>
      <c r="BV309" t="str">
        <f>""</f>
        <v/>
      </c>
      <c r="BW309" t="str">
        <f>""</f>
        <v/>
      </c>
      <c r="BX309" t="str">
        <f>""</f>
        <v/>
      </c>
      <c r="BY309" t="str">
        <f>""</f>
        <v/>
      </c>
      <c r="BZ309" t="str">
        <f>""</f>
        <v/>
      </c>
      <c r="CA309" t="str">
        <f>""</f>
        <v/>
      </c>
      <c r="CB309" t="str">
        <f>""</f>
        <v/>
      </c>
      <c r="CC309" t="str">
        <f>""</f>
        <v/>
      </c>
      <c r="CD309" t="str">
        <f>""</f>
        <v/>
      </c>
      <c r="CE309" t="str">
        <f>""</f>
        <v/>
      </c>
      <c r="CF309" t="str">
        <f>""</f>
        <v/>
      </c>
      <c r="CG309" t="str">
        <f>""</f>
        <v/>
      </c>
    </row>
    <row r="310" spans="1:85" x14ac:dyDescent="0.25">
      <c r="A310" t="str">
        <f>$A$191</f>
        <v xml:space="preserve">    PACCAR - Kenworth</v>
      </c>
      <c r="B310" t="str">
        <f>$B$191</f>
        <v>PCAR US Equity</v>
      </c>
      <c r="C310" t="str">
        <f>$C$191</f>
        <v>X1701</v>
      </c>
      <c r="D310" t="str">
        <f>$D$191</f>
        <v>WARDS_RETAIL_SALES_UNITS</v>
      </c>
      <c r="E310" t="str">
        <f>$E$191</f>
        <v>Dynamic</v>
      </c>
      <c r="F310" t="str">
        <f ca="1">_xll.BDH($B$191,$C$191,$B$292,$B$293,CONCATENATE("Per=",$B$290),"Dts=H","Dir=H",CONCATENATE("Points=",$B$291),"Sort=R","Days=A","Fill=B","DZ665=267317","X0012=Class 8","X0001=NACA",CONCATENATE("FX=", $B$289),"cols=40;rows=1")</f>
        <v/>
      </c>
      <c r="G310">
        <v>450</v>
      </c>
      <c r="H310">
        <v>420</v>
      </c>
      <c r="I310">
        <v>374</v>
      </c>
      <c r="J310">
        <v>428</v>
      </c>
      <c r="K310">
        <v>392</v>
      </c>
      <c r="L310">
        <v>418</v>
      </c>
      <c r="M310">
        <v>255</v>
      </c>
      <c r="N310">
        <v>297</v>
      </c>
      <c r="O310">
        <v>203</v>
      </c>
      <c r="P310">
        <v>204</v>
      </c>
      <c r="Q310">
        <v>283</v>
      </c>
      <c r="R310">
        <v>260</v>
      </c>
      <c r="S310">
        <v>296</v>
      </c>
      <c r="T310">
        <v>322</v>
      </c>
      <c r="U310">
        <v>287</v>
      </c>
      <c r="V310">
        <v>267</v>
      </c>
      <c r="W310">
        <v>279</v>
      </c>
      <c r="X310">
        <v>282</v>
      </c>
      <c r="Y310">
        <v>246</v>
      </c>
      <c r="Z310">
        <v>250</v>
      </c>
      <c r="AA310">
        <v>185</v>
      </c>
      <c r="AB310">
        <v>140</v>
      </c>
      <c r="AC310">
        <v>281</v>
      </c>
      <c r="AD310">
        <v>294</v>
      </c>
      <c r="AE310">
        <v>294</v>
      </c>
      <c r="AF310">
        <v>404</v>
      </c>
      <c r="AG310">
        <v>318</v>
      </c>
      <c r="AH310">
        <v>351</v>
      </c>
      <c r="AI310">
        <v>299</v>
      </c>
      <c r="AJ310">
        <v>384</v>
      </c>
      <c r="AK310">
        <v>393</v>
      </c>
      <c r="AL310">
        <v>436</v>
      </c>
      <c r="AM310">
        <v>343</v>
      </c>
      <c r="AN310">
        <v>342</v>
      </c>
      <c r="AO310">
        <v>445</v>
      </c>
      <c r="AP310">
        <v>412</v>
      </c>
      <c r="AQ310">
        <v>496</v>
      </c>
      <c r="AR310">
        <v>493</v>
      </c>
      <c r="AS310">
        <v>416</v>
      </c>
      <c r="AT310" t="str">
        <f>""</f>
        <v/>
      </c>
      <c r="AU310" t="str">
        <f>""</f>
        <v/>
      </c>
      <c r="AV310" t="str">
        <f>""</f>
        <v/>
      </c>
      <c r="AW310" t="str">
        <f>""</f>
        <v/>
      </c>
      <c r="AX310" t="str">
        <f>""</f>
        <v/>
      </c>
      <c r="AY310" t="str">
        <f>""</f>
        <v/>
      </c>
      <c r="AZ310" t="str">
        <f>""</f>
        <v/>
      </c>
      <c r="BA310" t="str">
        <f>""</f>
        <v/>
      </c>
      <c r="BB310" t="str">
        <f>""</f>
        <v/>
      </c>
      <c r="BC310" t="str">
        <f>""</f>
        <v/>
      </c>
      <c r="BD310" t="str">
        <f>""</f>
        <v/>
      </c>
      <c r="BE310" t="str">
        <f>""</f>
        <v/>
      </c>
      <c r="BF310" t="str">
        <f>""</f>
        <v/>
      </c>
      <c r="BG310" t="str">
        <f>""</f>
        <v/>
      </c>
      <c r="BH310" t="str">
        <f>""</f>
        <v/>
      </c>
      <c r="BI310" t="str">
        <f>""</f>
        <v/>
      </c>
      <c r="BJ310" t="str">
        <f>""</f>
        <v/>
      </c>
      <c r="BK310" t="str">
        <f>""</f>
        <v/>
      </c>
      <c r="BL310" t="str">
        <f>""</f>
        <v/>
      </c>
      <c r="BM310" t="str">
        <f>""</f>
        <v/>
      </c>
      <c r="BN310" t="str">
        <f>""</f>
        <v/>
      </c>
      <c r="BO310" t="str">
        <f>""</f>
        <v/>
      </c>
      <c r="BP310" t="str">
        <f>""</f>
        <v/>
      </c>
      <c r="BQ310" t="str">
        <f>""</f>
        <v/>
      </c>
      <c r="BR310" t="str">
        <f>""</f>
        <v/>
      </c>
      <c r="BS310" t="str">
        <f>""</f>
        <v/>
      </c>
      <c r="BT310" t="str">
        <f>""</f>
        <v/>
      </c>
      <c r="BU310" t="str">
        <f>""</f>
        <v/>
      </c>
      <c r="BV310" t="str">
        <f>""</f>
        <v/>
      </c>
      <c r="BW310" t="str">
        <f>""</f>
        <v/>
      </c>
      <c r="BX310" t="str">
        <f>""</f>
        <v/>
      </c>
      <c r="BY310" t="str">
        <f>""</f>
        <v/>
      </c>
      <c r="BZ310" t="str">
        <f>""</f>
        <v/>
      </c>
      <c r="CA310" t="str">
        <f>""</f>
        <v/>
      </c>
      <c r="CB310" t="str">
        <f>""</f>
        <v/>
      </c>
      <c r="CC310" t="str">
        <f>""</f>
        <v/>
      </c>
      <c r="CD310" t="str">
        <f>""</f>
        <v/>
      </c>
      <c r="CE310" t="str">
        <f>""</f>
        <v/>
      </c>
      <c r="CF310" t="str">
        <f>""</f>
        <v/>
      </c>
      <c r="CG310" t="str">
        <f>""</f>
        <v/>
      </c>
    </row>
    <row r="311" spans="1:85" x14ac:dyDescent="0.25">
      <c r="A311" t="str">
        <f>$A$192</f>
        <v xml:space="preserve">    PACCAR - Peterbilt</v>
      </c>
      <c r="B311" t="str">
        <f>$B$192</f>
        <v>PCAR US Equity</v>
      </c>
      <c r="C311" t="str">
        <f>$C$192</f>
        <v>X1701</v>
      </c>
      <c r="D311" t="str">
        <f>$D$192</f>
        <v>WARDS_RETAIL_SALES_UNITS</v>
      </c>
      <c r="E311" t="str">
        <f>$E$192</f>
        <v>Dynamic</v>
      </c>
      <c r="F311" t="str">
        <f ca="1">_xll.BDH($B$192,$C$192,$B$292,$B$293,CONCATENATE("Per=",$B$290),"Dts=H","Dir=H",CONCATENATE("Points=",$B$291),"Sort=R","Days=A","Fill=B","DZ665=267319","X0012=Class 8","X0001=NACA",CONCATENATE("FX=", $B$289),"cols=40;rows=1")</f>
        <v/>
      </c>
      <c r="G311">
        <v>254</v>
      </c>
      <c r="H311">
        <v>250</v>
      </c>
      <c r="I311">
        <v>274</v>
      </c>
      <c r="J311">
        <v>271</v>
      </c>
      <c r="K311">
        <v>272</v>
      </c>
      <c r="L311">
        <v>297</v>
      </c>
      <c r="M311">
        <v>225</v>
      </c>
      <c r="N311">
        <v>240</v>
      </c>
      <c r="O311">
        <v>210</v>
      </c>
      <c r="P311">
        <v>150</v>
      </c>
      <c r="Q311">
        <v>205</v>
      </c>
      <c r="R311">
        <v>203</v>
      </c>
      <c r="S311">
        <v>239</v>
      </c>
      <c r="T311">
        <v>180</v>
      </c>
      <c r="U311">
        <v>237</v>
      </c>
      <c r="V311">
        <v>200</v>
      </c>
      <c r="W311">
        <v>250</v>
      </c>
      <c r="X311">
        <v>210</v>
      </c>
      <c r="Y311">
        <v>179</v>
      </c>
      <c r="Z311">
        <v>177</v>
      </c>
      <c r="AA311">
        <v>138</v>
      </c>
      <c r="AB311">
        <v>151</v>
      </c>
      <c r="AC311">
        <v>206</v>
      </c>
      <c r="AD311">
        <v>212</v>
      </c>
      <c r="AE311">
        <v>221</v>
      </c>
      <c r="AF311">
        <v>267</v>
      </c>
      <c r="AG311">
        <v>279</v>
      </c>
      <c r="AH311">
        <v>337</v>
      </c>
      <c r="AI311">
        <v>287</v>
      </c>
      <c r="AJ311">
        <v>317</v>
      </c>
      <c r="AK311">
        <v>328</v>
      </c>
      <c r="AL311">
        <v>279</v>
      </c>
      <c r="AM311">
        <v>176</v>
      </c>
      <c r="AN311">
        <v>259</v>
      </c>
      <c r="AO311">
        <v>326</v>
      </c>
      <c r="AP311">
        <v>334</v>
      </c>
      <c r="AQ311">
        <v>357</v>
      </c>
      <c r="AR311">
        <v>330</v>
      </c>
      <c r="AS311">
        <v>310</v>
      </c>
      <c r="AT311" t="str">
        <f>""</f>
        <v/>
      </c>
      <c r="AU311" t="str">
        <f>""</f>
        <v/>
      </c>
      <c r="AV311" t="str">
        <f>""</f>
        <v/>
      </c>
      <c r="AW311" t="str">
        <f>""</f>
        <v/>
      </c>
      <c r="AX311" t="str">
        <f>""</f>
        <v/>
      </c>
      <c r="AY311" t="str">
        <f>""</f>
        <v/>
      </c>
      <c r="AZ311" t="str">
        <f>""</f>
        <v/>
      </c>
      <c r="BA311" t="str">
        <f>""</f>
        <v/>
      </c>
      <c r="BB311" t="str">
        <f>""</f>
        <v/>
      </c>
      <c r="BC311" t="str">
        <f>""</f>
        <v/>
      </c>
      <c r="BD311" t="str">
        <f>""</f>
        <v/>
      </c>
      <c r="BE311" t="str">
        <f>""</f>
        <v/>
      </c>
      <c r="BF311" t="str">
        <f>""</f>
        <v/>
      </c>
      <c r="BG311" t="str">
        <f>""</f>
        <v/>
      </c>
      <c r="BH311" t="str">
        <f>""</f>
        <v/>
      </c>
      <c r="BI311" t="str">
        <f>""</f>
        <v/>
      </c>
      <c r="BJ311" t="str">
        <f>""</f>
        <v/>
      </c>
      <c r="BK311" t="str">
        <f>""</f>
        <v/>
      </c>
      <c r="BL311" t="str">
        <f>""</f>
        <v/>
      </c>
      <c r="BM311" t="str">
        <f>""</f>
        <v/>
      </c>
      <c r="BN311" t="str">
        <f>""</f>
        <v/>
      </c>
      <c r="BO311" t="str">
        <f>""</f>
        <v/>
      </c>
      <c r="BP311" t="str">
        <f>""</f>
        <v/>
      </c>
      <c r="BQ311" t="str">
        <f>""</f>
        <v/>
      </c>
      <c r="BR311" t="str">
        <f>""</f>
        <v/>
      </c>
      <c r="BS311" t="str">
        <f>""</f>
        <v/>
      </c>
      <c r="BT311" t="str">
        <f>""</f>
        <v/>
      </c>
      <c r="BU311" t="str">
        <f>""</f>
        <v/>
      </c>
      <c r="BV311" t="str">
        <f>""</f>
        <v/>
      </c>
      <c r="BW311" t="str">
        <f>""</f>
        <v/>
      </c>
      <c r="BX311" t="str">
        <f>""</f>
        <v/>
      </c>
      <c r="BY311" t="str">
        <f>""</f>
        <v/>
      </c>
      <c r="BZ311" t="str">
        <f>""</f>
        <v/>
      </c>
      <c r="CA311" t="str">
        <f>""</f>
        <v/>
      </c>
      <c r="CB311" t="str">
        <f>""</f>
        <v/>
      </c>
      <c r="CC311" t="str">
        <f>""</f>
        <v/>
      </c>
      <c r="CD311" t="str">
        <f>""</f>
        <v/>
      </c>
      <c r="CE311" t="str">
        <f>""</f>
        <v/>
      </c>
      <c r="CF311" t="str">
        <f>""</f>
        <v/>
      </c>
      <c r="CG311" t="str">
        <f>""</f>
        <v/>
      </c>
    </row>
    <row r="312" spans="1:85" x14ac:dyDescent="0.25">
      <c r="A312" t="str">
        <f>$A$193</f>
        <v xml:space="preserve">    Volvo - Volvo Truck</v>
      </c>
      <c r="B312" t="str">
        <f>$B$193</f>
        <v>VOLVB SS Equity</v>
      </c>
      <c r="C312" t="str">
        <f>$C$193</f>
        <v>X1701</v>
      </c>
      <c r="D312" t="str">
        <f>$D$193</f>
        <v>WARDS_RETAIL_SALES_UNITS</v>
      </c>
      <c r="E312" t="str">
        <f>$E$193</f>
        <v>Dynamic</v>
      </c>
      <c r="F312" t="str">
        <f ca="1">_xll.BDH($B$193,$C$193,$B$292,$B$293,CONCATENATE("Per=",$B$290),"Dts=H","Dir=H",CONCATENATE("Points=",$B$291),"Sort=R","Days=A","Fill=B","DZ665=20497950","X0012=Class 8","X0001=NACA",CONCATENATE("FX=", $B$289),"cols=40;rows=1")</f>
        <v/>
      </c>
      <c r="G312">
        <v>261</v>
      </c>
      <c r="H312">
        <v>312</v>
      </c>
      <c r="I312">
        <v>315</v>
      </c>
      <c r="J312">
        <v>228</v>
      </c>
      <c r="K312">
        <v>269</v>
      </c>
      <c r="L312">
        <v>254</v>
      </c>
      <c r="M312">
        <v>184</v>
      </c>
      <c r="N312">
        <v>241</v>
      </c>
      <c r="O312">
        <v>164</v>
      </c>
      <c r="P312">
        <v>71</v>
      </c>
      <c r="Q312">
        <v>339</v>
      </c>
      <c r="R312">
        <v>243</v>
      </c>
      <c r="S312">
        <v>245</v>
      </c>
      <c r="T312">
        <v>262</v>
      </c>
      <c r="U312">
        <v>226</v>
      </c>
      <c r="V312">
        <v>135</v>
      </c>
      <c r="W312">
        <v>181</v>
      </c>
      <c r="X312">
        <v>338</v>
      </c>
      <c r="Y312">
        <v>261</v>
      </c>
      <c r="Z312">
        <v>179</v>
      </c>
      <c r="AA312">
        <v>282</v>
      </c>
      <c r="AB312">
        <v>213</v>
      </c>
      <c r="AC312">
        <v>475</v>
      </c>
      <c r="AD312">
        <v>360</v>
      </c>
      <c r="AE312">
        <v>396</v>
      </c>
      <c r="AF312">
        <v>386</v>
      </c>
      <c r="AG312">
        <v>291</v>
      </c>
      <c r="AH312">
        <v>416</v>
      </c>
      <c r="AI312">
        <v>476</v>
      </c>
      <c r="AJ312">
        <v>452</v>
      </c>
      <c r="AK312">
        <v>448</v>
      </c>
      <c r="AL312">
        <v>460</v>
      </c>
      <c r="AM312">
        <v>386</v>
      </c>
      <c r="AN312">
        <v>338</v>
      </c>
      <c r="AO312">
        <v>379</v>
      </c>
      <c r="AP312">
        <v>369</v>
      </c>
      <c r="AQ312">
        <v>442</v>
      </c>
      <c r="AR312">
        <v>347</v>
      </c>
      <c r="AS312">
        <v>327</v>
      </c>
      <c r="AT312" t="str">
        <f>""</f>
        <v/>
      </c>
      <c r="AU312" t="str">
        <f>""</f>
        <v/>
      </c>
      <c r="AV312" t="str">
        <f>""</f>
        <v/>
      </c>
      <c r="AW312" t="str">
        <f>""</f>
        <v/>
      </c>
      <c r="AX312" t="str">
        <f>""</f>
        <v/>
      </c>
      <c r="AY312" t="str">
        <f>""</f>
        <v/>
      </c>
      <c r="AZ312" t="str">
        <f>""</f>
        <v/>
      </c>
      <c r="BA312" t="str">
        <f>""</f>
        <v/>
      </c>
      <c r="BB312" t="str">
        <f>""</f>
        <v/>
      </c>
      <c r="BC312" t="str">
        <f>""</f>
        <v/>
      </c>
      <c r="BD312" t="str">
        <f>""</f>
        <v/>
      </c>
      <c r="BE312" t="str">
        <f>""</f>
        <v/>
      </c>
      <c r="BF312" t="str">
        <f>""</f>
        <v/>
      </c>
      <c r="BG312" t="str">
        <f>""</f>
        <v/>
      </c>
      <c r="BH312" t="str">
        <f>""</f>
        <v/>
      </c>
      <c r="BI312" t="str">
        <f>""</f>
        <v/>
      </c>
      <c r="BJ312" t="str">
        <f>""</f>
        <v/>
      </c>
      <c r="BK312" t="str">
        <f>""</f>
        <v/>
      </c>
      <c r="BL312" t="str">
        <f>""</f>
        <v/>
      </c>
      <c r="BM312" t="str">
        <f>""</f>
        <v/>
      </c>
      <c r="BN312" t="str">
        <f>""</f>
        <v/>
      </c>
      <c r="BO312" t="str">
        <f>""</f>
        <v/>
      </c>
      <c r="BP312" t="str">
        <f>""</f>
        <v/>
      </c>
      <c r="BQ312" t="str">
        <f>""</f>
        <v/>
      </c>
      <c r="BR312" t="str">
        <f>""</f>
        <v/>
      </c>
      <c r="BS312" t="str">
        <f>""</f>
        <v/>
      </c>
      <c r="BT312" t="str">
        <f>""</f>
        <v/>
      </c>
      <c r="BU312" t="str">
        <f>""</f>
        <v/>
      </c>
      <c r="BV312" t="str">
        <f>""</f>
        <v/>
      </c>
      <c r="BW312" t="str">
        <f>""</f>
        <v/>
      </c>
      <c r="BX312" t="str">
        <f>""</f>
        <v/>
      </c>
      <c r="BY312" t="str">
        <f>""</f>
        <v/>
      </c>
      <c r="BZ312" t="str">
        <f>""</f>
        <v/>
      </c>
      <c r="CA312" t="str">
        <f>""</f>
        <v/>
      </c>
      <c r="CB312" t="str">
        <f>""</f>
        <v/>
      </c>
      <c r="CC312" t="str">
        <f>""</f>
        <v/>
      </c>
      <c r="CD312" t="str">
        <f>""</f>
        <v/>
      </c>
      <c r="CE312" t="str">
        <f>""</f>
        <v/>
      </c>
      <c r="CF312" t="str">
        <f>""</f>
        <v/>
      </c>
      <c r="CG312" t="str">
        <f>""</f>
        <v/>
      </c>
    </row>
    <row r="313" spans="1:85" x14ac:dyDescent="0.25">
      <c r="A313" t="str">
        <f>$A$194</f>
        <v xml:space="preserve">    Volvo - Mack</v>
      </c>
      <c r="B313" t="str">
        <f>$B$194</f>
        <v>VOLVB SS Equity</v>
      </c>
      <c r="C313" t="str">
        <f>$C$194</f>
        <v>X1701</v>
      </c>
      <c r="D313" t="str">
        <f>$D$194</f>
        <v>WARDS_RETAIL_SALES_UNITS</v>
      </c>
      <c r="E313" t="str">
        <f>$E$194</f>
        <v>Dynamic</v>
      </c>
      <c r="F313" t="str">
        <f ca="1">_xll.BDH($B$194,$C$194,$B$292,$B$293,CONCATENATE("Per=",$B$290),"Dts=H","Dir=H",CONCATENATE("Points=",$B$291),"Sort=R","Days=A","Fill=B","DZ665=20497958","X0012=Class 8","X0001=NACA",CONCATENATE("FX=", $B$289),"cols=40;rows=1")</f>
        <v/>
      </c>
      <c r="G313">
        <v>135</v>
      </c>
      <c r="H313">
        <v>199</v>
      </c>
      <c r="I313">
        <v>132</v>
      </c>
      <c r="J313">
        <v>124</v>
      </c>
      <c r="K313">
        <v>194</v>
      </c>
      <c r="L313">
        <v>169</v>
      </c>
      <c r="M313">
        <v>105</v>
      </c>
      <c r="N313">
        <v>223</v>
      </c>
      <c r="O313">
        <v>108</v>
      </c>
      <c r="P313">
        <v>67</v>
      </c>
      <c r="Q313">
        <v>171</v>
      </c>
      <c r="R313">
        <v>119</v>
      </c>
      <c r="S313">
        <v>119</v>
      </c>
      <c r="T313">
        <v>133</v>
      </c>
      <c r="U313">
        <v>117</v>
      </c>
      <c r="V313">
        <v>150</v>
      </c>
      <c r="W313">
        <v>172</v>
      </c>
      <c r="X313">
        <v>169</v>
      </c>
      <c r="Y313">
        <v>161</v>
      </c>
      <c r="Z313">
        <v>172</v>
      </c>
      <c r="AA313">
        <v>137</v>
      </c>
      <c r="AB313">
        <v>127</v>
      </c>
      <c r="AC313">
        <v>211</v>
      </c>
      <c r="AD313">
        <v>225</v>
      </c>
      <c r="AE313">
        <v>157</v>
      </c>
      <c r="AF313">
        <v>188</v>
      </c>
      <c r="AG313">
        <v>137</v>
      </c>
      <c r="AH313">
        <v>139</v>
      </c>
      <c r="AI313">
        <v>203</v>
      </c>
      <c r="AJ313">
        <v>253</v>
      </c>
      <c r="AK313">
        <v>174</v>
      </c>
      <c r="AL313">
        <v>217</v>
      </c>
      <c r="AM313">
        <v>110</v>
      </c>
      <c r="AN313">
        <v>171</v>
      </c>
      <c r="AO313">
        <v>162</v>
      </c>
      <c r="AP313">
        <v>137</v>
      </c>
      <c r="AQ313">
        <v>111</v>
      </c>
      <c r="AR313">
        <v>172</v>
      </c>
      <c r="AS313">
        <v>166</v>
      </c>
      <c r="AT313" t="str">
        <f>""</f>
        <v/>
      </c>
      <c r="AU313" t="str">
        <f>""</f>
        <v/>
      </c>
      <c r="AV313" t="str">
        <f>""</f>
        <v/>
      </c>
      <c r="AW313" t="str">
        <f>""</f>
        <v/>
      </c>
      <c r="AX313" t="str">
        <f>""</f>
        <v/>
      </c>
      <c r="AY313" t="str">
        <f>""</f>
        <v/>
      </c>
      <c r="AZ313" t="str">
        <f>""</f>
        <v/>
      </c>
      <c r="BA313" t="str">
        <f>""</f>
        <v/>
      </c>
      <c r="BB313" t="str">
        <f>""</f>
        <v/>
      </c>
      <c r="BC313" t="str">
        <f>""</f>
        <v/>
      </c>
      <c r="BD313" t="str">
        <f>""</f>
        <v/>
      </c>
      <c r="BE313" t="str">
        <f>""</f>
        <v/>
      </c>
      <c r="BF313" t="str">
        <f>""</f>
        <v/>
      </c>
      <c r="BG313" t="str">
        <f>""</f>
        <v/>
      </c>
      <c r="BH313" t="str">
        <f>""</f>
        <v/>
      </c>
      <c r="BI313" t="str">
        <f>""</f>
        <v/>
      </c>
      <c r="BJ313" t="str">
        <f>""</f>
        <v/>
      </c>
      <c r="BK313" t="str">
        <f>""</f>
        <v/>
      </c>
      <c r="BL313" t="str">
        <f>""</f>
        <v/>
      </c>
      <c r="BM313" t="str">
        <f>""</f>
        <v/>
      </c>
      <c r="BN313" t="str">
        <f>""</f>
        <v/>
      </c>
      <c r="BO313" t="str">
        <f>""</f>
        <v/>
      </c>
      <c r="BP313" t="str">
        <f>""</f>
        <v/>
      </c>
      <c r="BQ313" t="str">
        <f>""</f>
        <v/>
      </c>
      <c r="BR313" t="str">
        <f>""</f>
        <v/>
      </c>
      <c r="BS313" t="str">
        <f>""</f>
        <v/>
      </c>
      <c r="BT313" t="str">
        <f>""</f>
        <v/>
      </c>
      <c r="BU313" t="str">
        <f>""</f>
        <v/>
      </c>
      <c r="BV313" t="str">
        <f>""</f>
        <v/>
      </c>
      <c r="BW313" t="str">
        <f>""</f>
        <v/>
      </c>
      <c r="BX313" t="str">
        <f>""</f>
        <v/>
      </c>
      <c r="BY313" t="str">
        <f>""</f>
        <v/>
      </c>
      <c r="BZ313" t="str">
        <f>""</f>
        <v/>
      </c>
      <c r="CA313" t="str">
        <f>""</f>
        <v/>
      </c>
      <c r="CB313" t="str">
        <f>""</f>
        <v/>
      </c>
      <c r="CC313" t="str">
        <f>""</f>
        <v/>
      </c>
      <c r="CD313" t="str">
        <f>""</f>
        <v/>
      </c>
      <c r="CE313" t="str">
        <f>""</f>
        <v/>
      </c>
      <c r="CF313" t="str">
        <f>""</f>
        <v/>
      </c>
      <c r="CG313" t="str">
        <f>""</f>
        <v/>
      </c>
    </row>
    <row r="314" spans="1:85" x14ac:dyDescent="0.25">
      <c r="A314" t="str">
        <f>$A$195</f>
        <v xml:space="preserve">    Navistar - International</v>
      </c>
      <c r="B314" t="str">
        <f>$B$195</f>
        <v>NAV US Equity</v>
      </c>
      <c r="C314" t="str">
        <f>$C$195</f>
        <v>X1701</v>
      </c>
      <c r="D314" t="str">
        <f>$D$195</f>
        <v>WARDS_RETAIL_SALES_UNITS</v>
      </c>
      <c r="E314" t="str">
        <f>$E$195</f>
        <v>Dynamic</v>
      </c>
      <c r="F314" t="str">
        <f ca="1">_xll.BDH($B$195,$C$195,$B$292,$B$293,CONCATENATE("Per=",$B$290),"Dts=H","Dir=H",CONCATENATE("Points=",$B$291),"Sort=R","Days=A","Fill=B","DZ665=377405","X0012=Class 8","X0001=NACA",CONCATENATE("FX=", $B$289),"cols=40;rows=1")</f>
        <v/>
      </c>
      <c r="G314">
        <v>637</v>
      </c>
      <c r="H314">
        <v>322</v>
      </c>
      <c r="I314">
        <v>365</v>
      </c>
      <c r="J314">
        <v>293</v>
      </c>
      <c r="K314">
        <v>419</v>
      </c>
      <c r="L314">
        <v>329</v>
      </c>
      <c r="M314">
        <v>337</v>
      </c>
      <c r="N314">
        <v>272</v>
      </c>
      <c r="O314">
        <v>166</v>
      </c>
      <c r="P314">
        <v>248</v>
      </c>
      <c r="Q314">
        <v>169</v>
      </c>
      <c r="R314">
        <v>183</v>
      </c>
      <c r="S314">
        <v>409</v>
      </c>
      <c r="T314">
        <v>328</v>
      </c>
      <c r="U314">
        <v>207</v>
      </c>
      <c r="V314">
        <v>178</v>
      </c>
      <c r="W314">
        <v>250</v>
      </c>
      <c r="X314">
        <v>269</v>
      </c>
      <c r="Y314">
        <v>286</v>
      </c>
      <c r="Z314">
        <v>216</v>
      </c>
      <c r="AA314">
        <v>184</v>
      </c>
      <c r="AB314">
        <v>207</v>
      </c>
      <c r="AC314">
        <v>199</v>
      </c>
      <c r="AD314">
        <v>188</v>
      </c>
      <c r="AE314">
        <v>472</v>
      </c>
      <c r="AF314">
        <v>329</v>
      </c>
      <c r="AG314">
        <v>390</v>
      </c>
      <c r="AH314">
        <v>363</v>
      </c>
      <c r="AI314">
        <v>361</v>
      </c>
      <c r="AJ314">
        <v>374</v>
      </c>
      <c r="AK314">
        <v>345</v>
      </c>
      <c r="AL314">
        <v>308</v>
      </c>
      <c r="AM314">
        <v>267</v>
      </c>
      <c r="AN314">
        <v>294</v>
      </c>
      <c r="AO314">
        <v>359</v>
      </c>
      <c r="AP314">
        <v>318</v>
      </c>
      <c r="AQ314">
        <v>411</v>
      </c>
      <c r="AR314">
        <v>351</v>
      </c>
      <c r="AS314">
        <v>207</v>
      </c>
      <c r="AT314" t="str">
        <f>""</f>
        <v/>
      </c>
      <c r="AU314" t="str">
        <f>""</f>
        <v/>
      </c>
      <c r="AV314" t="str">
        <f>""</f>
        <v/>
      </c>
      <c r="AW314" t="str">
        <f>""</f>
        <v/>
      </c>
      <c r="AX314" t="str">
        <f>""</f>
        <v/>
      </c>
      <c r="AY314" t="str">
        <f>""</f>
        <v/>
      </c>
      <c r="AZ314" t="str">
        <f>""</f>
        <v/>
      </c>
      <c r="BA314" t="str">
        <f>""</f>
        <v/>
      </c>
      <c r="BB314" t="str">
        <f>""</f>
        <v/>
      </c>
      <c r="BC314" t="str">
        <f>""</f>
        <v/>
      </c>
      <c r="BD314" t="str">
        <f>""</f>
        <v/>
      </c>
      <c r="BE314" t="str">
        <f>""</f>
        <v/>
      </c>
      <c r="BF314" t="str">
        <f>""</f>
        <v/>
      </c>
      <c r="BG314" t="str">
        <f>""</f>
        <v/>
      </c>
      <c r="BH314" t="str">
        <f>""</f>
        <v/>
      </c>
      <c r="BI314" t="str">
        <f>""</f>
        <v/>
      </c>
      <c r="BJ314" t="str">
        <f>""</f>
        <v/>
      </c>
      <c r="BK314" t="str">
        <f>""</f>
        <v/>
      </c>
      <c r="BL314" t="str">
        <f>""</f>
        <v/>
      </c>
      <c r="BM314" t="str">
        <f>""</f>
        <v/>
      </c>
      <c r="BN314" t="str">
        <f>""</f>
        <v/>
      </c>
      <c r="BO314" t="str">
        <f>""</f>
        <v/>
      </c>
      <c r="BP314" t="str">
        <f>""</f>
        <v/>
      </c>
      <c r="BQ314" t="str">
        <f>""</f>
        <v/>
      </c>
      <c r="BR314" t="str">
        <f>""</f>
        <v/>
      </c>
      <c r="BS314" t="str">
        <f>""</f>
        <v/>
      </c>
      <c r="BT314" t="str">
        <f>""</f>
        <v/>
      </c>
      <c r="BU314" t="str">
        <f>""</f>
        <v/>
      </c>
      <c r="BV314" t="str">
        <f>""</f>
        <v/>
      </c>
      <c r="BW314" t="str">
        <f>""</f>
        <v/>
      </c>
      <c r="BX314" t="str">
        <f>""</f>
        <v/>
      </c>
      <c r="BY314" t="str">
        <f>""</f>
        <v/>
      </c>
      <c r="BZ314" t="str">
        <f>""</f>
        <v/>
      </c>
      <c r="CA314" t="str">
        <f>""</f>
        <v/>
      </c>
      <c r="CB314" t="str">
        <f>""</f>
        <v/>
      </c>
      <c r="CC314" t="str">
        <f>""</f>
        <v/>
      </c>
      <c r="CD314" t="str">
        <f>""</f>
        <v/>
      </c>
      <c r="CE314" t="str">
        <f>""</f>
        <v/>
      </c>
      <c r="CF314" t="str">
        <f>""</f>
        <v/>
      </c>
      <c r="CG314" t="str">
        <f>""</f>
        <v/>
      </c>
    </row>
    <row r="315" spans="1:85" x14ac:dyDescent="0.25">
      <c r="A315" t="str">
        <f>$A$196</f>
        <v>Mexico (Class 8)</v>
      </c>
      <c r="B315" t="str">
        <f>$B$196</f>
        <v>TRCKMX8S Index</v>
      </c>
      <c r="C315" t="str">
        <f>$C$196</f>
        <v>PR005</v>
      </c>
      <c r="D315" t="str">
        <f>$D$196</f>
        <v>PX_LAST</v>
      </c>
      <c r="E315" t="str">
        <f>$E$196</f>
        <v>Dynamic</v>
      </c>
      <c r="F315" t="str">
        <f ca="1">_xll.BDH($B$196,$C$196,$B$292,$B$293,CONCATENATE("Per=",$B$290),"Dts=H","Dir=H",CONCATENATE("Points=",$B$291),"Sort=R","Days=A","Fill=B",CONCATENATE("FX=", $B$289),"cols=40;rows=1")</f>
        <v/>
      </c>
      <c r="H315">
        <v>2509</v>
      </c>
      <c r="I315">
        <v>2394</v>
      </c>
      <c r="J315">
        <v>2265</v>
      </c>
      <c r="K315">
        <v>2262</v>
      </c>
      <c r="L315">
        <v>2376</v>
      </c>
      <c r="M315">
        <v>2301</v>
      </c>
      <c r="N315">
        <v>2196</v>
      </c>
      <c r="O315">
        <v>2549</v>
      </c>
      <c r="P315">
        <v>1963</v>
      </c>
      <c r="Q315">
        <v>1950</v>
      </c>
      <c r="R315">
        <v>4139</v>
      </c>
      <c r="S315">
        <v>3301</v>
      </c>
      <c r="T315">
        <v>2852</v>
      </c>
      <c r="U315">
        <v>2697</v>
      </c>
      <c r="V315">
        <v>2367</v>
      </c>
      <c r="W315">
        <v>1870</v>
      </c>
      <c r="X315">
        <v>2249</v>
      </c>
      <c r="Y315">
        <v>2194</v>
      </c>
      <c r="Z315">
        <v>2310</v>
      </c>
      <c r="AA315">
        <v>2159</v>
      </c>
      <c r="AB315">
        <v>1951</v>
      </c>
      <c r="AC315">
        <v>1894</v>
      </c>
      <c r="AD315">
        <v>2667</v>
      </c>
      <c r="AE315">
        <v>1955</v>
      </c>
      <c r="AF315">
        <v>2139</v>
      </c>
      <c r="AG315">
        <v>1924</v>
      </c>
      <c r="AH315">
        <v>2236</v>
      </c>
      <c r="AI315">
        <v>2227</v>
      </c>
      <c r="AJ315">
        <v>1915</v>
      </c>
      <c r="AK315">
        <v>1721</v>
      </c>
      <c r="AL315">
        <v>1931</v>
      </c>
      <c r="AM315">
        <v>1698</v>
      </c>
      <c r="AN315">
        <v>1810</v>
      </c>
      <c r="AO315">
        <v>1680</v>
      </c>
      <c r="AP315">
        <v>2457</v>
      </c>
      <c r="AQ315">
        <v>2264</v>
      </c>
      <c r="AR315">
        <v>2289</v>
      </c>
      <c r="AS315">
        <v>1795</v>
      </c>
      <c r="AT315" t="str">
        <f>""</f>
        <v/>
      </c>
      <c r="AU315" t="str">
        <f>""</f>
        <v/>
      </c>
      <c r="AV315" t="str">
        <f>""</f>
        <v/>
      </c>
      <c r="AW315" t="str">
        <f>""</f>
        <v/>
      </c>
      <c r="AX315" t="str">
        <f>""</f>
        <v/>
      </c>
      <c r="AY315" t="str">
        <f>""</f>
        <v/>
      </c>
      <c r="AZ315" t="str">
        <f>""</f>
        <v/>
      </c>
      <c r="BA315" t="str">
        <f>""</f>
        <v/>
      </c>
      <c r="BB315" t="str">
        <f>""</f>
        <v/>
      </c>
      <c r="BC315" t="str">
        <f>""</f>
        <v/>
      </c>
      <c r="BD315" t="str">
        <f>""</f>
        <v/>
      </c>
      <c r="BE315" t="str">
        <f>""</f>
        <v/>
      </c>
      <c r="BF315" t="str">
        <f>""</f>
        <v/>
      </c>
      <c r="BG315" t="str">
        <f>""</f>
        <v/>
      </c>
      <c r="BH315" t="str">
        <f>""</f>
        <v/>
      </c>
      <c r="BI315" t="str">
        <f>""</f>
        <v/>
      </c>
      <c r="BJ315" t="str">
        <f>""</f>
        <v/>
      </c>
      <c r="BK315" t="str">
        <f>""</f>
        <v/>
      </c>
      <c r="BL315" t="str">
        <f>""</f>
        <v/>
      </c>
      <c r="BM315" t="str">
        <f>""</f>
        <v/>
      </c>
      <c r="BN315" t="str">
        <f>""</f>
        <v/>
      </c>
      <c r="BO315" t="str">
        <f>""</f>
        <v/>
      </c>
      <c r="BP315" t="str">
        <f>""</f>
        <v/>
      </c>
      <c r="BQ315" t="str">
        <f>""</f>
        <v/>
      </c>
      <c r="BR315" t="str">
        <f>""</f>
        <v/>
      </c>
      <c r="BS315" t="str">
        <f>""</f>
        <v/>
      </c>
      <c r="BT315" t="str">
        <f>""</f>
        <v/>
      </c>
      <c r="BU315" t="str">
        <f>""</f>
        <v/>
      </c>
      <c r="BV315" t="str">
        <f>""</f>
        <v/>
      </c>
      <c r="BW315" t="str">
        <f>""</f>
        <v/>
      </c>
      <c r="BX315" t="str">
        <f>""</f>
        <v/>
      </c>
      <c r="BY315" t="str">
        <f>""</f>
        <v/>
      </c>
      <c r="BZ315" t="str">
        <f>""</f>
        <v/>
      </c>
      <c r="CA315" t="str">
        <f>""</f>
        <v/>
      </c>
      <c r="CB315" t="str">
        <f>""</f>
        <v/>
      </c>
      <c r="CC315" t="str">
        <f>""</f>
        <v/>
      </c>
      <c r="CD315" t="str">
        <f>""</f>
        <v/>
      </c>
      <c r="CE315" t="str">
        <f>""</f>
        <v/>
      </c>
      <c r="CF315" t="str">
        <f>""</f>
        <v/>
      </c>
      <c r="CG315" t="str">
        <f>""</f>
        <v/>
      </c>
    </row>
    <row r="316" spans="1:85" x14ac:dyDescent="0.25">
      <c r="A316" t="str">
        <f>$A$197</f>
        <v xml:space="preserve">    PACCAR - Kenworth</v>
      </c>
      <c r="B316" t="str">
        <f>$B$197</f>
        <v>PCAR US Equity</v>
      </c>
      <c r="C316" t="str">
        <f>$C$197</f>
        <v>X1701</v>
      </c>
      <c r="D316" t="str">
        <f>$D$197</f>
        <v>WARDS_RETAIL_SALES_UNITS</v>
      </c>
      <c r="E316" t="str">
        <f>$E$197</f>
        <v>Dynamic</v>
      </c>
      <c r="F316" t="str">
        <f ca="1">_xll.BDH($B$197,$C$197,$B$292,$B$293,CONCATENATE("Per=",$B$290),"Dts=H","Dir=H",CONCATENATE("Points=",$B$291),"Sort=R","Days=A","Fill=B","DZ665=267317","X0012=Class 8","X0001=NAMX",CONCATENATE("FX=", $B$289),"cols=40;rows=1")</f>
        <v/>
      </c>
      <c r="G316">
        <v>729</v>
      </c>
      <c r="H316">
        <v>790</v>
      </c>
      <c r="I316">
        <v>835</v>
      </c>
      <c r="J316">
        <v>774</v>
      </c>
      <c r="K316">
        <v>774</v>
      </c>
      <c r="L316">
        <v>727</v>
      </c>
      <c r="M316">
        <v>644</v>
      </c>
      <c r="N316">
        <v>795</v>
      </c>
      <c r="O316">
        <v>608</v>
      </c>
      <c r="P316">
        <v>454</v>
      </c>
      <c r="Q316">
        <v>1576</v>
      </c>
      <c r="R316">
        <v>1163</v>
      </c>
      <c r="S316">
        <v>867</v>
      </c>
      <c r="T316">
        <v>911</v>
      </c>
      <c r="U316">
        <v>851</v>
      </c>
      <c r="V316">
        <v>585</v>
      </c>
      <c r="W316">
        <v>805</v>
      </c>
      <c r="X316">
        <v>550</v>
      </c>
      <c r="Y316">
        <v>651</v>
      </c>
      <c r="Z316">
        <v>735</v>
      </c>
      <c r="AA316">
        <v>796</v>
      </c>
      <c r="AB316">
        <v>336</v>
      </c>
      <c r="AC316">
        <v>1123</v>
      </c>
      <c r="AD316">
        <v>698</v>
      </c>
      <c r="AE316">
        <v>817</v>
      </c>
      <c r="AF316">
        <v>680</v>
      </c>
      <c r="AG316">
        <v>952</v>
      </c>
      <c r="AH316">
        <v>755</v>
      </c>
      <c r="AI316">
        <v>787</v>
      </c>
      <c r="AJ316">
        <v>602</v>
      </c>
      <c r="AK316">
        <v>769</v>
      </c>
      <c r="AL316">
        <v>698</v>
      </c>
      <c r="AM316">
        <v>735</v>
      </c>
      <c r="AN316">
        <v>639</v>
      </c>
      <c r="AO316">
        <v>838</v>
      </c>
      <c r="AP316">
        <v>773</v>
      </c>
      <c r="AQ316">
        <v>781</v>
      </c>
      <c r="AR316">
        <v>688</v>
      </c>
      <c r="AS316">
        <v>749</v>
      </c>
      <c r="AT316" t="str">
        <f>""</f>
        <v/>
      </c>
      <c r="AU316" t="str">
        <f>""</f>
        <v/>
      </c>
      <c r="AV316" t="str">
        <f>""</f>
        <v/>
      </c>
      <c r="AW316" t="str">
        <f>""</f>
        <v/>
      </c>
      <c r="AX316" t="str">
        <f>""</f>
        <v/>
      </c>
      <c r="AY316" t="str">
        <f>""</f>
        <v/>
      </c>
      <c r="AZ316" t="str">
        <f>""</f>
        <v/>
      </c>
      <c r="BA316" t="str">
        <f>""</f>
        <v/>
      </c>
      <c r="BB316" t="str">
        <f>""</f>
        <v/>
      </c>
      <c r="BC316" t="str">
        <f>""</f>
        <v/>
      </c>
      <c r="BD316" t="str">
        <f>""</f>
        <v/>
      </c>
      <c r="BE316" t="str">
        <f>""</f>
        <v/>
      </c>
      <c r="BF316" t="str">
        <f>""</f>
        <v/>
      </c>
      <c r="BG316" t="str">
        <f>""</f>
        <v/>
      </c>
      <c r="BH316" t="str">
        <f>""</f>
        <v/>
      </c>
      <c r="BI316" t="str">
        <f>""</f>
        <v/>
      </c>
      <c r="BJ316" t="str">
        <f>""</f>
        <v/>
      </c>
      <c r="BK316" t="str">
        <f>""</f>
        <v/>
      </c>
      <c r="BL316" t="str">
        <f>""</f>
        <v/>
      </c>
      <c r="BM316" t="str">
        <f>""</f>
        <v/>
      </c>
      <c r="BN316" t="str">
        <f>""</f>
        <v/>
      </c>
      <c r="BO316" t="str">
        <f>""</f>
        <v/>
      </c>
      <c r="BP316" t="str">
        <f>""</f>
        <v/>
      </c>
      <c r="BQ316" t="str">
        <f>""</f>
        <v/>
      </c>
      <c r="BR316" t="str">
        <f>""</f>
        <v/>
      </c>
      <c r="BS316" t="str">
        <f>""</f>
        <v/>
      </c>
      <c r="BT316" t="str">
        <f>""</f>
        <v/>
      </c>
      <c r="BU316" t="str">
        <f>""</f>
        <v/>
      </c>
      <c r="BV316" t="str">
        <f>""</f>
        <v/>
      </c>
      <c r="BW316" t="str">
        <f>""</f>
        <v/>
      </c>
      <c r="BX316" t="str">
        <f>""</f>
        <v/>
      </c>
      <c r="BY316" t="str">
        <f>""</f>
        <v/>
      </c>
      <c r="BZ316" t="str">
        <f>""</f>
        <v/>
      </c>
      <c r="CA316" t="str">
        <f>""</f>
        <v/>
      </c>
      <c r="CB316" t="str">
        <f>""</f>
        <v/>
      </c>
      <c r="CC316" t="str">
        <f>""</f>
        <v/>
      </c>
      <c r="CD316" t="str">
        <f>""</f>
        <v/>
      </c>
      <c r="CE316" t="str">
        <f>""</f>
        <v/>
      </c>
      <c r="CF316" t="str">
        <f>""</f>
        <v/>
      </c>
      <c r="CG316" t="str">
        <f>""</f>
        <v/>
      </c>
    </row>
    <row r="317" spans="1:85" x14ac:dyDescent="0.25">
      <c r="A317" t="str">
        <f>$A$198</f>
        <v xml:space="preserve">    Navistar - International</v>
      </c>
      <c r="B317" t="str">
        <f>$B$198</f>
        <v>NAV US Equity</v>
      </c>
      <c r="C317" t="str">
        <f>$C$198</f>
        <v>X1701</v>
      </c>
      <c r="D317" t="str">
        <f>$D$198</f>
        <v>WARDS_RETAIL_SALES_UNITS</v>
      </c>
      <c r="E317" t="str">
        <f>$E$198</f>
        <v>Dynamic</v>
      </c>
      <c r="F317" t="str">
        <f ca="1">_xll.BDH($B$198,$C$198,$B$292,$B$293,CONCATENATE("Per=",$B$290),"Dts=H","Dir=H",CONCATENATE("Points=",$B$291),"Sort=R","Days=A","Fill=B","DZ665=377405","X0012=Class 8","X0001=NAMX",CONCATENATE("FX=", $B$289),"cols=40;rows=1")</f>
        <v/>
      </c>
      <c r="G317">
        <v>677</v>
      </c>
      <c r="H317">
        <v>428</v>
      </c>
      <c r="I317">
        <v>400</v>
      </c>
      <c r="J317">
        <v>425</v>
      </c>
      <c r="K317">
        <v>365</v>
      </c>
      <c r="L317">
        <v>374</v>
      </c>
      <c r="M317">
        <v>473</v>
      </c>
      <c r="N317">
        <v>450</v>
      </c>
      <c r="O317">
        <v>385</v>
      </c>
      <c r="P317">
        <v>419</v>
      </c>
      <c r="Q317">
        <v>655</v>
      </c>
      <c r="R317">
        <v>743</v>
      </c>
      <c r="S317">
        <v>690</v>
      </c>
      <c r="T317">
        <v>551</v>
      </c>
      <c r="U317">
        <v>478</v>
      </c>
      <c r="V317">
        <v>424</v>
      </c>
      <c r="W317">
        <v>466</v>
      </c>
      <c r="X317">
        <v>483</v>
      </c>
      <c r="Y317">
        <v>534</v>
      </c>
      <c r="Z317">
        <v>373</v>
      </c>
      <c r="AA317">
        <v>407</v>
      </c>
      <c r="AB317">
        <v>495</v>
      </c>
      <c r="AC317">
        <v>357</v>
      </c>
      <c r="AD317">
        <v>363</v>
      </c>
      <c r="AE317">
        <v>535</v>
      </c>
      <c r="AF317">
        <v>475</v>
      </c>
      <c r="AG317">
        <v>459</v>
      </c>
      <c r="AH317">
        <v>431</v>
      </c>
      <c r="AI317">
        <v>393</v>
      </c>
      <c r="AJ317">
        <v>352</v>
      </c>
      <c r="AK317">
        <v>406</v>
      </c>
      <c r="AL317">
        <v>402</v>
      </c>
      <c r="AM317">
        <v>376</v>
      </c>
      <c r="AN317">
        <v>391</v>
      </c>
      <c r="AO317">
        <v>567</v>
      </c>
      <c r="AP317">
        <v>524</v>
      </c>
      <c r="AQ317">
        <v>529</v>
      </c>
      <c r="AR317">
        <v>416</v>
      </c>
      <c r="AS317">
        <v>540</v>
      </c>
      <c r="AT317" t="str">
        <f>""</f>
        <v/>
      </c>
      <c r="AU317" t="str">
        <f>""</f>
        <v/>
      </c>
      <c r="AV317" t="str">
        <f>""</f>
        <v/>
      </c>
      <c r="AW317" t="str">
        <f>""</f>
        <v/>
      </c>
      <c r="AX317" t="str">
        <f>""</f>
        <v/>
      </c>
      <c r="AY317" t="str">
        <f>""</f>
        <v/>
      </c>
      <c r="AZ317" t="str">
        <f>""</f>
        <v/>
      </c>
      <c r="BA317" t="str">
        <f>""</f>
        <v/>
      </c>
      <c r="BB317" t="str">
        <f>""</f>
        <v/>
      </c>
      <c r="BC317" t="str">
        <f>""</f>
        <v/>
      </c>
      <c r="BD317" t="str">
        <f>""</f>
        <v/>
      </c>
      <c r="BE317" t="str">
        <f>""</f>
        <v/>
      </c>
      <c r="BF317" t="str">
        <f>""</f>
        <v/>
      </c>
      <c r="BG317" t="str">
        <f>""</f>
        <v/>
      </c>
      <c r="BH317" t="str">
        <f>""</f>
        <v/>
      </c>
      <c r="BI317" t="str">
        <f>""</f>
        <v/>
      </c>
      <c r="BJ317" t="str">
        <f>""</f>
        <v/>
      </c>
      <c r="BK317" t="str">
        <f>""</f>
        <v/>
      </c>
      <c r="BL317" t="str">
        <f>""</f>
        <v/>
      </c>
      <c r="BM317" t="str">
        <f>""</f>
        <v/>
      </c>
      <c r="BN317" t="str">
        <f>""</f>
        <v/>
      </c>
      <c r="BO317" t="str">
        <f>""</f>
        <v/>
      </c>
      <c r="BP317" t="str">
        <f>""</f>
        <v/>
      </c>
      <c r="BQ317" t="str">
        <f>""</f>
        <v/>
      </c>
      <c r="BR317" t="str">
        <f>""</f>
        <v/>
      </c>
      <c r="BS317" t="str">
        <f>""</f>
        <v/>
      </c>
      <c r="BT317" t="str">
        <f>""</f>
        <v/>
      </c>
      <c r="BU317" t="str">
        <f>""</f>
        <v/>
      </c>
      <c r="BV317" t="str">
        <f>""</f>
        <v/>
      </c>
      <c r="BW317" t="str">
        <f>""</f>
        <v/>
      </c>
      <c r="BX317" t="str">
        <f>""</f>
        <v/>
      </c>
      <c r="BY317" t="str">
        <f>""</f>
        <v/>
      </c>
      <c r="BZ317" t="str">
        <f>""</f>
        <v/>
      </c>
      <c r="CA317" t="str">
        <f>""</f>
        <v/>
      </c>
      <c r="CB317" t="str">
        <f>""</f>
        <v/>
      </c>
      <c r="CC317" t="str">
        <f>""</f>
        <v/>
      </c>
      <c r="CD317" t="str">
        <f>""</f>
        <v/>
      </c>
      <c r="CE317" t="str">
        <f>""</f>
        <v/>
      </c>
      <c r="CF317" t="str">
        <f>""</f>
        <v/>
      </c>
      <c r="CG317" t="str">
        <f>""</f>
        <v/>
      </c>
    </row>
    <row r="318" spans="1:85" x14ac:dyDescent="0.25">
      <c r="A318" t="str">
        <f>$A$199</f>
        <v xml:space="preserve">    Daimler - Freightliner</v>
      </c>
      <c r="B318" t="str">
        <f>$B$199</f>
        <v>DAI GR Equity</v>
      </c>
      <c r="C318" t="str">
        <f>$C$199</f>
        <v>X1701</v>
      </c>
      <c r="D318" t="str">
        <f>$D$199</f>
        <v>WARDS_RETAIL_SALES_UNITS</v>
      </c>
      <c r="E318" t="str">
        <f>$E$199</f>
        <v>Dynamic</v>
      </c>
      <c r="F318" t="str">
        <f ca="1">_xll.BDH($B$199,$C$199,$B$292,$B$293,CONCATENATE("Per=",$B$290),"Dts=H","Dir=H",CONCATENATE("Points=",$B$291),"Sort=R","Days=A","Fill=B","DZ665=16578413","X0012=Class 8","X0001=NAMX",CONCATENATE("FX=", $B$289),"cols=40;rows=1")</f>
        <v/>
      </c>
      <c r="G318">
        <v>679</v>
      </c>
      <c r="H318">
        <v>635</v>
      </c>
      <c r="I318">
        <v>679</v>
      </c>
      <c r="J318">
        <v>679</v>
      </c>
      <c r="K318">
        <v>701</v>
      </c>
      <c r="L318">
        <v>679</v>
      </c>
      <c r="M318">
        <v>635</v>
      </c>
      <c r="N318">
        <v>745</v>
      </c>
      <c r="O318">
        <v>635</v>
      </c>
      <c r="P318">
        <v>679</v>
      </c>
      <c r="Q318">
        <v>1287</v>
      </c>
      <c r="R318">
        <v>960</v>
      </c>
      <c r="S318">
        <v>888</v>
      </c>
      <c r="T318">
        <v>845</v>
      </c>
      <c r="U318">
        <v>687</v>
      </c>
      <c r="V318">
        <v>585</v>
      </c>
      <c r="W318">
        <v>668</v>
      </c>
      <c r="X318">
        <v>778</v>
      </c>
      <c r="Y318">
        <v>754</v>
      </c>
      <c r="Z318">
        <v>668</v>
      </c>
      <c r="AA318">
        <v>512</v>
      </c>
      <c r="AB318">
        <v>738</v>
      </c>
      <c r="AC318">
        <v>549</v>
      </c>
      <c r="AD318">
        <v>440</v>
      </c>
      <c r="AE318">
        <v>412</v>
      </c>
      <c r="AF318">
        <v>385</v>
      </c>
      <c r="AG318">
        <v>385</v>
      </c>
      <c r="AH318">
        <v>598</v>
      </c>
      <c r="AI318">
        <v>440</v>
      </c>
      <c r="AJ318">
        <v>355</v>
      </c>
      <c r="AK318">
        <v>556</v>
      </c>
      <c r="AL318">
        <v>386</v>
      </c>
      <c r="AM318">
        <v>367</v>
      </c>
      <c r="AN318">
        <v>338</v>
      </c>
      <c r="AO318">
        <v>494</v>
      </c>
      <c r="AP318">
        <v>455</v>
      </c>
      <c r="AQ318">
        <v>461</v>
      </c>
      <c r="AR318">
        <v>272</v>
      </c>
      <c r="AS318">
        <v>503</v>
      </c>
      <c r="AT318" t="str">
        <f>""</f>
        <v/>
      </c>
      <c r="AU318" t="str">
        <f>""</f>
        <v/>
      </c>
      <c r="AV318" t="str">
        <f>""</f>
        <v/>
      </c>
      <c r="AW318" t="str">
        <f>""</f>
        <v/>
      </c>
      <c r="AX318" t="str">
        <f>""</f>
        <v/>
      </c>
      <c r="AY318" t="str">
        <f>""</f>
        <v/>
      </c>
      <c r="AZ318" t="str">
        <f>""</f>
        <v/>
      </c>
      <c r="BA318" t="str">
        <f>""</f>
        <v/>
      </c>
      <c r="BB318" t="str">
        <f>""</f>
        <v/>
      </c>
      <c r="BC318" t="str">
        <f>""</f>
        <v/>
      </c>
      <c r="BD318" t="str">
        <f>""</f>
        <v/>
      </c>
      <c r="BE318" t="str">
        <f>""</f>
        <v/>
      </c>
      <c r="BF318" t="str">
        <f>""</f>
        <v/>
      </c>
      <c r="BG318" t="str">
        <f>""</f>
        <v/>
      </c>
      <c r="BH318" t="str">
        <f>""</f>
        <v/>
      </c>
      <c r="BI318" t="str">
        <f>""</f>
        <v/>
      </c>
      <c r="BJ318" t="str">
        <f>""</f>
        <v/>
      </c>
      <c r="BK318" t="str">
        <f>""</f>
        <v/>
      </c>
      <c r="BL318" t="str">
        <f>""</f>
        <v/>
      </c>
      <c r="BM318" t="str">
        <f>""</f>
        <v/>
      </c>
      <c r="BN318" t="str">
        <f>""</f>
        <v/>
      </c>
      <c r="BO318" t="str">
        <f>""</f>
        <v/>
      </c>
      <c r="BP318" t="str">
        <f>""</f>
        <v/>
      </c>
      <c r="BQ318" t="str">
        <f>""</f>
        <v/>
      </c>
      <c r="BR318" t="str">
        <f>""</f>
        <v/>
      </c>
      <c r="BS318" t="str">
        <f>""</f>
        <v/>
      </c>
      <c r="BT318" t="str">
        <f>""</f>
        <v/>
      </c>
      <c r="BU318" t="str">
        <f>""</f>
        <v/>
      </c>
      <c r="BV318" t="str">
        <f>""</f>
        <v/>
      </c>
      <c r="BW318" t="str">
        <f>""</f>
        <v/>
      </c>
      <c r="BX318" t="str">
        <f>""</f>
        <v/>
      </c>
      <c r="BY318" t="str">
        <f>""</f>
        <v/>
      </c>
      <c r="BZ318" t="str">
        <f>""</f>
        <v/>
      </c>
      <c r="CA318" t="str">
        <f>""</f>
        <v/>
      </c>
      <c r="CB318" t="str">
        <f>""</f>
        <v/>
      </c>
      <c r="CC318" t="str">
        <f>""</f>
        <v/>
      </c>
      <c r="CD318" t="str">
        <f>""</f>
        <v/>
      </c>
      <c r="CE318" t="str">
        <f>""</f>
        <v/>
      </c>
      <c r="CF318" t="str">
        <f>""</f>
        <v/>
      </c>
      <c r="CG318" t="str">
        <f>""</f>
        <v/>
      </c>
    </row>
    <row r="319" spans="1:85" x14ac:dyDescent="0.25">
      <c r="A319" t="str">
        <f>$A$200</f>
        <v xml:space="preserve">    Daimler - Mercedes-Benz</v>
      </c>
      <c r="B319" t="str">
        <f>$B$200</f>
        <v>DAI GR Equity</v>
      </c>
      <c r="C319" t="str">
        <f>$C$200</f>
        <v>X1701</v>
      </c>
      <c r="D319" t="str">
        <f>$D$200</f>
        <v>WARDS_RETAIL_SALES_UNITS</v>
      </c>
      <c r="E319" t="str">
        <f>$E$200</f>
        <v>Dynamic</v>
      </c>
      <c r="F319" t="str">
        <f ca="1">_xll.BDH($B$200,$C$200,$B$292,$B$293,CONCATENATE("Per=",$B$290),"Dts=H","Dir=H",CONCATENATE("Points=",$B$291),"Sort=R","Days=A","Fill=B","DZ665=246397","X0012=Class 8","X0001=NAMX",CONCATENATE("FX=", $B$289),"cols=40;rows=1")</f>
        <v/>
      </c>
      <c r="Q319">
        <v>130</v>
      </c>
      <c r="R319">
        <v>97</v>
      </c>
      <c r="S319">
        <v>90</v>
      </c>
      <c r="T319">
        <v>85</v>
      </c>
      <c r="U319">
        <v>70</v>
      </c>
      <c r="V319">
        <v>59</v>
      </c>
      <c r="W319">
        <v>68</v>
      </c>
      <c r="X319">
        <v>79</v>
      </c>
      <c r="Y319">
        <v>76</v>
      </c>
      <c r="Z319">
        <v>68</v>
      </c>
      <c r="AA319">
        <v>52</v>
      </c>
      <c r="AB319">
        <v>75</v>
      </c>
      <c r="AC319">
        <v>171</v>
      </c>
      <c r="AD319">
        <v>137</v>
      </c>
      <c r="AE319">
        <v>128</v>
      </c>
      <c r="AF319">
        <v>119</v>
      </c>
      <c r="AG319">
        <v>119</v>
      </c>
      <c r="AH319">
        <v>133</v>
      </c>
      <c r="AI319">
        <v>47</v>
      </c>
      <c r="AJ319">
        <v>27</v>
      </c>
      <c r="AK319">
        <v>25</v>
      </c>
      <c r="AL319">
        <v>2</v>
      </c>
      <c r="AM319">
        <v>6</v>
      </c>
      <c r="AN319">
        <v>68</v>
      </c>
      <c r="AO319">
        <v>217</v>
      </c>
      <c r="AP319">
        <v>204</v>
      </c>
      <c r="AQ319">
        <v>206</v>
      </c>
      <c r="AR319">
        <v>68</v>
      </c>
      <c r="AS319">
        <v>92</v>
      </c>
      <c r="AT319" t="str">
        <f>""</f>
        <v/>
      </c>
      <c r="AU319" t="str">
        <f>""</f>
        <v/>
      </c>
      <c r="AV319" t="str">
        <f>""</f>
        <v/>
      </c>
      <c r="AW319" t="str">
        <f>""</f>
        <v/>
      </c>
      <c r="AX319" t="str">
        <f>""</f>
        <v/>
      </c>
      <c r="AY319" t="str">
        <f>""</f>
        <v/>
      </c>
      <c r="AZ319" t="str">
        <f>""</f>
        <v/>
      </c>
      <c r="BA319" t="str">
        <f>""</f>
        <v/>
      </c>
      <c r="BB319" t="str">
        <f>""</f>
        <v/>
      </c>
      <c r="BC319" t="str">
        <f>""</f>
        <v/>
      </c>
      <c r="BD319" t="str">
        <f>""</f>
        <v/>
      </c>
      <c r="BE319" t="str">
        <f>""</f>
        <v/>
      </c>
      <c r="BF319" t="str">
        <f>""</f>
        <v/>
      </c>
      <c r="BG319" t="str">
        <f>""</f>
        <v/>
      </c>
      <c r="BH319" t="str">
        <f>""</f>
        <v/>
      </c>
      <c r="BI319" t="str">
        <f>""</f>
        <v/>
      </c>
      <c r="BJ319" t="str">
        <f>""</f>
        <v/>
      </c>
      <c r="BK319" t="str">
        <f>""</f>
        <v/>
      </c>
      <c r="BL319" t="str">
        <f>""</f>
        <v/>
      </c>
      <c r="BM319" t="str">
        <f>""</f>
        <v/>
      </c>
      <c r="BN319" t="str">
        <f>""</f>
        <v/>
      </c>
      <c r="BO319" t="str">
        <f>""</f>
        <v/>
      </c>
      <c r="BP319" t="str">
        <f>""</f>
        <v/>
      </c>
      <c r="BQ319" t="str">
        <f>""</f>
        <v/>
      </c>
      <c r="BR319" t="str">
        <f>""</f>
        <v/>
      </c>
      <c r="BS319" t="str">
        <f>""</f>
        <v/>
      </c>
      <c r="BT319" t="str">
        <f>""</f>
        <v/>
      </c>
      <c r="BU319" t="str">
        <f>""</f>
        <v/>
      </c>
      <c r="BV319" t="str">
        <f>""</f>
        <v/>
      </c>
      <c r="BW319" t="str">
        <f>""</f>
        <v/>
      </c>
      <c r="BX319" t="str">
        <f>""</f>
        <v/>
      </c>
      <c r="BY319" t="str">
        <f>""</f>
        <v/>
      </c>
      <c r="BZ319" t="str">
        <f>""</f>
        <v/>
      </c>
      <c r="CA319" t="str">
        <f>""</f>
        <v/>
      </c>
      <c r="CB319" t="str">
        <f>""</f>
        <v/>
      </c>
      <c r="CC319" t="str">
        <f>""</f>
        <v/>
      </c>
      <c r="CD319" t="str">
        <f>""</f>
        <v/>
      </c>
      <c r="CE319" t="str">
        <f>""</f>
        <v/>
      </c>
      <c r="CF319" t="str">
        <f>""</f>
        <v/>
      </c>
      <c r="CG319" t="str">
        <f>""</f>
        <v/>
      </c>
    </row>
    <row r="320" spans="1:85" x14ac:dyDescent="0.25">
      <c r="A320" t="str">
        <f>$A$201</f>
        <v xml:space="preserve">    Daimler - Sterling</v>
      </c>
      <c r="B320" t="str">
        <f>$B$201</f>
        <v>DAI GR Equity</v>
      </c>
      <c r="C320" t="str">
        <f>$C$201</f>
        <v>X1701</v>
      </c>
      <c r="D320" t="str">
        <f>$D$201</f>
        <v>WARDS_RETAIL_SALES_UNITS</v>
      </c>
      <c r="E320" t="str">
        <f>$E$201</f>
        <v>Dynamic</v>
      </c>
      <c r="F320" t="str">
        <f ca="1">_xll.BDH($B$201,$C$201,$B$292,$B$293,CONCATENATE("Per=",$B$290),"Dts=H","Dir=H",CONCATENATE("Points=",$B$291),"Sort=R","Days=A","Fill=B","DZ665=25574529","X0012=Class 8","X0001=NAMX",CONCATENATE("FX=", $B$289) )</f>
        <v/>
      </c>
      <c r="AT320" t="str">
        <f>""</f>
        <v/>
      </c>
      <c r="AU320" t="str">
        <f>""</f>
        <v/>
      </c>
      <c r="AV320" t="str">
        <f>""</f>
        <v/>
      </c>
      <c r="AW320" t="str">
        <f>""</f>
        <v/>
      </c>
      <c r="AX320" t="str">
        <f>""</f>
        <v/>
      </c>
      <c r="AY320" t="str">
        <f>""</f>
        <v/>
      </c>
      <c r="AZ320" t="str">
        <f>""</f>
        <v/>
      </c>
      <c r="BA320" t="str">
        <f>""</f>
        <v/>
      </c>
      <c r="BB320" t="str">
        <f>""</f>
        <v/>
      </c>
      <c r="BC320" t="str">
        <f>""</f>
        <v/>
      </c>
      <c r="BD320" t="str">
        <f>""</f>
        <v/>
      </c>
      <c r="BE320" t="str">
        <f>""</f>
        <v/>
      </c>
      <c r="BF320" t="str">
        <f>""</f>
        <v/>
      </c>
      <c r="BG320" t="str">
        <f>""</f>
        <v/>
      </c>
      <c r="BH320" t="str">
        <f>""</f>
        <v/>
      </c>
      <c r="BI320" t="str">
        <f>""</f>
        <v/>
      </c>
      <c r="BJ320" t="str">
        <f>""</f>
        <v/>
      </c>
      <c r="BK320" t="str">
        <f>""</f>
        <v/>
      </c>
      <c r="BL320" t="str">
        <f>""</f>
        <v/>
      </c>
      <c r="BM320" t="str">
        <f>""</f>
        <v/>
      </c>
      <c r="BN320" t="str">
        <f>""</f>
        <v/>
      </c>
      <c r="BO320" t="str">
        <f>""</f>
        <v/>
      </c>
      <c r="BP320" t="str">
        <f>""</f>
        <v/>
      </c>
      <c r="BQ320" t="str">
        <f>""</f>
        <v/>
      </c>
      <c r="BR320" t="str">
        <f>""</f>
        <v/>
      </c>
      <c r="BS320" t="str">
        <f>""</f>
        <v/>
      </c>
      <c r="BT320" t="str">
        <f>""</f>
        <v/>
      </c>
      <c r="BU320" t="str">
        <f>""</f>
        <v/>
      </c>
      <c r="BV320" t="str">
        <f>""</f>
        <v/>
      </c>
      <c r="BW320" t="str">
        <f>""</f>
        <v/>
      </c>
      <c r="BX320" t="str">
        <f>""</f>
        <v/>
      </c>
      <c r="BY320" t="str">
        <f>""</f>
        <v/>
      </c>
      <c r="BZ320" t="str">
        <f>""</f>
        <v/>
      </c>
      <c r="CA320" t="str">
        <f>""</f>
        <v/>
      </c>
      <c r="CB320" t="str">
        <f>""</f>
        <v/>
      </c>
      <c r="CC320" t="str">
        <f>""</f>
        <v/>
      </c>
      <c r="CD320" t="str">
        <f>""</f>
        <v/>
      </c>
      <c r="CE320" t="str">
        <f>""</f>
        <v/>
      </c>
      <c r="CF320" t="str">
        <f>""</f>
        <v/>
      </c>
      <c r="CG320" t="str">
        <f>""</f>
        <v/>
      </c>
    </row>
    <row r="321" spans="1:85" x14ac:dyDescent="0.25">
      <c r="A321" t="str">
        <f>$A$202</f>
        <v xml:space="preserve">    Volvo - Volvo Truck</v>
      </c>
      <c r="B321" t="str">
        <f>$B$202</f>
        <v>VOLVB SS Equity</v>
      </c>
      <c r="C321" t="str">
        <f>$C$202</f>
        <v>X1701</v>
      </c>
      <c r="D321" t="str">
        <f>$D$202</f>
        <v>WARDS_RETAIL_SALES_UNITS</v>
      </c>
      <c r="E321" t="str">
        <f>$E$202</f>
        <v>Dynamic</v>
      </c>
      <c r="F321" t="str">
        <f ca="1">_xll.BDH($B$202,$C$202,$B$292,$B$293,CONCATENATE("Per=",$B$290),"Dts=H","Dir=H",CONCATENATE("Points=",$B$291),"Sort=R","Days=A","Fill=B","DZ665=20497950","X0012=Class 8","X0001=NAMX",CONCATENATE("FX=", $B$289),"cols=40;rows=1")</f>
        <v/>
      </c>
      <c r="G321">
        <v>34</v>
      </c>
      <c r="H321">
        <v>34</v>
      </c>
      <c r="I321">
        <v>15</v>
      </c>
      <c r="J321">
        <v>27</v>
      </c>
      <c r="K321">
        <v>36</v>
      </c>
      <c r="L321">
        <v>48</v>
      </c>
      <c r="M321">
        <v>40</v>
      </c>
      <c r="N321">
        <v>92</v>
      </c>
      <c r="O321">
        <v>78</v>
      </c>
      <c r="P321">
        <v>39</v>
      </c>
      <c r="Q321">
        <v>76</v>
      </c>
      <c r="R321">
        <v>53</v>
      </c>
      <c r="S321">
        <v>47</v>
      </c>
      <c r="T321">
        <v>31</v>
      </c>
      <c r="U321">
        <v>79</v>
      </c>
      <c r="V321">
        <v>33</v>
      </c>
      <c r="W321">
        <v>35</v>
      </c>
      <c r="X321">
        <v>57</v>
      </c>
      <c r="Y321">
        <v>62</v>
      </c>
      <c r="Z321">
        <v>98</v>
      </c>
      <c r="AA321">
        <v>30</v>
      </c>
      <c r="AB321">
        <v>21</v>
      </c>
      <c r="AC321">
        <v>210</v>
      </c>
      <c r="AD321">
        <v>105</v>
      </c>
      <c r="AE321">
        <v>48</v>
      </c>
      <c r="AF321">
        <v>70</v>
      </c>
      <c r="AG321">
        <v>78</v>
      </c>
      <c r="AH321">
        <v>84</v>
      </c>
      <c r="AI321">
        <v>75</v>
      </c>
      <c r="AJ321">
        <v>221</v>
      </c>
      <c r="AK321">
        <v>19</v>
      </c>
      <c r="AL321">
        <v>29</v>
      </c>
      <c r="AM321">
        <v>135</v>
      </c>
      <c r="AN321">
        <v>52</v>
      </c>
      <c r="AO321">
        <v>82</v>
      </c>
      <c r="AP321">
        <v>75</v>
      </c>
      <c r="AQ321">
        <v>76</v>
      </c>
      <c r="AR321">
        <v>83</v>
      </c>
      <c r="AS321">
        <v>115</v>
      </c>
      <c r="AT321" t="str">
        <f>""</f>
        <v/>
      </c>
      <c r="AU321" t="str">
        <f>""</f>
        <v/>
      </c>
      <c r="AV321" t="str">
        <f>""</f>
        <v/>
      </c>
      <c r="AW321" t="str">
        <f>""</f>
        <v/>
      </c>
      <c r="AX321" t="str">
        <f>""</f>
        <v/>
      </c>
      <c r="AY321" t="str">
        <f>""</f>
        <v/>
      </c>
      <c r="AZ321" t="str">
        <f>""</f>
        <v/>
      </c>
      <c r="BA321" t="str">
        <f>""</f>
        <v/>
      </c>
      <c r="BB321" t="str">
        <f>""</f>
        <v/>
      </c>
      <c r="BC321" t="str">
        <f>""</f>
        <v/>
      </c>
      <c r="BD321" t="str">
        <f>""</f>
        <v/>
      </c>
      <c r="BE321" t="str">
        <f>""</f>
        <v/>
      </c>
      <c r="BF321" t="str">
        <f>""</f>
        <v/>
      </c>
      <c r="BG321" t="str">
        <f>""</f>
        <v/>
      </c>
      <c r="BH321" t="str">
        <f>""</f>
        <v/>
      </c>
      <c r="BI321" t="str">
        <f>""</f>
        <v/>
      </c>
      <c r="BJ321" t="str">
        <f>""</f>
        <v/>
      </c>
      <c r="BK321" t="str">
        <f>""</f>
        <v/>
      </c>
      <c r="BL321" t="str">
        <f>""</f>
        <v/>
      </c>
      <c r="BM321" t="str">
        <f>""</f>
        <v/>
      </c>
      <c r="BN321" t="str">
        <f>""</f>
        <v/>
      </c>
      <c r="BO321" t="str">
        <f>""</f>
        <v/>
      </c>
      <c r="BP321" t="str">
        <f>""</f>
        <v/>
      </c>
      <c r="BQ321" t="str">
        <f>""</f>
        <v/>
      </c>
      <c r="BR321" t="str">
        <f>""</f>
        <v/>
      </c>
      <c r="BS321" t="str">
        <f>""</f>
        <v/>
      </c>
      <c r="BT321" t="str">
        <f>""</f>
        <v/>
      </c>
      <c r="BU321" t="str">
        <f>""</f>
        <v/>
      </c>
      <c r="BV321" t="str">
        <f>""</f>
        <v/>
      </c>
      <c r="BW321" t="str">
        <f>""</f>
        <v/>
      </c>
      <c r="BX321" t="str">
        <f>""</f>
        <v/>
      </c>
      <c r="BY321" t="str">
        <f>""</f>
        <v/>
      </c>
      <c r="BZ321" t="str">
        <f>""</f>
        <v/>
      </c>
      <c r="CA321" t="str">
        <f>""</f>
        <v/>
      </c>
      <c r="CB321" t="str">
        <f>""</f>
        <v/>
      </c>
      <c r="CC321" t="str">
        <f>""</f>
        <v/>
      </c>
      <c r="CD321" t="str">
        <f>""</f>
        <v/>
      </c>
      <c r="CE321" t="str">
        <f>""</f>
        <v/>
      </c>
      <c r="CF321" t="str">
        <f>""</f>
        <v/>
      </c>
      <c r="CG321" t="str">
        <f>""</f>
        <v/>
      </c>
    </row>
    <row r="322" spans="1:85" x14ac:dyDescent="0.25">
      <c r="A322" t="str">
        <f>$A$203</f>
        <v xml:space="preserve">    Volvo - Mack</v>
      </c>
      <c r="B322" t="str">
        <f>$B$203</f>
        <v>VOLVB SS Equity</v>
      </c>
      <c r="C322" t="str">
        <f>$C$203</f>
        <v>X1701</v>
      </c>
      <c r="D322" t="str">
        <f>$D$203</f>
        <v>WARDS_RETAIL_SALES_UNITS</v>
      </c>
      <c r="E322" t="str">
        <f>$E$203</f>
        <v>Dynamic</v>
      </c>
      <c r="F322" t="str">
        <f ca="1">_xll.BDH($B$203,$C$203,$B$292,$B$293,CONCATENATE("Per=",$B$290),"Dts=H","Dir=H",CONCATENATE("Points=",$B$291),"Sort=R","Days=A","Fill=B","DZ665=20497958","X0012=Class 8","X0001=NAMX",CONCATENATE("FX=", $B$289),"cols=40;rows=1")</f>
        <v/>
      </c>
      <c r="G322">
        <v>10</v>
      </c>
      <c r="H322">
        <v>4</v>
      </c>
      <c r="I322">
        <v>7</v>
      </c>
      <c r="J322">
        <v>3</v>
      </c>
      <c r="K322">
        <v>15</v>
      </c>
      <c r="L322">
        <v>56</v>
      </c>
      <c r="M322">
        <v>16</v>
      </c>
      <c r="N322">
        <v>27</v>
      </c>
      <c r="O322">
        <v>24</v>
      </c>
      <c r="P322">
        <v>16</v>
      </c>
      <c r="Q322">
        <v>39</v>
      </c>
      <c r="R322">
        <v>5</v>
      </c>
      <c r="S322">
        <v>10</v>
      </c>
      <c r="T322">
        <v>27</v>
      </c>
      <c r="U322">
        <v>1</v>
      </c>
      <c r="V322">
        <v>12</v>
      </c>
      <c r="W322">
        <v>12</v>
      </c>
      <c r="X322">
        <v>20</v>
      </c>
      <c r="Y322">
        <v>12</v>
      </c>
      <c r="Z322">
        <v>21</v>
      </c>
      <c r="AA322">
        <v>4</v>
      </c>
      <c r="AB322">
        <v>14</v>
      </c>
      <c r="AC322">
        <v>35</v>
      </c>
      <c r="AD322">
        <v>33</v>
      </c>
      <c r="AE322">
        <v>32</v>
      </c>
      <c r="AF322">
        <v>39</v>
      </c>
      <c r="AG322">
        <v>87</v>
      </c>
      <c r="AH322">
        <v>70</v>
      </c>
      <c r="AI322">
        <v>23</v>
      </c>
      <c r="AJ322">
        <v>25</v>
      </c>
      <c r="AK322">
        <v>23</v>
      </c>
      <c r="AL322">
        <v>8</v>
      </c>
      <c r="AM322">
        <v>29</v>
      </c>
      <c r="AN322">
        <v>19</v>
      </c>
      <c r="AO322">
        <v>37</v>
      </c>
      <c r="AP322">
        <v>34</v>
      </c>
      <c r="AQ322">
        <v>34</v>
      </c>
      <c r="AR322">
        <v>56</v>
      </c>
      <c r="AS322">
        <v>39</v>
      </c>
      <c r="AT322" t="str">
        <f>""</f>
        <v/>
      </c>
      <c r="AU322" t="str">
        <f>""</f>
        <v/>
      </c>
      <c r="AV322" t="str">
        <f>""</f>
        <v/>
      </c>
      <c r="AW322" t="str">
        <f>""</f>
        <v/>
      </c>
      <c r="AX322" t="str">
        <f>""</f>
        <v/>
      </c>
      <c r="AY322" t="str">
        <f>""</f>
        <v/>
      </c>
      <c r="AZ322" t="str">
        <f>""</f>
        <v/>
      </c>
      <c r="BA322" t="str">
        <f>""</f>
        <v/>
      </c>
      <c r="BB322" t="str">
        <f>""</f>
        <v/>
      </c>
      <c r="BC322" t="str">
        <f>""</f>
        <v/>
      </c>
      <c r="BD322" t="str">
        <f>""</f>
        <v/>
      </c>
      <c r="BE322" t="str">
        <f>""</f>
        <v/>
      </c>
      <c r="BF322" t="str">
        <f>""</f>
        <v/>
      </c>
      <c r="BG322" t="str">
        <f>""</f>
        <v/>
      </c>
      <c r="BH322" t="str">
        <f>""</f>
        <v/>
      </c>
      <c r="BI322" t="str">
        <f>""</f>
        <v/>
      </c>
      <c r="BJ322" t="str">
        <f>""</f>
        <v/>
      </c>
      <c r="BK322" t="str">
        <f>""</f>
        <v/>
      </c>
      <c r="BL322" t="str">
        <f>""</f>
        <v/>
      </c>
      <c r="BM322" t="str">
        <f>""</f>
        <v/>
      </c>
      <c r="BN322" t="str">
        <f>""</f>
        <v/>
      </c>
      <c r="BO322" t="str">
        <f>""</f>
        <v/>
      </c>
      <c r="BP322" t="str">
        <f>""</f>
        <v/>
      </c>
      <c r="BQ322" t="str">
        <f>""</f>
        <v/>
      </c>
      <c r="BR322" t="str">
        <f>""</f>
        <v/>
      </c>
      <c r="BS322" t="str">
        <f>""</f>
        <v/>
      </c>
      <c r="BT322" t="str">
        <f>""</f>
        <v/>
      </c>
      <c r="BU322" t="str">
        <f>""</f>
        <v/>
      </c>
      <c r="BV322" t="str">
        <f>""</f>
        <v/>
      </c>
      <c r="BW322" t="str">
        <f>""</f>
        <v/>
      </c>
      <c r="BX322" t="str">
        <f>""</f>
        <v/>
      </c>
      <c r="BY322" t="str">
        <f>""</f>
        <v/>
      </c>
      <c r="BZ322" t="str">
        <f>""</f>
        <v/>
      </c>
      <c r="CA322" t="str">
        <f>""</f>
        <v/>
      </c>
      <c r="CB322" t="str">
        <f>""</f>
        <v/>
      </c>
      <c r="CC322" t="str">
        <f>""</f>
        <v/>
      </c>
      <c r="CD322" t="str">
        <f>""</f>
        <v/>
      </c>
      <c r="CE322" t="str">
        <f>""</f>
        <v/>
      </c>
      <c r="CF322" t="str">
        <f>""</f>
        <v/>
      </c>
      <c r="CG322" t="str">
        <f>""</f>
        <v/>
      </c>
    </row>
    <row r="323" spans="1:85" x14ac:dyDescent="0.25">
      <c r="A323" t="str">
        <f>$A$204</f>
        <v xml:space="preserve">    Dina Camiones</v>
      </c>
      <c r="B323" t="str">
        <f>$B$204</f>
        <v>8128757Z MM Equity</v>
      </c>
      <c r="C323" t="str">
        <f>$C$204</f>
        <v>X1701</v>
      </c>
      <c r="D323" t="str">
        <f>$D$204</f>
        <v>WARDS_RETAIL_SALES_UNITS</v>
      </c>
      <c r="E323" t="str">
        <f>$E$204</f>
        <v>Dynamic</v>
      </c>
      <c r="F323" t="str">
        <f ca="1">_xll.BDH($B$204,$C$204,$B$292,$B$293,CONCATENATE("Per=",$B$290),"Dts=H","Dir=H",CONCATENATE("Points=",$B$291),"Sort=R","Days=A","Fill=B","DZ665=25574537","X0012=Class 8","X0001=NAMX",CONCATENATE("FX=", $B$289),"cols=40;rows=1")</f>
        <v/>
      </c>
      <c r="Q323">
        <v>86</v>
      </c>
      <c r="R323">
        <v>64</v>
      </c>
      <c r="S323">
        <v>59</v>
      </c>
      <c r="T323">
        <v>56</v>
      </c>
      <c r="U323">
        <v>46</v>
      </c>
      <c r="V323">
        <v>39</v>
      </c>
      <c r="W323">
        <v>44</v>
      </c>
      <c r="X323">
        <v>52</v>
      </c>
      <c r="Y323">
        <v>50</v>
      </c>
      <c r="Z323">
        <v>45</v>
      </c>
      <c r="AA323">
        <v>34</v>
      </c>
      <c r="AB323">
        <v>49</v>
      </c>
      <c r="AC323">
        <v>67</v>
      </c>
      <c r="AD323">
        <v>54</v>
      </c>
      <c r="AE323">
        <v>50</v>
      </c>
      <c r="AF323">
        <v>47</v>
      </c>
      <c r="AG323">
        <v>47</v>
      </c>
      <c r="AH323">
        <v>47</v>
      </c>
      <c r="AI323">
        <v>45</v>
      </c>
      <c r="AJ323">
        <v>42</v>
      </c>
      <c r="AK323">
        <v>40</v>
      </c>
      <c r="AL323">
        <v>52</v>
      </c>
      <c r="AM323">
        <v>49</v>
      </c>
      <c r="AN323">
        <v>52</v>
      </c>
      <c r="AO323">
        <v>89</v>
      </c>
      <c r="AP323">
        <v>77</v>
      </c>
      <c r="AQ323">
        <v>75</v>
      </c>
      <c r="AR323">
        <v>110</v>
      </c>
      <c r="AS323">
        <v>24</v>
      </c>
      <c r="AT323" t="str">
        <f>""</f>
        <v/>
      </c>
      <c r="AU323" t="str">
        <f>""</f>
        <v/>
      </c>
      <c r="AV323" t="str">
        <f>""</f>
        <v/>
      </c>
      <c r="AW323" t="str">
        <f>""</f>
        <v/>
      </c>
      <c r="AX323" t="str">
        <f>""</f>
        <v/>
      </c>
      <c r="AY323" t="str">
        <f>""</f>
        <v/>
      </c>
      <c r="AZ323" t="str">
        <f>""</f>
        <v/>
      </c>
      <c r="BA323" t="str">
        <f>""</f>
        <v/>
      </c>
      <c r="BB323" t="str">
        <f>""</f>
        <v/>
      </c>
      <c r="BC323" t="str">
        <f>""</f>
        <v/>
      </c>
      <c r="BD323" t="str">
        <f>""</f>
        <v/>
      </c>
      <c r="BE323" t="str">
        <f>""</f>
        <v/>
      </c>
      <c r="BF323" t="str">
        <f>""</f>
        <v/>
      </c>
      <c r="BG323" t="str">
        <f>""</f>
        <v/>
      </c>
      <c r="BH323" t="str">
        <f>""</f>
        <v/>
      </c>
      <c r="BI323" t="str">
        <f>""</f>
        <v/>
      </c>
      <c r="BJ323" t="str">
        <f>""</f>
        <v/>
      </c>
      <c r="BK323" t="str">
        <f>""</f>
        <v/>
      </c>
      <c r="BL323" t="str">
        <f>""</f>
        <v/>
      </c>
      <c r="BM323" t="str">
        <f>""</f>
        <v/>
      </c>
      <c r="BN323" t="str">
        <f>""</f>
        <v/>
      </c>
      <c r="BO323" t="str">
        <f>""</f>
        <v/>
      </c>
      <c r="BP323" t="str">
        <f>""</f>
        <v/>
      </c>
      <c r="BQ323" t="str">
        <f>""</f>
        <v/>
      </c>
      <c r="BR323" t="str">
        <f>""</f>
        <v/>
      </c>
      <c r="BS323" t="str">
        <f>""</f>
        <v/>
      </c>
      <c r="BT323" t="str">
        <f>""</f>
        <v/>
      </c>
      <c r="BU323" t="str">
        <f>""</f>
        <v/>
      </c>
      <c r="BV323" t="str">
        <f>""</f>
        <v/>
      </c>
      <c r="BW323" t="str">
        <f>""</f>
        <v/>
      </c>
      <c r="BX323" t="str">
        <f>""</f>
        <v/>
      </c>
      <c r="BY323" t="str">
        <f>""</f>
        <v/>
      </c>
      <c r="BZ323" t="str">
        <f>""</f>
        <v/>
      </c>
      <c r="CA323" t="str">
        <f>""</f>
        <v/>
      </c>
      <c r="CB323" t="str">
        <f>""</f>
        <v/>
      </c>
      <c r="CC323" t="str">
        <f>""</f>
        <v/>
      </c>
      <c r="CD323" t="str">
        <f>""</f>
        <v/>
      </c>
      <c r="CE323" t="str">
        <f>""</f>
        <v/>
      </c>
      <c r="CF323" t="str">
        <f>""</f>
        <v/>
      </c>
      <c r="CG323" t="str">
        <f>""</f>
        <v/>
      </c>
    </row>
    <row r="324" spans="1:85" x14ac:dyDescent="0.25">
      <c r="A324" t="str">
        <f>$A$205</f>
        <v xml:space="preserve">    MAN - MAN</v>
      </c>
      <c r="B324" t="str">
        <f>$B$205</f>
        <v>VOW GR Equity</v>
      </c>
      <c r="C324" t="str">
        <f>$C$205</f>
        <v>X1701</v>
      </c>
      <c r="D324" t="str">
        <f>$D$205</f>
        <v>WARDS_RETAIL_SALES_UNITS</v>
      </c>
      <c r="E324" t="str">
        <f>$E$205</f>
        <v>Dynamic</v>
      </c>
      <c r="F324" t="str">
        <f ca="1">_xll.BDH($B$205,$C$205,$B$292,$B$293,CONCATENATE("Per=",$B$290),"Dts=H","Dir=H",CONCATENATE("Points=",$B$291),"Sort=R","Days=A","Fill=B","DZ665=25574541","X0012=Class 8","X0001=NAMX",CONCATENATE("FX=", $B$289),"cols=40;rows=1")</f>
        <v/>
      </c>
      <c r="Q324">
        <v>68</v>
      </c>
      <c r="R324">
        <v>51</v>
      </c>
      <c r="S324">
        <v>47</v>
      </c>
      <c r="T324">
        <v>45</v>
      </c>
      <c r="U324">
        <v>36</v>
      </c>
      <c r="V324">
        <v>31</v>
      </c>
      <c r="W324">
        <v>35</v>
      </c>
      <c r="X324">
        <v>41</v>
      </c>
      <c r="Y324">
        <v>40</v>
      </c>
      <c r="Z324">
        <v>35</v>
      </c>
      <c r="AA324">
        <v>27</v>
      </c>
      <c r="AB324">
        <v>39</v>
      </c>
      <c r="AC324">
        <v>37</v>
      </c>
      <c r="AD324">
        <v>30</v>
      </c>
      <c r="AE324">
        <v>28</v>
      </c>
      <c r="AF324">
        <v>26</v>
      </c>
      <c r="AG324">
        <v>26</v>
      </c>
      <c r="AH324">
        <v>26</v>
      </c>
      <c r="AI324">
        <v>25</v>
      </c>
      <c r="AJ324">
        <v>23</v>
      </c>
      <c r="AK324">
        <v>22</v>
      </c>
      <c r="AL324">
        <v>29</v>
      </c>
      <c r="AM324">
        <v>27</v>
      </c>
      <c r="AN324">
        <v>29</v>
      </c>
      <c r="AO324">
        <v>32</v>
      </c>
      <c r="AP324">
        <v>29</v>
      </c>
      <c r="AQ324">
        <v>29</v>
      </c>
      <c r="AR324">
        <v>26</v>
      </c>
      <c r="AS324">
        <v>10</v>
      </c>
      <c r="AT324" t="str">
        <f>""</f>
        <v/>
      </c>
      <c r="AU324" t="str">
        <f>""</f>
        <v/>
      </c>
      <c r="AV324" t="str">
        <f>""</f>
        <v/>
      </c>
      <c r="AW324" t="str">
        <f>""</f>
        <v/>
      </c>
      <c r="AX324" t="str">
        <f>""</f>
        <v/>
      </c>
      <c r="AY324" t="str">
        <f>""</f>
        <v/>
      </c>
      <c r="AZ324" t="str">
        <f>""</f>
        <v/>
      </c>
      <c r="BA324" t="str">
        <f>""</f>
        <v/>
      </c>
      <c r="BB324" t="str">
        <f>""</f>
        <v/>
      </c>
      <c r="BC324" t="str">
        <f>""</f>
        <v/>
      </c>
      <c r="BD324" t="str">
        <f>""</f>
        <v/>
      </c>
      <c r="BE324" t="str">
        <f>""</f>
        <v/>
      </c>
      <c r="BF324" t="str">
        <f>""</f>
        <v/>
      </c>
      <c r="BG324" t="str">
        <f>""</f>
        <v/>
      </c>
      <c r="BH324" t="str">
        <f>""</f>
        <v/>
      </c>
      <c r="BI324" t="str">
        <f>""</f>
        <v/>
      </c>
      <c r="BJ324" t="str">
        <f>""</f>
        <v/>
      </c>
      <c r="BK324" t="str">
        <f>""</f>
        <v/>
      </c>
      <c r="BL324" t="str">
        <f>""</f>
        <v/>
      </c>
      <c r="BM324" t="str">
        <f>""</f>
        <v/>
      </c>
      <c r="BN324" t="str">
        <f>""</f>
        <v/>
      </c>
      <c r="BO324" t="str">
        <f>""</f>
        <v/>
      </c>
      <c r="BP324" t="str">
        <f>""</f>
        <v/>
      </c>
      <c r="BQ324" t="str">
        <f>""</f>
        <v/>
      </c>
      <c r="BR324" t="str">
        <f>""</f>
        <v/>
      </c>
      <c r="BS324" t="str">
        <f>""</f>
        <v/>
      </c>
      <c r="BT324" t="str">
        <f>""</f>
        <v/>
      </c>
      <c r="BU324" t="str">
        <f>""</f>
        <v/>
      </c>
      <c r="BV324" t="str">
        <f>""</f>
        <v/>
      </c>
      <c r="BW324" t="str">
        <f>""</f>
        <v/>
      </c>
      <c r="BX324" t="str">
        <f>""</f>
        <v/>
      </c>
      <c r="BY324" t="str">
        <f>""</f>
        <v/>
      </c>
      <c r="BZ324" t="str">
        <f>""</f>
        <v/>
      </c>
      <c r="CA324" t="str">
        <f>""</f>
        <v/>
      </c>
      <c r="CB324" t="str">
        <f>""</f>
        <v/>
      </c>
      <c r="CC324" t="str">
        <f>""</f>
        <v/>
      </c>
      <c r="CD324" t="str">
        <f>""</f>
        <v/>
      </c>
      <c r="CE324" t="str">
        <f>""</f>
        <v/>
      </c>
      <c r="CF324" t="str">
        <f>""</f>
        <v/>
      </c>
      <c r="CG324" t="str">
        <f>""</f>
        <v/>
      </c>
    </row>
    <row r="325" spans="1:85" x14ac:dyDescent="0.25">
      <c r="A325" t="str">
        <f>$A$206</f>
        <v xml:space="preserve">    MAN - Volkswagen Truck &amp; Bus</v>
      </c>
      <c r="B325" t="str">
        <f>$B$206</f>
        <v>VOW GR Equity</v>
      </c>
      <c r="C325" t="str">
        <f>$C$206</f>
        <v>X1701</v>
      </c>
      <c r="D325" t="str">
        <f>$D$206</f>
        <v>WARDS_RETAIL_SALES_UNITS</v>
      </c>
      <c r="E325" t="str">
        <f>$E$206</f>
        <v>Dynamic</v>
      </c>
      <c r="F325" t="str">
        <f ca="1">_xll.BDH($B$206,$C$206,$B$292,$B$293,CONCATENATE("Per=",$B$290),"Dts=H","Dir=H",CONCATENATE("Points=",$B$291),"Sort=R","Days=A","Fill=B","DZ665=246930","X0012=Class 8","X0001=NAMX",CONCATENATE("FX=", $B$289) )</f>
        <v/>
      </c>
      <c r="AT325" t="str">
        <f>""</f>
        <v/>
      </c>
      <c r="AU325" t="str">
        <f>""</f>
        <v/>
      </c>
      <c r="AV325" t="str">
        <f>""</f>
        <v/>
      </c>
      <c r="AW325" t="str">
        <f>""</f>
        <v/>
      </c>
      <c r="AX325" t="str">
        <f>""</f>
        <v/>
      </c>
      <c r="AY325" t="str">
        <f>""</f>
        <v/>
      </c>
      <c r="AZ325" t="str">
        <f>""</f>
        <v/>
      </c>
      <c r="BA325" t="str">
        <f>""</f>
        <v/>
      </c>
      <c r="BB325" t="str">
        <f>""</f>
        <v/>
      </c>
      <c r="BC325" t="str">
        <f>""</f>
        <v/>
      </c>
      <c r="BD325" t="str">
        <f>""</f>
        <v/>
      </c>
      <c r="BE325" t="str">
        <f>""</f>
        <v/>
      </c>
      <c r="BF325" t="str">
        <f>""</f>
        <v/>
      </c>
      <c r="BG325" t="str">
        <f>""</f>
        <v/>
      </c>
      <c r="BH325" t="str">
        <f>""</f>
        <v/>
      </c>
      <c r="BI325" t="str">
        <f>""</f>
        <v/>
      </c>
      <c r="BJ325" t="str">
        <f>""</f>
        <v/>
      </c>
      <c r="BK325" t="str">
        <f>""</f>
        <v/>
      </c>
      <c r="BL325" t="str">
        <f>""</f>
        <v/>
      </c>
      <c r="BM325" t="str">
        <f>""</f>
        <v/>
      </c>
      <c r="BN325" t="str">
        <f>""</f>
        <v/>
      </c>
      <c r="BO325" t="str">
        <f>""</f>
        <v/>
      </c>
      <c r="BP325" t="str">
        <f>""</f>
        <v/>
      </c>
      <c r="BQ325" t="str">
        <f>""</f>
        <v/>
      </c>
      <c r="BR325" t="str">
        <f>""</f>
        <v/>
      </c>
      <c r="BS325" t="str">
        <f>""</f>
        <v/>
      </c>
      <c r="BT325" t="str">
        <f>""</f>
        <v/>
      </c>
      <c r="BU325" t="str">
        <f>""</f>
        <v/>
      </c>
      <c r="BV325" t="str">
        <f>""</f>
        <v/>
      </c>
      <c r="BW325" t="str">
        <f>""</f>
        <v/>
      </c>
      <c r="BX325" t="str">
        <f>""</f>
        <v/>
      </c>
      <c r="BY325" t="str">
        <f>""</f>
        <v/>
      </c>
      <c r="BZ325" t="str">
        <f>""</f>
        <v/>
      </c>
      <c r="CA325" t="str">
        <f>""</f>
        <v/>
      </c>
      <c r="CB325" t="str">
        <f>""</f>
        <v/>
      </c>
      <c r="CC325" t="str">
        <f>""</f>
        <v/>
      </c>
      <c r="CD325" t="str">
        <f>""</f>
        <v/>
      </c>
      <c r="CE325" t="str">
        <f>""</f>
        <v/>
      </c>
      <c r="CF325" t="str">
        <f>""</f>
        <v/>
      </c>
      <c r="CG325" t="str">
        <f>""</f>
        <v/>
      </c>
    </row>
    <row r="326" spans="1:85" x14ac:dyDescent="0.25">
      <c r="A326" t="str">
        <f>$A$207</f>
        <v xml:space="preserve">    Scania</v>
      </c>
      <c r="B326" t="str">
        <f>$B$207</f>
        <v>SCVB SS Equity</v>
      </c>
      <c r="C326" t="str">
        <f>$C$207</f>
        <v>X1701</v>
      </c>
      <c r="D326" t="str">
        <f>$D$207</f>
        <v>WARDS_RETAIL_SALES_UNITS</v>
      </c>
      <c r="E326" t="str">
        <f>$E$207</f>
        <v>Dynamic</v>
      </c>
      <c r="F326" t="str">
        <f ca="1">_xll.BDH($B$207,$C$207,$B$292,$B$293,CONCATENATE("Per=",$B$290),"Dts=H","Dir=H",CONCATENATE("Points=",$B$291),"Sort=R","Days=A","Fill=B","DZ665=31781074","X0012=Class 8","X0001=NAMX",CONCATENATE("FX=", $B$289),"cols=40;rows=1")</f>
        <v/>
      </c>
      <c r="Q326">
        <v>222</v>
      </c>
      <c r="R326">
        <v>165</v>
      </c>
      <c r="S326">
        <v>154</v>
      </c>
      <c r="T326">
        <v>146</v>
      </c>
      <c r="U326">
        <v>119</v>
      </c>
      <c r="V326">
        <v>102</v>
      </c>
      <c r="W326">
        <v>116</v>
      </c>
      <c r="X326">
        <v>134</v>
      </c>
      <c r="Y326">
        <v>131</v>
      </c>
      <c r="Z326">
        <v>116</v>
      </c>
      <c r="AA326">
        <v>89</v>
      </c>
      <c r="AB326">
        <v>127</v>
      </c>
      <c r="AC326">
        <v>118</v>
      </c>
      <c r="AD326">
        <v>95</v>
      </c>
      <c r="AE326">
        <v>89</v>
      </c>
      <c r="AF326">
        <v>83</v>
      </c>
      <c r="AG326">
        <v>83</v>
      </c>
      <c r="AH326">
        <v>83</v>
      </c>
      <c r="AI326">
        <v>80</v>
      </c>
      <c r="AJ326">
        <v>74</v>
      </c>
      <c r="AK326">
        <v>71</v>
      </c>
      <c r="AL326">
        <v>92</v>
      </c>
      <c r="AM326">
        <v>86</v>
      </c>
      <c r="AN326">
        <v>92</v>
      </c>
      <c r="AO326">
        <v>101</v>
      </c>
      <c r="AP326">
        <v>93</v>
      </c>
      <c r="AQ326">
        <v>98</v>
      </c>
      <c r="AR326">
        <v>76</v>
      </c>
      <c r="AS326">
        <v>47</v>
      </c>
      <c r="AT326" t="str">
        <f>""</f>
        <v/>
      </c>
      <c r="AU326" t="str">
        <f>""</f>
        <v/>
      </c>
      <c r="AV326" t="str">
        <f>""</f>
        <v/>
      </c>
      <c r="AW326" t="str">
        <f>""</f>
        <v/>
      </c>
      <c r="AX326" t="str">
        <f>""</f>
        <v/>
      </c>
      <c r="AY326" t="str">
        <f>""</f>
        <v/>
      </c>
      <c r="AZ326" t="str">
        <f>""</f>
        <v/>
      </c>
      <c r="BA326" t="str">
        <f>""</f>
        <v/>
      </c>
      <c r="BB326" t="str">
        <f>""</f>
        <v/>
      </c>
      <c r="BC326" t="str">
        <f>""</f>
        <v/>
      </c>
      <c r="BD326" t="str">
        <f>""</f>
        <v/>
      </c>
      <c r="BE326" t="str">
        <f>""</f>
        <v/>
      </c>
      <c r="BF326" t="str">
        <f>""</f>
        <v/>
      </c>
      <c r="BG326" t="str">
        <f>""</f>
        <v/>
      </c>
      <c r="BH326" t="str">
        <f>""</f>
        <v/>
      </c>
      <c r="BI326" t="str">
        <f>""</f>
        <v/>
      </c>
      <c r="BJ326" t="str">
        <f>""</f>
        <v/>
      </c>
      <c r="BK326" t="str">
        <f>""</f>
        <v/>
      </c>
      <c r="BL326" t="str">
        <f>""</f>
        <v/>
      </c>
      <c r="BM326" t="str">
        <f>""</f>
        <v/>
      </c>
      <c r="BN326" t="str">
        <f>""</f>
        <v/>
      </c>
      <c r="BO326" t="str">
        <f>""</f>
        <v/>
      </c>
      <c r="BP326" t="str">
        <f>""</f>
        <v/>
      </c>
      <c r="BQ326" t="str">
        <f>""</f>
        <v/>
      </c>
      <c r="BR326" t="str">
        <f>""</f>
        <v/>
      </c>
      <c r="BS326" t="str">
        <f>""</f>
        <v/>
      </c>
      <c r="BT326" t="str">
        <f>""</f>
        <v/>
      </c>
      <c r="BU326" t="str">
        <f>""</f>
        <v/>
      </c>
      <c r="BV326" t="str">
        <f>""</f>
        <v/>
      </c>
      <c r="BW326" t="str">
        <f>""</f>
        <v/>
      </c>
      <c r="BX326" t="str">
        <f>""</f>
        <v/>
      </c>
      <c r="BY326" t="str">
        <f>""</f>
        <v/>
      </c>
      <c r="BZ326" t="str">
        <f>""</f>
        <v/>
      </c>
      <c r="CA326" t="str">
        <f>""</f>
        <v/>
      </c>
      <c r="CB326" t="str">
        <f>""</f>
        <v/>
      </c>
      <c r="CC326" t="str">
        <f>""</f>
        <v/>
      </c>
      <c r="CD326" t="str">
        <f>""</f>
        <v/>
      </c>
      <c r="CE326" t="str">
        <f>""</f>
        <v/>
      </c>
      <c r="CF326" t="str">
        <f>""</f>
        <v/>
      </c>
      <c r="CG326" t="str">
        <f>""</f>
        <v/>
      </c>
    </row>
    <row r="327" spans="1:85" x14ac:dyDescent="0.25">
      <c r="A327" t="str">
        <f>$A$209</f>
        <v>Total North America (Class 6-7)</v>
      </c>
      <c r="B327" t="str">
        <f>$B$209</f>
        <v>TRCKNA6S Index</v>
      </c>
      <c r="C327" t="str">
        <f>$C$209</f>
        <v>PR005</v>
      </c>
      <c r="D327" t="str">
        <f>$D$209</f>
        <v>PX_LAST</v>
      </c>
      <c r="E327" t="str">
        <f>$E$209</f>
        <v>Dynamic</v>
      </c>
      <c r="F327" t="str">
        <f ca="1">_xll.BDH($B$209,$C$209,$B$292,$B$293,CONCATENATE("Per=",$B$290),"Dts=H","Dir=H",CONCATENATE("Points=",$B$291),"Sort=R","Days=A","Fill=B",CONCATENATE("FX=", $B$289),"cols=40;rows=1")</f>
        <v/>
      </c>
      <c r="H327">
        <v>11874</v>
      </c>
      <c r="I327">
        <v>11212</v>
      </c>
      <c r="J327">
        <v>13645</v>
      </c>
      <c r="K327">
        <v>11102</v>
      </c>
      <c r="L327">
        <v>11462</v>
      </c>
      <c r="M327">
        <v>10943</v>
      </c>
      <c r="N327">
        <v>11193</v>
      </c>
      <c r="O327">
        <v>13806</v>
      </c>
      <c r="P327">
        <v>10901</v>
      </c>
      <c r="Q327">
        <v>9962</v>
      </c>
      <c r="R327">
        <v>11689</v>
      </c>
      <c r="S327">
        <v>9895</v>
      </c>
      <c r="T327">
        <v>10705</v>
      </c>
      <c r="U327">
        <v>11848</v>
      </c>
      <c r="V327">
        <v>12410</v>
      </c>
      <c r="W327">
        <v>11016</v>
      </c>
      <c r="X327">
        <v>11674</v>
      </c>
      <c r="Y327">
        <v>10916</v>
      </c>
      <c r="Z327">
        <v>11308</v>
      </c>
      <c r="AA327">
        <v>13119</v>
      </c>
      <c r="AB327">
        <v>11171</v>
      </c>
      <c r="AC327">
        <v>9843</v>
      </c>
      <c r="AD327">
        <v>11598</v>
      </c>
      <c r="AE327">
        <v>10547</v>
      </c>
      <c r="AF327">
        <v>12020</v>
      </c>
      <c r="AG327">
        <v>11007</v>
      </c>
      <c r="AH327">
        <v>11184</v>
      </c>
      <c r="AI327">
        <v>11442</v>
      </c>
      <c r="AJ327">
        <v>11385</v>
      </c>
      <c r="AK327">
        <v>9475</v>
      </c>
      <c r="AL327">
        <v>9965</v>
      </c>
      <c r="AM327">
        <v>11406</v>
      </c>
      <c r="AN327">
        <v>9040</v>
      </c>
      <c r="AO327">
        <v>9193</v>
      </c>
      <c r="AP327">
        <v>11257</v>
      </c>
      <c r="AQ327">
        <v>7981</v>
      </c>
      <c r="AR327">
        <v>10648</v>
      </c>
      <c r="AS327">
        <v>10667</v>
      </c>
      <c r="AT327" t="str">
        <f>""</f>
        <v/>
      </c>
      <c r="AU327" t="str">
        <f>""</f>
        <v/>
      </c>
      <c r="AV327" t="str">
        <f>""</f>
        <v/>
      </c>
      <c r="AW327" t="str">
        <f>""</f>
        <v/>
      </c>
      <c r="AX327" t="str">
        <f>""</f>
        <v/>
      </c>
      <c r="AY327" t="str">
        <f>""</f>
        <v/>
      </c>
      <c r="AZ327" t="str">
        <f>""</f>
        <v/>
      </c>
      <c r="BA327" t="str">
        <f>""</f>
        <v/>
      </c>
      <c r="BB327" t="str">
        <f>""</f>
        <v/>
      </c>
      <c r="BC327" t="str">
        <f>""</f>
        <v/>
      </c>
      <c r="BD327" t="str">
        <f>""</f>
        <v/>
      </c>
      <c r="BE327" t="str">
        <f>""</f>
        <v/>
      </c>
      <c r="BF327" t="str">
        <f>""</f>
        <v/>
      </c>
      <c r="BG327" t="str">
        <f>""</f>
        <v/>
      </c>
      <c r="BH327" t="str">
        <f>""</f>
        <v/>
      </c>
      <c r="BI327" t="str">
        <f>""</f>
        <v/>
      </c>
      <c r="BJ327" t="str">
        <f>""</f>
        <v/>
      </c>
      <c r="BK327" t="str">
        <f>""</f>
        <v/>
      </c>
      <c r="BL327" t="str">
        <f>""</f>
        <v/>
      </c>
      <c r="BM327" t="str">
        <f>""</f>
        <v/>
      </c>
      <c r="BN327" t="str">
        <f>""</f>
        <v/>
      </c>
      <c r="BO327" t="str">
        <f>""</f>
        <v/>
      </c>
      <c r="BP327" t="str">
        <f>""</f>
        <v/>
      </c>
      <c r="BQ327" t="str">
        <f>""</f>
        <v/>
      </c>
      <c r="BR327" t="str">
        <f>""</f>
        <v/>
      </c>
      <c r="BS327" t="str">
        <f>""</f>
        <v/>
      </c>
      <c r="BT327" t="str">
        <f>""</f>
        <v/>
      </c>
      <c r="BU327" t="str">
        <f>""</f>
        <v/>
      </c>
      <c r="BV327" t="str">
        <f>""</f>
        <v/>
      </c>
      <c r="BW327" t="str">
        <f>""</f>
        <v/>
      </c>
      <c r="BX327" t="str">
        <f>""</f>
        <v/>
      </c>
      <c r="BY327" t="str">
        <f>""</f>
        <v/>
      </c>
      <c r="BZ327" t="str">
        <f>""</f>
        <v/>
      </c>
      <c r="CA327" t="str">
        <f>""</f>
        <v/>
      </c>
      <c r="CB327" t="str">
        <f>""</f>
        <v/>
      </c>
      <c r="CC327" t="str">
        <f>""</f>
        <v/>
      </c>
      <c r="CD327" t="str">
        <f>""</f>
        <v/>
      </c>
      <c r="CE327" t="str">
        <f>""</f>
        <v/>
      </c>
      <c r="CF327" t="str">
        <f>""</f>
        <v/>
      </c>
      <c r="CG327" t="str">
        <f>""</f>
        <v/>
      </c>
    </row>
    <row r="328" spans="1:85" x14ac:dyDescent="0.25">
      <c r="A328" t="str">
        <f>$A$234</f>
        <v>United States (Class 6-7)</v>
      </c>
      <c r="B328" t="str">
        <f>$B$234</f>
        <v>TRCKUS6S Index</v>
      </c>
      <c r="C328" t="str">
        <f>$C$234</f>
        <v>PR005</v>
      </c>
      <c r="D328" t="str">
        <f>$D$234</f>
        <v>PX_LAST</v>
      </c>
      <c r="E328" t="str">
        <f>$E$234</f>
        <v>Dynamic</v>
      </c>
      <c r="F328" t="str">
        <f ca="1">_xll.BDH($B$234,$C$234,$B$292,$B$293,CONCATENATE("Per=",$B$290),"Dts=H","Dir=H",CONCATENATE("Points=",$B$291),"Sort=R","Days=A","Fill=B",CONCATENATE("FX=", $B$289),"cols=40;rows=1")</f>
        <v/>
      </c>
      <c r="H328">
        <v>10534</v>
      </c>
      <c r="I328">
        <v>9700</v>
      </c>
      <c r="J328">
        <v>12452</v>
      </c>
      <c r="K328">
        <v>9911</v>
      </c>
      <c r="L328">
        <v>10271</v>
      </c>
      <c r="M328">
        <v>9762</v>
      </c>
      <c r="N328">
        <v>9975</v>
      </c>
      <c r="O328">
        <v>12600</v>
      </c>
      <c r="P328">
        <v>9740</v>
      </c>
      <c r="Q328">
        <v>8923</v>
      </c>
      <c r="R328">
        <v>10433</v>
      </c>
      <c r="S328">
        <v>8729</v>
      </c>
      <c r="T328">
        <v>9636</v>
      </c>
      <c r="U328">
        <v>10268</v>
      </c>
      <c r="V328">
        <v>11020</v>
      </c>
      <c r="W328">
        <v>9791</v>
      </c>
      <c r="X328">
        <v>10355</v>
      </c>
      <c r="Y328">
        <v>9805</v>
      </c>
      <c r="Z328">
        <v>10136</v>
      </c>
      <c r="AA328">
        <v>11921</v>
      </c>
      <c r="AB328">
        <v>10086</v>
      </c>
      <c r="AC328">
        <v>9012</v>
      </c>
      <c r="AD328">
        <v>10297</v>
      </c>
      <c r="AE328">
        <v>9525</v>
      </c>
      <c r="AF328">
        <v>10848</v>
      </c>
      <c r="AG328">
        <v>9305</v>
      </c>
      <c r="AH328">
        <v>10127</v>
      </c>
      <c r="AI328">
        <v>10275</v>
      </c>
      <c r="AJ328">
        <v>10149</v>
      </c>
      <c r="AK328">
        <v>8287</v>
      </c>
      <c r="AL328">
        <v>8667</v>
      </c>
      <c r="AM328">
        <v>10261</v>
      </c>
      <c r="AN328">
        <v>7922</v>
      </c>
      <c r="AO328">
        <v>8343</v>
      </c>
      <c r="AP328">
        <v>10030</v>
      </c>
      <c r="AQ328">
        <v>6932</v>
      </c>
      <c r="AR328">
        <v>9392</v>
      </c>
      <c r="AS328">
        <v>9189</v>
      </c>
      <c r="AT328" t="str">
        <f>""</f>
        <v/>
      </c>
      <c r="AU328" t="str">
        <f>""</f>
        <v/>
      </c>
      <c r="AV328" t="str">
        <f>""</f>
        <v/>
      </c>
      <c r="AW328" t="str">
        <f>""</f>
        <v/>
      </c>
      <c r="AX328" t="str">
        <f>""</f>
        <v/>
      </c>
      <c r="AY328" t="str">
        <f>""</f>
        <v/>
      </c>
      <c r="AZ328" t="str">
        <f>""</f>
        <v/>
      </c>
      <c r="BA328" t="str">
        <f>""</f>
        <v/>
      </c>
      <c r="BB328" t="str">
        <f>""</f>
        <v/>
      </c>
      <c r="BC328" t="str">
        <f>""</f>
        <v/>
      </c>
      <c r="BD328" t="str">
        <f>""</f>
        <v/>
      </c>
      <c r="BE328" t="str">
        <f>""</f>
        <v/>
      </c>
      <c r="BF328" t="str">
        <f>""</f>
        <v/>
      </c>
      <c r="BG328" t="str">
        <f>""</f>
        <v/>
      </c>
      <c r="BH328" t="str">
        <f>""</f>
        <v/>
      </c>
      <c r="BI328" t="str">
        <f>""</f>
        <v/>
      </c>
      <c r="BJ328" t="str">
        <f>""</f>
        <v/>
      </c>
      <c r="BK328" t="str">
        <f>""</f>
        <v/>
      </c>
      <c r="BL328" t="str">
        <f>""</f>
        <v/>
      </c>
      <c r="BM328" t="str">
        <f>""</f>
        <v/>
      </c>
      <c r="BN328" t="str">
        <f>""</f>
        <v/>
      </c>
      <c r="BO328" t="str">
        <f>""</f>
        <v/>
      </c>
      <c r="BP328" t="str">
        <f>""</f>
        <v/>
      </c>
      <c r="BQ328" t="str">
        <f>""</f>
        <v/>
      </c>
      <c r="BR328" t="str">
        <f>""</f>
        <v/>
      </c>
      <c r="BS328" t="str">
        <f>""</f>
        <v/>
      </c>
      <c r="BT328" t="str">
        <f>""</f>
        <v/>
      </c>
      <c r="BU328" t="str">
        <f>""</f>
        <v/>
      </c>
      <c r="BV328" t="str">
        <f>""</f>
        <v/>
      </c>
      <c r="BW328" t="str">
        <f>""</f>
        <v/>
      </c>
      <c r="BX328" t="str">
        <f>""</f>
        <v/>
      </c>
      <c r="BY328" t="str">
        <f>""</f>
        <v/>
      </c>
      <c r="BZ328" t="str">
        <f>""</f>
        <v/>
      </c>
      <c r="CA328" t="str">
        <f>""</f>
        <v/>
      </c>
      <c r="CB328" t="str">
        <f>""</f>
        <v/>
      </c>
      <c r="CC328" t="str">
        <f>""</f>
        <v/>
      </c>
      <c r="CD328" t="str">
        <f>""</f>
        <v/>
      </c>
      <c r="CE328" t="str">
        <f>""</f>
        <v/>
      </c>
      <c r="CF328" t="str">
        <f>""</f>
        <v/>
      </c>
      <c r="CG328" t="str">
        <f>""</f>
        <v/>
      </c>
    </row>
    <row r="329" spans="1:85" x14ac:dyDescent="0.25">
      <c r="A329" t="str">
        <f>$A$235</f>
        <v xml:space="preserve">    Daimler - Freightliner</v>
      </c>
      <c r="B329" t="str">
        <f>$B$235</f>
        <v>DAI GR Equity</v>
      </c>
      <c r="C329" t="str">
        <f>$C$235</f>
        <v>X1701</v>
      </c>
      <c r="D329" t="str">
        <f>$D$235</f>
        <v>WARDS_RETAIL_SALES_UNITS</v>
      </c>
      <c r="E329" t="str">
        <f>$E$235</f>
        <v>Dynamic</v>
      </c>
      <c r="F329" t="str">
        <f ca="1">_xll.BDH($B$235,$C$235,$B$292,$B$293,CONCATENATE("Per=",$B$290),"Dts=H","Dir=H",CONCATENATE("Points=",$B$291),"Sort=R","Days=A","Fill=B","DZ665=16578413","X0012=Class 6-7","X0001=NAUS",CONCATENATE("FX=", $B$289),"cols=40;rows=1")</f>
        <v/>
      </c>
      <c r="G329">
        <v>4070</v>
      </c>
      <c r="H329">
        <v>3920</v>
      </c>
      <c r="I329">
        <v>4654</v>
      </c>
      <c r="J329">
        <v>3569</v>
      </c>
      <c r="K329">
        <v>3732</v>
      </c>
      <c r="L329">
        <v>4302</v>
      </c>
      <c r="M329">
        <v>3975</v>
      </c>
      <c r="N329">
        <v>4811</v>
      </c>
      <c r="O329">
        <v>4136</v>
      </c>
      <c r="P329">
        <v>3534</v>
      </c>
      <c r="Q329">
        <v>3199</v>
      </c>
      <c r="R329">
        <v>3421</v>
      </c>
      <c r="S329">
        <v>3922</v>
      </c>
      <c r="T329">
        <v>3749</v>
      </c>
      <c r="U329">
        <v>4458</v>
      </c>
      <c r="V329">
        <v>3891</v>
      </c>
      <c r="W329">
        <v>4152</v>
      </c>
      <c r="X329">
        <v>3824</v>
      </c>
      <c r="Y329">
        <v>3685</v>
      </c>
      <c r="Z329">
        <v>4243</v>
      </c>
      <c r="AA329">
        <v>4253</v>
      </c>
      <c r="AB329">
        <v>3876</v>
      </c>
      <c r="AC329">
        <v>3340</v>
      </c>
      <c r="AD329">
        <v>4394</v>
      </c>
      <c r="AE329">
        <v>4691</v>
      </c>
      <c r="AF329">
        <v>4092</v>
      </c>
      <c r="AG329">
        <v>3954</v>
      </c>
      <c r="AH329">
        <v>3673</v>
      </c>
      <c r="AI329">
        <v>4000</v>
      </c>
      <c r="AJ329">
        <v>3821</v>
      </c>
      <c r="AK329">
        <v>3626</v>
      </c>
      <c r="AL329">
        <v>3877</v>
      </c>
      <c r="AM329">
        <v>3192</v>
      </c>
      <c r="AN329">
        <v>3433</v>
      </c>
      <c r="AO329">
        <v>3465</v>
      </c>
      <c r="AP329">
        <v>2737</v>
      </c>
      <c r="AQ329">
        <v>4002</v>
      </c>
      <c r="AR329">
        <v>3752</v>
      </c>
      <c r="AS329">
        <v>3697</v>
      </c>
      <c r="AT329" t="str">
        <f>""</f>
        <v/>
      </c>
      <c r="AU329" t="str">
        <f>""</f>
        <v/>
      </c>
      <c r="AV329" t="str">
        <f>""</f>
        <v/>
      </c>
      <c r="AW329" t="str">
        <f>""</f>
        <v/>
      </c>
      <c r="AX329" t="str">
        <f>""</f>
        <v/>
      </c>
      <c r="AY329" t="str">
        <f>""</f>
        <v/>
      </c>
      <c r="AZ329" t="str">
        <f>""</f>
        <v/>
      </c>
      <c r="BA329" t="str">
        <f>""</f>
        <v/>
      </c>
      <c r="BB329" t="str">
        <f>""</f>
        <v/>
      </c>
      <c r="BC329" t="str">
        <f>""</f>
        <v/>
      </c>
      <c r="BD329" t="str">
        <f>""</f>
        <v/>
      </c>
      <c r="BE329" t="str">
        <f>""</f>
        <v/>
      </c>
      <c r="BF329" t="str">
        <f>""</f>
        <v/>
      </c>
      <c r="BG329" t="str">
        <f>""</f>
        <v/>
      </c>
      <c r="BH329" t="str">
        <f>""</f>
        <v/>
      </c>
      <c r="BI329" t="str">
        <f>""</f>
        <v/>
      </c>
      <c r="BJ329" t="str">
        <f>""</f>
        <v/>
      </c>
      <c r="BK329" t="str">
        <f>""</f>
        <v/>
      </c>
      <c r="BL329" t="str">
        <f>""</f>
        <v/>
      </c>
      <c r="BM329" t="str">
        <f>""</f>
        <v/>
      </c>
      <c r="BN329" t="str">
        <f>""</f>
        <v/>
      </c>
      <c r="BO329" t="str">
        <f>""</f>
        <v/>
      </c>
      <c r="BP329" t="str">
        <f>""</f>
        <v/>
      </c>
      <c r="BQ329" t="str">
        <f>""</f>
        <v/>
      </c>
      <c r="BR329" t="str">
        <f>""</f>
        <v/>
      </c>
      <c r="BS329" t="str">
        <f>""</f>
        <v/>
      </c>
      <c r="BT329" t="str">
        <f>""</f>
        <v/>
      </c>
      <c r="BU329" t="str">
        <f>""</f>
        <v/>
      </c>
      <c r="BV329" t="str">
        <f>""</f>
        <v/>
      </c>
      <c r="BW329" t="str">
        <f>""</f>
        <v/>
      </c>
      <c r="BX329" t="str">
        <f>""</f>
        <v/>
      </c>
      <c r="BY329" t="str">
        <f>""</f>
        <v/>
      </c>
      <c r="BZ329" t="str">
        <f>""</f>
        <v/>
      </c>
      <c r="CA329" t="str">
        <f>""</f>
        <v/>
      </c>
      <c r="CB329" t="str">
        <f>""</f>
        <v/>
      </c>
      <c r="CC329" t="str">
        <f>""</f>
        <v/>
      </c>
      <c r="CD329" t="str">
        <f>""</f>
        <v/>
      </c>
      <c r="CE329" t="str">
        <f>""</f>
        <v/>
      </c>
      <c r="CF329" t="str">
        <f>""</f>
        <v/>
      </c>
      <c r="CG329" t="str">
        <f>""</f>
        <v/>
      </c>
    </row>
    <row r="330" spans="1:85" x14ac:dyDescent="0.25">
      <c r="A330" t="str">
        <f>$A$236</f>
        <v xml:space="preserve">    Daimler - Mitsubishi Fuso</v>
      </c>
      <c r="B330" t="str">
        <f>$B$236</f>
        <v>DAI GR Equity</v>
      </c>
      <c r="C330" t="str">
        <f>$C$236</f>
        <v>X1701</v>
      </c>
      <c r="D330" t="str">
        <f>$D$236</f>
        <v>WARDS_RETAIL_SALES_UNITS</v>
      </c>
      <c r="E330" t="str">
        <f>$E$236</f>
        <v>Dynamic</v>
      </c>
      <c r="F330" t="str">
        <f ca="1">_xll.BDH($B$236,$C$236,$B$292,$B$293,CONCATENATE("Per=",$B$290),"Dts=H","Dir=H",CONCATENATE("Points=",$B$291),"Sort=R","Days=A","Fill=B","DZ665=16578437","X0012=Class 6-7","X0001=NAUS",CONCATENATE("FX=", $B$289),"cols=40;rows=1")</f>
        <v/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 t="str">
        <f>""</f>
        <v/>
      </c>
      <c r="AU330" t="str">
        <f>""</f>
        <v/>
      </c>
      <c r="AV330" t="str">
        <f>""</f>
        <v/>
      </c>
      <c r="AW330" t="str">
        <f>""</f>
        <v/>
      </c>
      <c r="AX330" t="str">
        <f>""</f>
        <v/>
      </c>
      <c r="AY330" t="str">
        <f>""</f>
        <v/>
      </c>
      <c r="AZ330" t="str">
        <f>""</f>
        <v/>
      </c>
      <c r="BA330" t="str">
        <f>""</f>
        <v/>
      </c>
      <c r="BB330" t="str">
        <f>""</f>
        <v/>
      </c>
      <c r="BC330" t="str">
        <f>""</f>
        <v/>
      </c>
      <c r="BD330" t="str">
        <f>""</f>
        <v/>
      </c>
      <c r="BE330" t="str">
        <f>""</f>
        <v/>
      </c>
      <c r="BF330" t="str">
        <f>""</f>
        <v/>
      </c>
      <c r="BG330" t="str">
        <f>""</f>
        <v/>
      </c>
      <c r="BH330" t="str">
        <f>""</f>
        <v/>
      </c>
      <c r="BI330" t="str">
        <f>""</f>
        <v/>
      </c>
      <c r="BJ330" t="str">
        <f>""</f>
        <v/>
      </c>
      <c r="BK330" t="str">
        <f>""</f>
        <v/>
      </c>
      <c r="BL330" t="str">
        <f>""</f>
        <v/>
      </c>
      <c r="BM330" t="str">
        <f>""</f>
        <v/>
      </c>
      <c r="BN330" t="str">
        <f>""</f>
        <v/>
      </c>
      <c r="BO330" t="str">
        <f>""</f>
        <v/>
      </c>
      <c r="BP330" t="str">
        <f>""</f>
        <v/>
      </c>
      <c r="BQ330" t="str">
        <f>""</f>
        <v/>
      </c>
      <c r="BR330" t="str">
        <f>""</f>
        <v/>
      </c>
      <c r="BS330" t="str">
        <f>""</f>
        <v/>
      </c>
      <c r="BT330" t="str">
        <f>""</f>
        <v/>
      </c>
      <c r="BU330" t="str">
        <f>""</f>
        <v/>
      </c>
      <c r="BV330" t="str">
        <f>""</f>
        <v/>
      </c>
      <c r="BW330" t="str">
        <f>""</f>
        <v/>
      </c>
      <c r="BX330" t="str">
        <f>""</f>
        <v/>
      </c>
      <c r="BY330" t="str">
        <f>""</f>
        <v/>
      </c>
      <c r="BZ330" t="str">
        <f>""</f>
        <v/>
      </c>
      <c r="CA330" t="str">
        <f>""</f>
        <v/>
      </c>
      <c r="CB330" t="str">
        <f>""</f>
        <v/>
      </c>
      <c r="CC330" t="str">
        <f>""</f>
        <v/>
      </c>
      <c r="CD330" t="str">
        <f>""</f>
        <v/>
      </c>
      <c r="CE330" t="str">
        <f>""</f>
        <v/>
      </c>
      <c r="CF330" t="str">
        <f>""</f>
        <v/>
      </c>
      <c r="CG330" t="str">
        <f>""</f>
        <v/>
      </c>
    </row>
    <row r="331" spans="1:85" x14ac:dyDescent="0.25">
      <c r="A331" t="str">
        <f>$A$237</f>
        <v xml:space="preserve">    Daimler - Western Star</v>
      </c>
      <c r="B331" t="str">
        <f>$B$237</f>
        <v>DAI GR Equity</v>
      </c>
      <c r="C331" t="str">
        <f>$C$237</f>
        <v>X1701</v>
      </c>
      <c r="D331" t="str">
        <f>$D$237</f>
        <v>WARDS_RETAIL_SALES_UNITS</v>
      </c>
      <c r="E331" t="str">
        <f>$E$237</f>
        <v>Dynamic</v>
      </c>
      <c r="F331" t="str">
        <f ca="1">_xll.BDH($B$237,$C$237,$B$292,$B$293,CONCATENATE("Per=",$B$290),"Dts=H","Dir=H",CONCATENATE("Points=",$B$291),"Sort=R","Days=A","Fill=B","DZ665=16578421","X0012=Class 6-7","X0001=NAUS",CONCATENATE("FX=", $B$289) )</f>
        <v/>
      </c>
      <c r="AT331" t="str">
        <f>""</f>
        <v/>
      </c>
      <c r="AU331" t="str">
        <f>""</f>
        <v/>
      </c>
      <c r="AV331" t="str">
        <f>""</f>
        <v/>
      </c>
      <c r="AW331" t="str">
        <f>""</f>
        <v/>
      </c>
      <c r="AX331" t="str">
        <f>""</f>
        <v/>
      </c>
      <c r="AY331" t="str">
        <f>""</f>
        <v/>
      </c>
      <c r="AZ331" t="str">
        <f>""</f>
        <v/>
      </c>
      <c r="BA331" t="str">
        <f>""</f>
        <v/>
      </c>
      <c r="BB331" t="str">
        <f>""</f>
        <v/>
      </c>
      <c r="BC331" t="str">
        <f>""</f>
        <v/>
      </c>
      <c r="BD331" t="str">
        <f>""</f>
        <v/>
      </c>
      <c r="BE331" t="str">
        <f>""</f>
        <v/>
      </c>
      <c r="BF331" t="str">
        <f>""</f>
        <v/>
      </c>
      <c r="BG331" t="str">
        <f>""</f>
        <v/>
      </c>
      <c r="BH331" t="str">
        <f>""</f>
        <v/>
      </c>
      <c r="BI331" t="str">
        <f>""</f>
        <v/>
      </c>
      <c r="BJ331" t="str">
        <f>""</f>
        <v/>
      </c>
      <c r="BK331" t="str">
        <f>""</f>
        <v/>
      </c>
      <c r="BL331" t="str">
        <f>""</f>
        <v/>
      </c>
      <c r="BM331" t="str">
        <f>""</f>
        <v/>
      </c>
      <c r="BN331" t="str">
        <f>""</f>
        <v/>
      </c>
      <c r="BO331" t="str">
        <f>""</f>
        <v/>
      </c>
      <c r="BP331" t="str">
        <f>""</f>
        <v/>
      </c>
      <c r="BQ331" t="str">
        <f>""</f>
        <v/>
      </c>
      <c r="BR331" t="str">
        <f>""</f>
        <v/>
      </c>
      <c r="BS331" t="str">
        <f>""</f>
        <v/>
      </c>
      <c r="BT331" t="str">
        <f>""</f>
        <v/>
      </c>
      <c r="BU331" t="str">
        <f>""</f>
        <v/>
      </c>
      <c r="BV331" t="str">
        <f>""</f>
        <v/>
      </c>
      <c r="BW331" t="str">
        <f>""</f>
        <v/>
      </c>
      <c r="BX331" t="str">
        <f>""</f>
        <v/>
      </c>
      <c r="BY331" t="str">
        <f>""</f>
        <v/>
      </c>
      <c r="BZ331" t="str">
        <f>""</f>
        <v/>
      </c>
      <c r="CA331" t="str">
        <f>""</f>
        <v/>
      </c>
      <c r="CB331" t="str">
        <f>""</f>
        <v/>
      </c>
      <c r="CC331" t="str">
        <f>""</f>
        <v/>
      </c>
      <c r="CD331" t="str">
        <f>""</f>
        <v/>
      </c>
      <c r="CE331" t="str">
        <f>""</f>
        <v/>
      </c>
      <c r="CF331" t="str">
        <f>""</f>
        <v/>
      </c>
      <c r="CG331" t="str">
        <f>""</f>
        <v/>
      </c>
    </row>
    <row r="332" spans="1:85" x14ac:dyDescent="0.25">
      <c r="A332" t="str">
        <f>$A$238</f>
        <v xml:space="preserve">    Daimler - Sterling</v>
      </c>
      <c r="B332" t="str">
        <f>$B$238</f>
        <v>DAI GR Equity</v>
      </c>
      <c r="C332" t="str">
        <f>$C$238</f>
        <v>X1701</v>
      </c>
      <c r="D332" t="str">
        <f>$D$238</f>
        <v>WARDS_RETAIL_SALES_UNITS</v>
      </c>
      <c r="E332" t="str">
        <f>$E$238</f>
        <v>Dynamic</v>
      </c>
      <c r="F332" t="str">
        <f ca="1">_xll.BDH($B$238,$C$238,$B$292,$B$293,CONCATENATE("Per=",$B$290),"Dts=H","Dir=H",CONCATENATE("Points=",$B$291),"Sort=R","Days=A","Fill=B","DZ665=25574529","X0012=Class 6-7","X0001=NAUS",CONCATENATE("FX=", $B$289) )</f>
        <v/>
      </c>
      <c r="AT332" t="str">
        <f>""</f>
        <v/>
      </c>
      <c r="AU332" t="str">
        <f>""</f>
        <v/>
      </c>
      <c r="AV332" t="str">
        <f>""</f>
        <v/>
      </c>
      <c r="AW332" t="str">
        <f>""</f>
        <v/>
      </c>
      <c r="AX332" t="str">
        <f>""</f>
        <v/>
      </c>
      <c r="AY332" t="str">
        <f>""</f>
        <v/>
      </c>
      <c r="AZ332" t="str">
        <f>""</f>
        <v/>
      </c>
      <c r="BA332" t="str">
        <f>""</f>
        <v/>
      </c>
      <c r="BB332" t="str">
        <f>""</f>
        <v/>
      </c>
      <c r="BC332" t="str">
        <f>""</f>
        <v/>
      </c>
      <c r="BD332" t="str">
        <f>""</f>
        <v/>
      </c>
      <c r="BE332" t="str">
        <f>""</f>
        <v/>
      </c>
      <c r="BF332" t="str">
        <f>""</f>
        <v/>
      </c>
      <c r="BG332" t="str">
        <f>""</f>
        <v/>
      </c>
      <c r="BH332" t="str">
        <f>""</f>
        <v/>
      </c>
      <c r="BI332" t="str">
        <f>""</f>
        <v/>
      </c>
      <c r="BJ332" t="str">
        <f>""</f>
        <v/>
      </c>
      <c r="BK332" t="str">
        <f>""</f>
        <v/>
      </c>
      <c r="BL332" t="str">
        <f>""</f>
        <v/>
      </c>
      <c r="BM332" t="str">
        <f>""</f>
        <v/>
      </c>
      <c r="BN332" t="str">
        <f>""</f>
        <v/>
      </c>
      <c r="BO332" t="str">
        <f>""</f>
        <v/>
      </c>
      <c r="BP332" t="str">
        <f>""</f>
        <v/>
      </c>
      <c r="BQ332" t="str">
        <f>""</f>
        <v/>
      </c>
      <c r="BR332" t="str">
        <f>""</f>
        <v/>
      </c>
      <c r="BS332" t="str">
        <f>""</f>
        <v/>
      </c>
      <c r="BT332" t="str">
        <f>""</f>
        <v/>
      </c>
      <c r="BU332" t="str">
        <f>""</f>
        <v/>
      </c>
      <c r="BV332" t="str">
        <f>""</f>
        <v/>
      </c>
      <c r="BW332" t="str">
        <f>""</f>
        <v/>
      </c>
      <c r="BX332" t="str">
        <f>""</f>
        <v/>
      </c>
      <c r="BY332" t="str">
        <f>""</f>
        <v/>
      </c>
      <c r="BZ332" t="str">
        <f>""</f>
        <v/>
      </c>
      <c r="CA332" t="str">
        <f>""</f>
        <v/>
      </c>
      <c r="CB332" t="str">
        <f>""</f>
        <v/>
      </c>
      <c r="CC332" t="str">
        <f>""</f>
        <v/>
      </c>
      <c r="CD332" t="str">
        <f>""</f>
        <v/>
      </c>
      <c r="CE332" t="str">
        <f>""</f>
        <v/>
      </c>
      <c r="CF332" t="str">
        <f>""</f>
        <v/>
      </c>
      <c r="CG332" t="str">
        <f>""</f>
        <v/>
      </c>
    </row>
    <row r="333" spans="1:85" x14ac:dyDescent="0.25">
      <c r="A333" t="str">
        <f>$A$239</f>
        <v xml:space="preserve">    Navistar - International</v>
      </c>
      <c r="B333" t="str">
        <f>$B$239</f>
        <v>NAV US Equity</v>
      </c>
      <c r="C333" t="str">
        <f>$C$239</f>
        <v>X1701</v>
      </c>
      <c r="D333" t="str">
        <f>$D$239</f>
        <v>WARDS_RETAIL_SALES_UNITS</v>
      </c>
      <c r="E333" t="str">
        <f>$E$239</f>
        <v>Dynamic</v>
      </c>
      <c r="F333" t="str">
        <f ca="1">_xll.BDH($B$239,$C$239,$B$292,$B$293,CONCATENATE("Per=",$B$290),"Dts=H","Dir=H",CONCATENATE("Points=",$B$291),"Sort=R","Days=A","Fill=B","DZ665=377405","X0012=Class 6-7","X0001=NAUS",CONCATENATE("FX=", $B$289),"cols=40;rows=1")</f>
        <v/>
      </c>
      <c r="G333">
        <v>2841</v>
      </c>
      <c r="H333">
        <v>2512</v>
      </c>
      <c r="I333">
        <v>4064</v>
      </c>
      <c r="J333">
        <v>3062</v>
      </c>
      <c r="K333">
        <v>2707</v>
      </c>
      <c r="L333">
        <v>2371</v>
      </c>
      <c r="M333">
        <v>2312</v>
      </c>
      <c r="N333">
        <v>3320</v>
      </c>
      <c r="O333">
        <v>2394</v>
      </c>
      <c r="P333">
        <v>1813</v>
      </c>
      <c r="Q333">
        <v>1897</v>
      </c>
      <c r="R333">
        <v>1401</v>
      </c>
      <c r="S333">
        <v>2030</v>
      </c>
      <c r="T333">
        <v>3082</v>
      </c>
      <c r="U333">
        <v>3171</v>
      </c>
      <c r="V333">
        <v>2553</v>
      </c>
      <c r="W333">
        <v>2468</v>
      </c>
      <c r="X333">
        <v>2300</v>
      </c>
      <c r="Y333">
        <v>2280</v>
      </c>
      <c r="Z333">
        <v>2418</v>
      </c>
      <c r="AA333">
        <v>2471</v>
      </c>
      <c r="AB333">
        <v>1939</v>
      </c>
      <c r="AC333">
        <v>1931</v>
      </c>
      <c r="AD333">
        <v>1621</v>
      </c>
      <c r="AE333">
        <v>2429</v>
      </c>
      <c r="AF333">
        <v>2087</v>
      </c>
      <c r="AG333">
        <v>3060</v>
      </c>
      <c r="AH333">
        <v>3190</v>
      </c>
      <c r="AI333">
        <v>2917</v>
      </c>
      <c r="AJ333">
        <v>1675</v>
      </c>
      <c r="AK333">
        <v>2015</v>
      </c>
      <c r="AL333">
        <v>2584</v>
      </c>
      <c r="AM333">
        <v>2029</v>
      </c>
      <c r="AN333">
        <v>2090</v>
      </c>
      <c r="AO333">
        <v>1978</v>
      </c>
      <c r="AP333">
        <v>1223</v>
      </c>
      <c r="AQ333">
        <v>2207</v>
      </c>
      <c r="AR333">
        <v>2389</v>
      </c>
      <c r="AS333">
        <v>2433</v>
      </c>
      <c r="AT333" t="str">
        <f>""</f>
        <v/>
      </c>
      <c r="AU333" t="str">
        <f>""</f>
        <v/>
      </c>
      <c r="AV333" t="str">
        <f>""</f>
        <v/>
      </c>
      <c r="AW333" t="str">
        <f>""</f>
        <v/>
      </c>
      <c r="AX333" t="str">
        <f>""</f>
        <v/>
      </c>
      <c r="AY333" t="str">
        <f>""</f>
        <v/>
      </c>
      <c r="AZ333" t="str">
        <f>""</f>
        <v/>
      </c>
      <c r="BA333" t="str">
        <f>""</f>
        <v/>
      </c>
      <c r="BB333" t="str">
        <f>""</f>
        <v/>
      </c>
      <c r="BC333" t="str">
        <f>""</f>
        <v/>
      </c>
      <c r="BD333" t="str">
        <f>""</f>
        <v/>
      </c>
      <c r="BE333" t="str">
        <f>""</f>
        <v/>
      </c>
      <c r="BF333" t="str">
        <f>""</f>
        <v/>
      </c>
      <c r="BG333" t="str">
        <f>""</f>
        <v/>
      </c>
      <c r="BH333" t="str">
        <f>""</f>
        <v/>
      </c>
      <c r="BI333" t="str">
        <f>""</f>
        <v/>
      </c>
      <c r="BJ333" t="str">
        <f>""</f>
        <v/>
      </c>
      <c r="BK333" t="str">
        <f>""</f>
        <v/>
      </c>
      <c r="BL333" t="str">
        <f>""</f>
        <v/>
      </c>
      <c r="BM333" t="str">
        <f>""</f>
        <v/>
      </c>
      <c r="BN333" t="str">
        <f>""</f>
        <v/>
      </c>
      <c r="BO333" t="str">
        <f>""</f>
        <v/>
      </c>
      <c r="BP333" t="str">
        <f>""</f>
        <v/>
      </c>
      <c r="BQ333" t="str">
        <f>""</f>
        <v/>
      </c>
      <c r="BR333" t="str">
        <f>""</f>
        <v/>
      </c>
      <c r="BS333" t="str">
        <f>""</f>
        <v/>
      </c>
      <c r="BT333" t="str">
        <f>""</f>
        <v/>
      </c>
      <c r="BU333" t="str">
        <f>""</f>
        <v/>
      </c>
      <c r="BV333" t="str">
        <f>""</f>
        <v/>
      </c>
      <c r="BW333" t="str">
        <f>""</f>
        <v/>
      </c>
      <c r="BX333" t="str">
        <f>""</f>
        <v/>
      </c>
      <c r="BY333" t="str">
        <f>""</f>
        <v/>
      </c>
      <c r="BZ333" t="str">
        <f>""</f>
        <v/>
      </c>
      <c r="CA333" t="str">
        <f>""</f>
        <v/>
      </c>
      <c r="CB333" t="str">
        <f>""</f>
        <v/>
      </c>
      <c r="CC333" t="str">
        <f>""</f>
        <v/>
      </c>
      <c r="CD333" t="str">
        <f>""</f>
        <v/>
      </c>
      <c r="CE333" t="str">
        <f>""</f>
        <v/>
      </c>
      <c r="CF333" t="str">
        <f>""</f>
        <v/>
      </c>
      <c r="CG333" t="str">
        <f>""</f>
        <v/>
      </c>
    </row>
    <row r="334" spans="1:85" x14ac:dyDescent="0.25">
      <c r="A334" t="str">
        <f>$A$240</f>
        <v xml:space="preserve">    PACCAR - Kenworth</v>
      </c>
      <c r="B334" t="str">
        <f>$B$240</f>
        <v>PCAR US Equity</v>
      </c>
      <c r="C334" t="str">
        <f>$C$240</f>
        <v>X1701</v>
      </c>
      <c r="D334" t="str">
        <f>$D$240</f>
        <v>WARDS_RETAIL_SALES_UNITS</v>
      </c>
      <c r="E334" t="str">
        <f>$E$240</f>
        <v>Dynamic</v>
      </c>
      <c r="F334" t="str">
        <f ca="1">_xll.BDH($B$240,$C$240,$B$292,$B$293,CONCATENATE("Per=",$B$290),"Dts=H","Dir=H",CONCATENATE("Points=",$B$291),"Sort=R","Days=A","Fill=B","DZ665=267317","X0012=Class 6-7","X0001=NAUS",CONCATENATE("FX=", $B$289),"cols=40;rows=1")</f>
        <v/>
      </c>
      <c r="G334">
        <v>613</v>
      </c>
      <c r="H334">
        <v>614</v>
      </c>
      <c r="I334">
        <v>634</v>
      </c>
      <c r="J334">
        <v>649</v>
      </c>
      <c r="K334">
        <v>625</v>
      </c>
      <c r="L334">
        <v>610</v>
      </c>
      <c r="M334">
        <v>609</v>
      </c>
      <c r="N334">
        <v>570</v>
      </c>
      <c r="O334">
        <v>353</v>
      </c>
      <c r="P334">
        <v>417</v>
      </c>
      <c r="Q334">
        <v>815</v>
      </c>
      <c r="R334">
        <v>551</v>
      </c>
      <c r="S334">
        <v>679</v>
      </c>
      <c r="T334">
        <v>565</v>
      </c>
      <c r="U334">
        <v>638</v>
      </c>
      <c r="V334">
        <v>501</v>
      </c>
      <c r="W334">
        <v>647</v>
      </c>
      <c r="X334">
        <v>623</v>
      </c>
      <c r="Y334">
        <v>579</v>
      </c>
      <c r="Z334">
        <v>605</v>
      </c>
      <c r="AA334">
        <v>410</v>
      </c>
      <c r="AB334">
        <v>389</v>
      </c>
      <c r="AC334">
        <v>800</v>
      </c>
      <c r="AD334">
        <v>653</v>
      </c>
      <c r="AE334">
        <v>630</v>
      </c>
      <c r="AF334">
        <v>682</v>
      </c>
      <c r="AG334">
        <v>812</v>
      </c>
      <c r="AH334">
        <v>784</v>
      </c>
      <c r="AI334">
        <v>461</v>
      </c>
      <c r="AJ334">
        <v>519</v>
      </c>
      <c r="AK334">
        <v>480</v>
      </c>
      <c r="AL334">
        <v>425</v>
      </c>
      <c r="AM334">
        <v>351</v>
      </c>
      <c r="AN334">
        <v>476</v>
      </c>
      <c r="AO334">
        <v>738</v>
      </c>
      <c r="AP334">
        <v>495</v>
      </c>
      <c r="AQ334">
        <v>482</v>
      </c>
      <c r="AR334">
        <v>542</v>
      </c>
      <c r="AS334">
        <v>438</v>
      </c>
      <c r="AT334" t="str">
        <f>""</f>
        <v/>
      </c>
      <c r="AU334" t="str">
        <f>""</f>
        <v/>
      </c>
      <c r="AV334" t="str">
        <f>""</f>
        <v/>
      </c>
      <c r="AW334" t="str">
        <f>""</f>
        <v/>
      </c>
      <c r="AX334" t="str">
        <f>""</f>
        <v/>
      </c>
      <c r="AY334" t="str">
        <f>""</f>
        <v/>
      </c>
      <c r="AZ334" t="str">
        <f>""</f>
        <v/>
      </c>
      <c r="BA334" t="str">
        <f>""</f>
        <v/>
      </c>
      <c r="BB334" t="str">
        <f>""</f>
        <v/>
      </c>
      <c r="BC334" t="str">
        <f>""</f>
        <v/>
      </c>
      <c r="BD334" t="str">
        <f>""</f>
        <v/>
      </c>
      <c r="BE334" t="str">
        <f>""</f>
        <v/>
      </c>
      <c r="BF334" t="str">
        <f>""</f>
        <v/>
      </c>
      <c r="BG334" t="str">
        <f>""</f>
        <v/>
      </c>
      <c r="BH334" t="str">
        <f>""</f>
        <v/>
      </c>
      <c r="BI334" t="str">
        <f>""</f>
        <v/>
      </c>
      <c r="BJ334" t="str">
        <f>""</f>
        <v/>
      </c>
      <c r="BK334" t="str">
        <f>""</f>
        <v/>
      </c>
      <c r="BL334" t="str">
        <f>""</f>
        <v/>
      </c>
      <c r="BM334" t="str">
        <f>""</f>
        <v/>
      </c>
      <c r="BN334" t="str">
        <f>""</f>
        <v/>
      </c>
      <c r="BO334" t="str">
        <f>""</f>
        <v/>
      </c>
      <c r="BP334" t="str">
        <f>""</f>
        <v/>
      </c>
      <c r="BQ334" t="str">
        <f>""</f>
        <v/>
      </c>
      <c r="BR334" t="str">
        <f>""</f>
        <v/>
      </c>
      <c r="BS334" t="str">
        <f>""</f>
        <v/>
      </c>
      <c r="BT334" t="str">
        <f>""</f>
        <v/>
      </c>
      <c r="BU334" t="str">
        <f>""</f>
        <v/>
      </c>
      <c r="BV334" t="str">
        <f>""</f>
        <v/>
      </c>
      <c r="BW334" t="str">
        <f>""</f>
        <v/>
      </c>
      <c r="BX334" t="str">
        <f>""</f>
        <v/>
      </c>
      <c r="BY334" t="str">
        <f>""</f>
        <v/>
      </c>
      <c r="BZ334" t="str">
        <f>""</f>
        <v/>
      </c>
      <c r="CA334" t="str">
        <f>""</f>
        <v/>
      </c>
      <c r="CB334" t="str">
        <f>""</f>
        <v/>
      </c>
      <c r="CC334" t="str">
        <f>""</f>
        <v/>
      </c>
      <c r="CD334" t="str">
        <f>""</f>
        <v/>
      </c>
      <c r="CE334" t="str">
        <f>""</f>
        <v/>
      </c>
      <c r="CF334" t="str">
        <f>""</f>
        <v/>
      </c>
      <c r="CG334" t="str">
        <f>""</f>
        <v/>
      </c>
    </row>
    <row r="335" spans="1:85" x14ac:dyDescent="0.25">
      <c r="A335" t="str">
        <f>$A$241</f>
        <v xml:space="preserve">    PACCAR - Peterbilt</v>
      </c>
      <c r="B335" t="str">
        <f>$B$241</f>
        <v>PCAR US Equity</v>
      </c>
      <c r="C335" t="str">
        <f>$C$241</f>
        <v>X1701</v>
      </c>
      <c r="D335" t="str">
        <f>$D$241</f>
        <v>WARDS_RETAIL_SALES_UNITS</v>
      </c>
      <c r="E335" t="str">
        <f>$E$241</f>
        <v>Dynamic</v>
      </c>
      <c r="F335" t="str">
        <f ca="1">_xll.BDH($B$241,$C$241,$B$292,$B$293,CONCATENATE("Per=",$B$290),"Dts=H","Dir=H",CONCATENATE("Points=",$B$291),"Sort=R","Days=A","Fill=B","DZ665=267319","X0012=Class 6-7","X0001=NAUS",CONCATENATE("FX=", $B$289),"cols=40;rows=1")</f>
        <v/>
      </c>
      <c r="G335">
        <v>665</v>
      </c>
      <c r="H335">
        <v>521</v>
      </c>
      <c r="I335">
        <v>511</v>
      </c>
      <c r="J335">
        <v>516</v>
      </c>
      <c r="K335">
        <v>479</v>
      </c>
      <c r="L335">
        <v>527</v>
      </c>
      <c r="M335">
        <v>422</v>
      </c>
      <c r="N335">
        <v>574</v>
      </c>
      <c r="O335">
        <v>408</v>
      </c>
      <c r="P335">
        <v>358</v>
      </c>
      <c r="Q335">
        <v>735</v>
      </c>
      <c r="R335">
        <v>444</v>
      </c>
      <c r="S335">
        <v>553</v>
      </c>
      <c r="T335">
        <v>540</v>
      </c>
      <c r="U335">
        <v>474</v>
      </c>
      <c r="V335">
        <v>513</v>
      </c>
      <c r="W335">
        <v>549</v>
      </c>
      <c r="X335">
        <v>444</v>
      </c>
      <c r="Y335">
        <v>504</v>
      </c>
      <c r="Z335">
        <v>534</v>
      </c>
      <c r="AA335">
        <v>462</v>
      </c>
      <c r="AB335">
        <v>455</v>
      </c>
      <c r="AC335">
        <v>669</v>
      </c>
      <c r="AD335">
        <v>483</v>
      </c>
      <c r="AE335">
        <v>516</v>
      </c>
      <c r="AF335">
        <v>691</v>
      </c>
      <c r="AG335">
        <v>551</v>
      </c>
      <c r="AH335">
        <v>583</v>
      </c>
      <c r="AI335">
        <v>561</v>
      </c>
      <c r="AJ335">
        <v>440</v>
      </c>
      <c r="AK335">
        <v>497</v>
      </c>
      <c r="AL335">
        <v>474</v>
      </c>
      <c r="AM335">
        <v>333</v>
      </c>
      <c r="AN335">
        <v>382</v>
      </c>
      <c r="AO335">
        <v>537</v>
      </c>
      <c r="AP335">
        <v>470</v>
      </c>
      <c r="AQ335">
        <v>458</v>
      </c>
      <c r="AR335">
        <v>415</v>
      </c>
      <c r="AS335">
        <v>410</v>
      </c>
      <c r="AT335" t="str">
        <f>""</f>
        <v/>
      </c>
      <c r="AU335" t="str">
        <f>""</f>
        <v/>
      </c>
      <c r="AV335" t="str">
        <f>""</f>
        <v/>
      </c>
      <c r="AW335" t="str">
        <f>""</f>
        <v/>
      </c>
      <c r="AX335" t="str">
        <f>""</f>
        <v/>
      </c>
      <c r="AY335" t="str">
        <f>""</f>
        <v/>
      </c>
      <c r="AZ335" t="str">
        <f>""</f>
        <v/>
      </c>
      <c r="BA335" t="str">
        <f>""</f>
        <v/>
      </c>
      <c r="BB335" t="str">
        <f>""</f>
        <v/>
      </c>
      <c r="BC335" t="str">
        <f>""</f>
        <v/>
      </c>
      <c r="BD335" t="str">
        <f>""</f>
        <v/>
      </c>
      <c r="BE335" t="str">
        <f>""</f>
        <v/>
      </c>
      <c r="BF335" t="str">
        <f>""</f>
        <v/>
      </c>
      <c r="BG335" t="str">
        <f>""</f>
        <v/>
      </c>
      <c r="BH335" t="str">
        <f>""</f>
        <v/>
      </c>
      <c r="BI335" t="str">
        <f>""</f>
        <v/>
      </c>
      <c r="BJ335" t="str">
        <f>""</f>
        <v/>
      </c>
      <c r="BK335" t="str">
        <f>""</f>
        <v/>
      </c>
      <c r="BL335" t="str">
        <f>""</f>
        <v/>
      </c>
      <c r="BM335" t="str">
        <f>""</f>
        <v/>
      </c>
      <c r="BN335" t="str">
        <f>""</f>
        <v/>
      </c>
      <c r="BO335" t="str">
        <f>""</f>
        <v/>
      </c>
      <c r="BP335" t="str">
        <f>""</f>
        <v/>
      </c>
      <c r="BQ335" t="str">
        <f>""</f>
        <v/>
      </c>
      <c r="BR335" t="str">
        <f>""</f>
        <v/>
      </c>
      <c r="BS335" t="str">
        <f>""</f>
        <v/>
      </c>
      <c r="BT335" t="str">
        <f>""</f>
        <v/>
      </c>
      <c r="BU335" t="str">
        <f>""</f>
        <v/>
      </c>
      <c r="BV335" t="str">
        <f>""</f>
        <v/>
      </c>
      <c r="BW335" t="str">
        <f>""</f>
        <v/>
      </c>
      <c r="BX335" t="str">
        <f>""</f>
        <v/>
      </c>
      <c r="BY335" t="str">
        <f>""</f>
        <v/>
      </c>
      <c r="BZ335" t="str">
        <f>""</f>
        <v/>
      </c>
      <c r="CA335" t="str">
        <f>""</f>
        <v/>
      </c>
      <c r="CB335" t="str">
        <f>""</f>
        <v/>
      </c>
      <c r="CC335" t="str">
        <f>""</f>
        <v/>
      </c>
      <c r="CD335" t="str">
        <f>""</f>
        <v/>
      </c>
      <c r="CE335" t="str">
        <f>""</f>
        <v/>
      </c>
      <c r="CF335" t="str">
        <f>""</f>
        <v/>
      </c>
      <c r="CG335" t="str">
        <f>""</f>
        <v/>
      </c>
    </row>
    <row r="336" spans="1:85" x14ac:dyDescent="0.25">
      <c r="A336" t="str">
        <f>$A$242</f>
        <v xml:space="preserve">    Ford</v>
      </c>
      <c r="B336" t="str">
        <f>$B$242</f>
        <v>F US Equity</v>
      </c>
      <c r="C336" t="str">
        <f>$C$242</f>
        <v>X1701</v>
      </c>
      <c r="D336" t="str">
        <f>$D$242</f>
        <v>WARDS_RETAIL_SALES_UNITS</v>
      </c>
      <c r="E336" t="str">
        <f>$E$242</f>
        <v>Dynamic</v>
      </c>
      <c r="F336" t="str">
        <f ca="1">_xll.BDH($B$242,$C$242,$B$292,$B$293,CONCATENATE("Per=",$B$290),"Dts=H","Dir=H",CONCATENATE("Points=",$B$291),"Sort=R","Days=A","Fill=B","DZ665=260940","X0012=Class 6-7","X0001=NAUS",CONCATENATE("FX=", $B$289),"cols=40;rows=1")</f>
        <v/>
      </c>
      <c r="G336">
        <v>1572</v>
      </c>
      <c r="H336">
        <v>1384</v>
      </c>
      <c r="I336">
        <v>1808</v>
      </c>
      <c r="J336">
        <v>1470</v>
      </c>
      <c r="K336">
        <v>1888</v>
      </c>
      <c r="L336">
        <v>1268</v>
      </c>
      <c r="M336">
        <v>2075</v>
      </c>
      <c r="N336">
        <v>2396</v>
      </c>
      <c r="O336">
        <v>1810</v>
      </c>
      <c r="P336">
        <v>2215</v>
      </c>
      <c r="Q336">
        <v>3049</v>
      </c>
      <c r="R336">
        <v>2174</v>
      </c>
      <c r="S336">
        <v>1831</v>
      </c>
      <c r="T336">
        <v>1681</v>
      </c>
      <c r="U336">
        <v>1649</v>
      </c>
      <c r="V336">
        <v>1756</v>
      </c>
      <c r="W336">
        <v>1781</v>
      </c>
      <c r="X336">
        <v>1915</v>
      </c>
      <c r="Y336">
        <v>2582</v>
      </c>
      <c r="Z336">
        <v>2791</v>
      </c>
      <c r="AA336">
        <v>1781</v>
      </c>
      <c r="AB336">
        <v>1801</v>
      </c>
      <c r="AC336">
        <v>2482</v>
      </c>
      <c r="AD336">
        <v>1638</v>
      </c>
      <c r="AE336">
        <v>1749</v>
      </c>
      <c r="AF336">
        <v>958</v>
      </c>
      <c r="AG336">
        <v>971</v>
      </c>
      <c r="AH336">
        <v>1299</v>
      </c>
      <c r="AI336">
        <v>1463</v>
      </c>
      <c r="AJ336">
        <v>1253</v>
      </c>
      <c r="AK336">
        <v>1384</v>
      </c>
      <c r="AL336">
        <v>1643</v>
      </c>
      <c r="AM336">
        <v>1353</v>
      </c>
      <c r="AN336">
        <v>1468</v>
      </c>
      <c r="AO336">
        <v>2104</v>
      </c>
      <c r="AP336">
        <v>1306</v>
      </c>
      <c r="AQ336">
        <v>1625</v>
      </c>
      <c r="AR336">
        <v>1454</v>
      </c>
      <c r="AS336">
        <v>1293</v>
      </c>
      <c r="AT336" t="str">
        <f>""</f>
        <v/>
      </c>
      <c r="AU336" t="str">
        <f>""</f>
        <v/>
      </c>
      <c r="AV336" t="str">
        <f>""</f>
        <v/>
      </c>
      <c r="AW336" t="str">
        <f>""</f>
        <v/>
      </c>
      <c r="AX336" t="str">
        <f>""</f>
        <v/>
      </c>
      <c r="AY336" t="str">
        <f>""</f>
        <v/>
      </c>
      <c r="AZ336" t="str">
        <f>""</f>
        <v/>
      </c>
      <c r="BA336" t="str">
        <f>""</f>
        <v/>
      </c>
      <c r="BB336" t="str">
        <f>""</f>
        <v/>
      </c>
      <c r="BC336" t="str">
        <f>""</f>
        <v/>
      </c>
      <c r="BD336" t="str">
        <f>""</f>
        <v/>
      </c>
      <c r="BE336" t="str">
        <f>""</f>
        <v/>
      </c>
      <c r="BF336" t="str">
        <f>""</f>
        <v/>
      </c>
      <c r="BG336" t="str">
        <f>""</f>
        <v/>
      </c>
      <c r="BH336" t="str">
        <f>""</f>
        <v/>
      </c>
      <c r="BI336" t="str">
        <f>""</f>
        <v/>
      </c>
      <c r="BJ336" t="str">
        <f>""</f>
        <v/>
      </c>
      <c r="BK336" t="str">
        <f>""</f>
        <v/>
      </c>
      <c r="BL336" t="str">
        <f>""</f>
        <v/>
      </c>
      <c r="BM336" t="str">
        <f>""</f>
        <v/>
      </c>
      <c r="BN336" t="str">
        <f>""</f>
        <v/>
      </c>
      <c r="BO336" t="str">
        <f>""</f>
        <v/>
      </c>
      <c r="BP336" t="str">
        <f>""</f>
        <v/>
      </c>
      <c r="BQ336" t="str">
        <f>""</f>
        <v/>
      </c>
      <c r="BR336" t="str">
        <f>""</f>
        <v/>
      </c>
      <c r="BS336" t="str">
        <f>""</f>
        <v/>
      </c>
      <c r="BT336" t="str">
        <f>""</f>
        <v/>
      </c>
      <c r="BU336" t="str">
        <f>""</f>
        <v/>
      </c>
      <c r="BV336" t="str">
        <f>""</f>
        <v/>
      </c>
      <c r="BW336" t="str">
        <f>""</f>
        <v/>
      </c>
      <c r="BX336" t="str">
        <f>""</f>
        <v/>
      </c>
      <c r="BY336" t="str">
        <f>""</f>
        <v/>
      </c>
      <c r="BZ336" t="str">
        <f>""</f>
        <v/>
      </c>
      <c r="CA336" t="str">
        <f>""</f>
        <v/>
      </c>
      <c r="CB336" t="str">
        <f>""</f>
        <v/>
      </c>
      <c r="CC336" t="str">
        <f>""</f>
        <v/>
      </c>
      <c r="CD336" t="str">
        <f>""</f>
        <v/>
      </c>
      <c r="CE336" t="str">
        <f>""</f>
        <v/>
      </c>
      <c r="CF336" t="str">
        <f>""</f>
        <v/>
      </c>
      <c r="CG336" t="str">
        <f>""</f>
        <v/>
      </c>
    </row>
    <row r="337" spans="1:85" x14ac:dyDescent="0.25">
      <c r="A337" t="str">
        <f>$A$243</f>
        <v xml:space="preserve">    Hino</v>
      </c>
      <c r="B337" t="str">
        <f>$B$243</f>
        <v>7205 JP Equity</v>
      </c>
      <c r="C337" t="str">
        <f>$C$243</f>
        <v>X1701</v>
      </c>
      <c r="D337" t="str">
        <f>$D$243</f>
        <v>WARDS_RETAIL_SALES_UNITS</v>
      </c>
      <c r="E337" t="str">
        <f>$E$243</f>
        <v>Dynamic</v>
      </c>
      <c r="F337" t="str">
        <f ca="1">_xll.BDH($B$243,$C$243,$B$292,$B$293,CONCATENATE("Per=",$B$290),"Dts=H","Dir=H",CONCATENATE("Points=",$B$291),"Sort=R","Days=A","Fill=B","DZ665=1727201","X0012=Class 6-7","X0001=NAUS","DS276=Y",CONCATENATE("FX=", $B$289),"cols=40;rows=1")</f>
        <v/>
      </c>
      <c r="G337">
        <v>716</v>
      </c>
      <c r="H337">
        <v>711</v>
      </c>
      <c r="I337">
        <v>756</v>
      </c>
      <c r="J337">
        <v>641</v>
      </c>
      <c r="K337">
        <v>840</v>
      </c>
      <c r="L337">
        <v>684</v>
      </c>
      <c r="M337">
        <v>582</v>
      </c>
      <c r="N337">
        <v>929</v>
      </c>
      <c r="O337">
        <v>639</v>
      </c>
      <c r="P337">
        <v>586</v>
      </c>
      <c r="Q337">
        <v>738</v>
      </c>
      <c r="R337">
        <v>738</v>
      </c>
      <c r="S337">
        <v>621</v>
      </c>
      <c r="T337">
        <v>651</v>
      </c>
      <c r="U337">
        <v>630</v>
      </c>
      <c r="V337">
        <v>577</v>
      </c>
      <c r="W337">
        <v>758</v>
      </c>
      <c r="X337">
        <v>699</v>
      </c>
      <c r="Y337">
        <v>506</v>
      </c>
      <c r="Z337">
        <v>1330</v>
      </c>
      <c r="AA337">
        <v>709</v>
      </c>
      <c r="AB337">
        <v>552</v>
      </c>
      <c r="AC337">
        <v>1075</v>
      </c>
      <c r="AD337">
        <v>736</v>
      </c>
      <c r="AE337">
        <v>833</v>
      </c>
      <c r="AF337">
        <v>795</v>
      </c>
      <c r="AG337">
        <v>779</v>
      </c>
      <c r="AH337">
        <v>746</v>
      </c>
      <c r="AI337">
        <v>747</v>
      </c>
      <c r="AJ337">
        <v>579</v>
      </c>
      <c r="AK337">
        <v>665</v>
      </c>
      <c r="AL337">
        <v>1258</v>
      </c>
      <c r="AM337">
        <v>664</v>
      </c>
      <c r="AN337">
        <v>494</v>
      </c>
      <c r="AO337">
        <v>1208</v>
      </c>
      <c r="AP337">
        <v>701</v>
      </c>
      <c r="AQ337">
        <v>618</v>
      </c>
      <c r="AR337">
        <v>637</v>
      </c>
      <c r="AS337">
        <v>645</v>
      </c>
      <c r="AT337" t="str">
        <f>""</f>
        <v/>
      </c>
      <c r="AU337" t="str">
        <f>""</f>
        <v/>
      </c>
      <c r="AV337" t="str">
        <f>""</f>
        <v/>
      </c>
      <c r="AW337" t="str">
        <f>""</f>
        <v/>
      </c>
      <c r="AX337" t="str">
        <f>""</f>
        <v/>
      </c>
      <c r="AY337" t="str">
        <f>""</f>
        <v/>
      </c>
      <c r="AZ337" t="str">
        <f>""</f>
        <v/>
      </c>
      <c r="BA337" t="str">
        <f>""</f>
        <v/>
      </c>
      <c r="BB337" t="str">
        <f>""</f>
        <v/>
      </c>
      <c r="BC337" t="str">
        <f>""</f>
        <v/>
      </c>
      <c r="BD337" t="str">
        <f>""</f>
        <v/>
      </c>
      <c r="BE337" t="str">
        <f>""</f>
        <v/>
      </c>
      <c r="BF337" t="str">
        <f>""</f>
        <v/>
      </c>
      <c r="BG337" t="str">
        <f>""</f>
        <v/>
      </c>
      <c r="BH337" t="str">
        <f>""</f>
        <v/>
      </c>
      <c r="BI337" t="str">
        <f>""</f>
        <v/>
      </c>
      <c r="BJ337" t="str">
        <f>""</f>
        <v/>
      </c>
      <c r="BK337" t="str">
        <f>""</f>
        <v/>
      </c>
      <c r="BL337" t="str">
        <f>""</f>
        <v/>
      </c>
      <c r="BM337" t="str">
        <f>""</f>
        <v/>
      </c>
      <c r="BN337" t="str">
        <f>""</f>
        <v/>
      </c>
      <c r="BO337" t="str">
        <f>""</f>
        <v/>
      </c>
      <c r="BP337" t="str">
        <f>""</f>
        <v/>
      </c>
      <c r="BQ337" t="str">
        <f>""</f>
        <v/>
      </c>
      <c r="BR337" t="str">
        <f>""</f>
        <v/>
      </c>
      <c r="BS337" t="str">
        <f>""</f>
        <v/>
      </c>
      <c r="BT337" t="str">
        <f>""</f>
        <v/>
      </c>
      <c r="BU337" t="str">
        <f>""</f>
        <v/>
      </c>
      <c r="BV337" t="str">
        <f>""</f>
        <v/>
      </c>
      <c r="BW337" t="str">
        <f>""</f>
        <v/>
      </c>
      <c r="BX337" t="str">
        <f>""</f>
        <v/>
      </c>
      <c r="BY337" t="str">
        <f>""</f>
        <v/>
      </c>
      <c r="BZ337" t="str">
        <f>""</f>
        <v/>
      </c>
      <c r="CA337" t="str">
        <f>""</f>
        <v/>
      </c>
      <c r="CB337" t="str">
        <f>""</f>
        <v/>
      </c>
      <c r="CC337" t="str">
        <f>""</f>
        <v/>
      </c>
      <c r="CD337" t="str">
        <f>""</f>
        <v/>
      </c>
      <c r="CE337" t="str">
        <f>""</f>
        <v/>
      </c>
      <c r="CF337" t="str">
        <f>""</f>
        <v/>
      </c>
      <c r="CG337" t="str">
        <f>""</f>
        <v/>
      </c>
    </row>
    <row r="338" spans="1:85" x14ac:dyDescent="0.25">
      <c r="A338" t="str">
        <f>$A$244</f>
        <v xml:space="preserve">    Volvo - Mack</v>
      </c>
      <c r="B338" t="str">
        <f>$B$244</f>
        <v>VOLVB SS Equity</v>
      </c>
      <c r="C338" t="str">
        <f>$C$244</f>
        <v>X1701</v>
      </c>
      <c r="D338" t="str">
        <f>$D$244</f>
        <v>WARDS_RETAIL_SALES_UNITS</v>
      </c>
      <c r="E338" t="str">
        <f>$E$244</f>
        <v>Dynamic</v>
      </c>
      <c r="F338" t="str">
        <f ca="1">_xll.BDH($B$244,$C$244,$B$292,$B$293,CONCATENATE("Per=",$B$290),"Dts=H","Dir=H",CONCATENATE("Points=",$B$291),"Sort=R","Days=A","Fill=B","DZ665=20497958","X0012=Class 6-7","X0001=NAUS",CONCATENATE("FX=", $B$289) )</f>
        <v/>
      </c>
      <c r="AT338" t="str">
        <f>""</f>
        <v/>
      </c>
      <c r="AU338" t="str">
        <f>""</f>
        <v/>
      </c>
      <c r="AV338" t="str">
        <f>""</f>
        <v/>
      </c>
      <c r="AW338" t="str">
        <f>""</f>
        <v/>
      </c>
      <c r="AX338" t="str">
        <f>""</f>
        <v/>
      </c>
      <c r="AY338" t="str">
        <f>""</f>
        <v/>
      </c>
      <c r="AZ338" t="str">
        <f>""</f>
        <v/>
      </c>
      <c r="BA338" t="str">
        <f>""</f>
        <v/>
      </c>
      <c r="BB338" t="str">
        <f>""</f>
        <v/>
      </c>
      <c r="BC338" t="str">
        <f>""</f>
        <v/>
      </c>
      <c r="BD338" t="str">
        <f>""</f>
        <v/>
      </c>
      <c r="BE338" t="str">
        <f>""</f>
        <v/>
      </c>
      <c r="BF338" t="str">
        <f>""</f>
        <v/>
      </c>
      <c r="BG338" t="str">
        <f>""</f>
        <v/>
      </c>
      <c r="BH338" t="str">
        <f>""</f>
        <v/>
      </c>
      <c r="BI338" t="str">
        <f>""</f>
        <v/>
      </c>
      <c r="BJ338" t="str">
        <f>""</f>
        <v/>
      </c>
      <c r="BK338" t="str">
        <f>""</f>
        <v/>
      </c>
      <c r="BL338" t="str">
        <f>""</f>
        <v/>
      </c>
      <c r="BM338" t="str">
        <f>""</f>
        <v/>
      </c>
      <c r="BN338" t="str">
        <f>""</f>
        <v/>
      </c>
      <c r="BO338" t="str">
        <f>""</f>
        <v/>
      </c>
      <c r="BP338" t="str">
        <f>""</f>
        <v/>
      </c>
      <c r="BQ338" t="str">
        <f>""</f>
        <v/>
      </c>
      <c r="BR338" t="str">
        <f>""</f>
        <v/>
      </c>
      <c r="BS338" t="str">
        <f>""</f>
        <v/>
      </c>
      <c r="BT338" t="str">
        <f>""</f>
        <v/>
      </c>
      <c r="BU338" t="str">
        <f>""</f>
        <v/>
      </c>
      <c r="BV338" t="str">
        <f>""</f>
        <v/>
      </c>
      <c r="BW338" t="str">
        <f>""</f>
        <v/>
      </c>
      <c r="BX338" t="str">
        <f>""</f>
        <v/>
      </c>
      <c r="BY338" t="str">
        <f>""</f>
        <v/>
      </c>
      <c r="BZ338" t="str">
        <f>""</f>
        <v/>
      </c>
      <c r="CA338" t="str">
        <f>""</f>
        <v/>
      </c>
      <c r="CB338" t="str">
        <f>""</f>
        <v/>
      </c>
      <c r="CC338" t="str">
        <f>""</f>
        <v/>
      </c>
      <c r="CD338" t="str">
        <f>""</f>
        <v/>
      </c>
      <c r="CE338" t="str">
        <f>""</f>
        <v/>
      </c>
      <c r="CF338" t="str">
        <f>""</f>
        <v/>
      </c>
      <c r="CG338" t="str">
        <f>""</f>
        <v/>
      </c>
    </row>
    <row r="339" spans="1:85" x14ac:dyDescent="0.25">
      <c r="A339" t="str">
        <f>$A$245</f>
        <v xml:space="preserve">    Volvo - UD Truck</v>
      </c>
      <c r="B339" t="str">
        <f>$B$245</f>
        <v>VOLVB SS Equity</v>
      </c>
      <c r="C339" t="str">
        <f>$C$245</f>
        <v>X1701</v>
      </c>
      <c r="D339" t="str">
        <f>$D$245</f>
        <v>WARDS_RETAIL_SALES_UNITS</v>
      </c>
      <c r="E339" t="str">
        <f>$E$245</f>
        <v>Dynamic</v>
      </c>
      <c r="F339" t="str">
        <f ca="1">_xll.BDH($B$245,$C$245,$B$292,$B$293,CONCATENATE("Per=",$B$290),"Dts=H","Dir=H",CONCATENATE("Points=",$B$291),"Sort=R","Days=A","Fill=B","DZ665=20497962","X0012=Class 6-7","X0001=NAUS",CONCATENATE("FX=", $B$289) )</f>
        <v/>
      </c>
      <c r="AT339" t="str">
        <f>""</f>
        <v/>
      </c>
      <c r="AU339" t="str">
        <f>""</f>
        <v/>
      </c>
      <c r="AV339" t="str">
        <f>""</f>
        <v/>
      </c>
      <c r="AW339" t="str">
        <f>""</f>
        <v/>
      </c>
      <c r="AX339" t="str">
        <f>""</f>
        <v/>
      </c>
      <c r="AY339" t="str">
        <f>""</f>
        <v/>
      </c>
      <c r="AZ339" t="str">
        <f>""</f>
        <v/>
      </c>
      <c r="BA339" t="str">
        <f>""</f>
        <v/>
      </c>
      <c r="BB339" t="str">
        <f>""</f>
        <v/>
      </c>
      <c r="BC339" t="str">
        <f>""</f>
        <v/>
      </c>
      <c r="BD339" t="str">
        <f>""</f>
        <v/>
      </c>
      <c r="BE339" t="str">
        <f>""</f>
        <v/>
      </c>
      <c r="BF339" t="str">
        <f>""</f>
        <v/>
      </c>
      <c r="BG339" t="str">
        <f>""</f>
        <v/>
      </c>
      <c r="BH339" t="str">
        <f>""</f>
        <v/>
      </c>
      <c r="BI339" t="str">
        <f>""</f>
        <v/>
      </c>
      <c r="BJ339" t="str">
        <f>""</f>
        <v/>
      </c>
      <c r="BK339" t="str">
        <f>""</f>
        <v/>
      </c>
      <c r="BL339" t="str">
        <f>""</f>
        <v/>
      </c>
      <c r="BM339" t="str">
        <f>""</f>
        <v/>
      </c>
      <c r="BN339" t="str">
        <f>""</f>
        <v/>
      </c>
      <c r="BO339" t="str">
        <f>""</f>
        <v/>
      </c>
      <c r="BP339" t="str">
        <f>""</f>
        <v/>
      </c>
      <c r="BQ339" t="str">
        <f>""</f>
        <v/>
      </c>
      <c r="BR339" t="str">
        <f>""</f>
        <v/>
      </c>
      <c r="BS339" t="str">
        <f>""</f>
        <v/>
      </c>
      <c r="BT339" t="str">
        <f>""</f>
        <v/>
      </c>
      <c r="BU339" t="str">
        <f>""</f>
        <v/>
      </c>
      <c r="BV339" t="str">
        <f>""</f>
        <v/>
      </c>
      <c r="BW339" t="str">
        <f>""</f>
        <v/>
      </c>
      <c r="BX339" t="str">
        <f>""</f>
        <v/>
      </c>
      <c r="BY339" t="str">
        <f>""</f>
        <v/>
      </c>
      <c r="BZ339" t="str">
        <f>""</f>
        <v/>
      </c>
      <c r="CA339" t="str">
        <f>""</f>
        <v/>
      </c>
      <c r="CB339" t="str">
        <f>""</f>
        <v/>
      </c>
      <c r="CC339" t="str">
        <f>""</f>
        <v/>
      </c>
      <c r="CD339" t="str">
        <f>""</f>
        <v/>
      </c>
      <c r="CE339" t="str">
        <f>""</f>
        <v/>
      </c>
      <c r="CF339" t="str">
        <f>""</f>
        <v/>
      </c>
      <c r="CG339" t="str">
        <f>""</f>
        <v/>
      </c>
    </row>
    <row r="340" spans="1:85" x14ac:dyDescent="0.25">
      <c r="A340" t="str">
        <f>$A$246</f>
        <v xml:space="preserve">    General Motors - GMC</v>
      </c>
      <c r="B340" t="str">
        <f>$B$246</f>
        <v>MTLQQ US Equity</v>
      </c>
      <c r="C340" t="str">
        <f>$C$246</f>
        <v>X1701</v>
      </c>
      <c r="D340" t="str">
        <f>$D$246</f>
        <v>WARDS_RETAIL_SALES_UNITS</v>
      </c>
      <c r="E340" t="str">
        <f>$E$246</f>
        <v>Dynamic</v>
      </c>
      <c r="F340" t="str">
        <f ca="1">_xll.BDH($B$246,$C$246,$B$292,$B$293,CONCATENATE("Per=",$B$290),"Dts=H","Dir=H",CONCATENATE("Points=",$B$291),"Sort=R","Days=A","Fill=B","DZ665=261177","X0012=Class 6-7","X0001=NAUS",CONCATENATE("FX=", $B$289) )</f>
        <v/>
      </c>
      <c r="AT340" t="str">
        <f>""</f>
        <v/>
      </c>
      <c r="AU340" t="str">
        <f>""</f>
        <v/>
      </c>
      <c r="AV340" t="str">
        <f>""</f>
        <v/>
      </c>
      <c r="AW340" t="str">
        <f>""</f>
        <v/>
      </c>
      <c r="AX340" t="str">
        <f>""</f>
        <v/>
      </c>
      <c r="AY340" t="str">
        <f>""</f>
        <v/>
      </c>
      <c r="AZ340" t="str">
        <f>""</f>
        <v/>
      </c>
      <c r="BA340" t="str">
        <f>""</f>
        <v/>
      </c>
      <c r="BB340" t="str">
        <f>""</f>
        <v/>
      </c>
      <c r="BC340" t="str">
        <f>""</f>
        <v/>
      </c>
      <c r="BD340" t="str">
        <f>""</f>
        <v/>
      </c>
      <c r="BE340" t="str">
        <f>""</f>
        <v/>
      </c>
      <c r="BF340" t="str">
        <f>""</f>
        <v/>
      </c>
      <c r="BG340" t="str">
        <f>""</f>
        <v/>
      </c>
      <c r="BH340" t="str">
        <f>""</f>
        <v/>
      </c>
      <c r="BI340" t="str">
        <f>""</f>
        <v/>
      </c>
      <c r="BJ340" t="str">
        <f>""</f>
        <v/>
      </c>
      <c r="BK340" t="str">
        <f>""</f>
        <v/>
      </c>
      <c r="BL340" t="str">
        <f>""</f>
        <v/>
      </c>
      <c r="BM340" t="str">
        <f>""</f>
        <v/>
      </c>
      <c r="BN340" t="str">
        <f>""</f>
        <v/>
      </c>
      <c r="BO340" t="str">
        <f>""</f>
        <v/>
      </c>
      <c r="BP340" t="str">
        <f>""</f>
        <v/>
      </c>
      <c r="BQ340" t="str">
        <f>""</f>
        <v/>
      </c>
      <c r="BR340" t="str">
        <f>""</f>
        <v/>
      </c>
      <c r="BS340" t="str">
        <f>""</f>
        <v/>
      </c>
      <c r="BT340" t="str">
        <f>""</f>
        <v/>
      </c>
      <c r="BU340" t="str">
        <f>""</f>
        <v/>
      </c>
      <c r="BV340" t="str">
        <f>""</f>
        <v/>
      </c>
      <c r="BW340" t="str">
        <f>""</f>
        <v/>
      </c>
      <c r="BX340" t="str">
        <f>""</f>
        <v/>
      </c>
      <c r="BY340" t="str">
        <f>""</f>
        <v/>
      </c>
      <c r="BZ340" t="str">
        <f>""</f>
        <v/>
      </c>
      <c r="CA340" t="str">
        <f>""</f>
        <v/>
      </c>
      <c r="CB340" t="str">
        <f>""</f>
        <v/>
      </c>
      <c r="CC340" t="str">
        <f>""</f>
        <v/>
      </c>
      <c r="CD340" t="str">
        <f>""</f>
        <v/>
      </c>
      <c r="CE340" t="str">
        <f>""</f>
        <v/>
      </c>
      <c r="CF340" t="str">
        <f>""</f>
        <v/>
      </c>
      <c r="CG340" t="str">
        <f>""</f>
        <v/>
      </c>
    </row>
    <row r="341" spans="1:85" x14ac:dyDescent="0.25">
      <c r="A341" t="str">
        <f>$A$247</f>
        <v xml:space="preserve">    General Motors - Chevrolet</v>
      </c>
      <c r="B341" t="str">
        <f>$B$247</f>
        <v>MTLQQ US Equity</v>
      </c>
      <c r="C341" t="str">
        <f>$C$247</f>
        <v>X1701</v>
      </c>
      <c r="D341" t="str">
        <f>$D$247</f>
        <v>WARDS_RETAIL_SALES_UNITS</v>
      </c>
      <c r="E341" t="str">
        <f>$E$247</f>
        <v>Dynamic</v>
      </c>
      <c r="F341" t="str">
        <f ca="1">_xll.BDH($B$247,$C$247,$B$292,$B$293,CONCATENATE("Per=",$B$290),"Dts=H","Dir=H",CONCATENATE("Points=",$B$291),"Sort=R","Days=A","Fill=B","DZ665=261172","X0012=Class 6-7","X0001=NAUS",CONCATENATE("FX=", $B$289) )</f>
        <v/>
      </c>
      <c r="AT341" t="str">
        <f>""</f>
        <v/>
      </c>
      <c r="AU341" t="str">
        <f>""</f>
        <v/>
      </c>
      <c r="AV341" t="str">
        <f>""</f>
        <v/>
      </c>
      <c r="AW341" t="str">
        <f>""</f>
        <v/>
      </c>
      <c r="AX341" t="str">
        <f>""</f>
        <v/>
      </c>
      <c r="AY341" t="str">
        <f>""</f>
        <v/>
      </c>
      <c r="AZ341" t="str">
        <f>""</f>
        <v/>
      </c>
      <c r="BA341" t="str">
        <f>""</f>
        <v/>
      </c>
      <c r="BB341" t="str">
        <f>""</f>
        <v/>
      </c>
      <c r="BC341" t="str">
        <f>""</f>
        <v/>
      </c>
      <c r="BD341" t="str">
        <f>""</f>
        <v/>
      </c>
      <c r="BE341" t="str">
        <f>""</f>
        <v/>
      </c>
      <c r="BF341" t="str">
        <f>""</f>
        <v/>
      </c>
      <c r="BG341" t="str">
        <f>""</f>
        <v/>
      </c>
      <c r="BH341" t="str">
        <f>""</f>
        <v/>
      </c>
      <c r="BI341" t="str">
        <f>""</f>
        <v/>
      </c>
      <c r="BJ341" t="str">
        <f>""</f>
        <v/>
      </c>
      <c r="BK341" t="str">
        <f>""</f>
        <v/>
      </c>
      <c r="BL341" t="str">
        <f>""</f>
        <v/>
      </c>
      <c r="BM341" t="str">
        <f>""</f>
        <v/>
      </c>
      <c r="BN341" t="str">
        <f>""</f>
        <v/>
      </c>
      <c r="BO341" t="str">
        <f>""</f>
        <v/>
      </c>
      <c r="BP341" t="str">
        <f>""</f>
        <v/>
      </c>
      <c r="BQ341" t="str">
        <f>""</f>
        <v/>
      </c>
      <c r="BR341" t="str">
        <f>""</f>
        <v/>
      </c>
      <c r="BS341" t="str">
        <f>""</f>
        <v/>
      </c>
      <c r="BT341" t="str">
        <f>""</f>
        <v/>
      </c>
      <c r="BU341" t="str">
        <f>""</f>
        <v/>
      </c>
      <c r="BV341" t="str">
        <f>""</f>
        <v/>
      </c>
      <c r="BW341" t="str">
        <f>""</f>
        <v/>
      </c>
      <c r="BX341" t="str">
        <f>""</f>
        <v/>
      </c>
      <c r="BY341" t="str">
        <f>""</f>
        <v/>
      </c>
      <c r="BZ341" t="str">
        <f>""</f>
        <v/>
      </c>
      <c r="CA341" t="str">
        <f>""</f>
        <v/>
      </c>
      <c r="CB341" t="str">
        <f>""</f>
        <v/>
      </c>
      <c r="CC341" t="str">
        <f>""</f>
        <v/>
      </c>
      <c r="CD341" t="str">
        <f>""</f>
        <v/>
      </c>
      <c r="CE341" t="str">
        <f>""</f>
        <v/>
      </c>
      <c r="CF341" t="str">
        <f>""</f>
        <v/>
      </c>
      <c r="CG341" t="str">
        <f>""</f>
        <v/>
      </c>
    </row>
    <row r="342" spans="1:85" x14ac:dyDescent="0.25">
      <c r="A342" t="str">
        <f>$A$248</f>
        <v xml:space="preserve">    Isuzu</v>
      </c>
      <c r="B342" t="str">
        <f>$B$248</f>
        <v>7202 JP Equity</v>
      </c>
      <c r="C342" t="str">
        <f>$C$248</f>
        <v>X1701</v>
      </c>
      <c r="D342" t="str">
        <f>$D$248</f>
        <v>WARDS_RETAIL_SALES_UNITS</v>
      </c>
      <c r="E342" t="str">
        <f>$E$248</f>
        <v>Dynamic</v>
      </c>
      <c r="F342" t="str">
        <f ca="1">_xll.BDH($B$248,$C$248,$B$292,$B$293,CONCATENATE("Per=",$B$290),"Dts=H","Dir=H",CONCATENATE("Points=",$B$291),"Sort=R","Days=A","Fill=B","DZ665=25574533","X0012=Class 6-7","X0001=NAUS","DS276=Y",CONCATENATE("FX=", $B$289),"cols=40;rows=1")</f>
        <v/>
      </c>
      <c r="G342">
        <v>57</v>
      </c>
      <c r="H342">
        <v>38</v>
      </c>
      <c r="I342">
        <v>25</v>
      </c>
      <c r="J342">
        <v>4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T342" t="str">
        <f>""</f>
        <v/>
      </c>
      <c r="AU342" t="str">
        <f>""</f>
        <v/>
      </c>
      <c r="AV342" t="str">
        <f>""</f>
        <v/>
      </c>
      <c r="AW342" t="str">
        <f>""</f>
        <v/>
      </c>
      <c r="AX342" t="str">
        <f>""</f>
        <v/>
      </c>
      <c r="AY342" t="str">
        <f>""</f>
        <v/>
      </c>
      <c r="AZ342" t="str">
        <f>""</f>
        <v/>
      </c>
      <c r="BA342" t="str">
        <f>""</f>
        <v/>
      </c>
      <c r="BB342" t="str">
        <f>""</f>
        <v/>
      </c>
      <c r="BC342" t="str">
        <f>""</f>
        <v/>
      </c>
      <c r="BD342" t="str">
        <f>""</f>
        <v/>
      </c>
      <c r="BE342" t="str">
        <f>""</f>
        <v/>
      </c>
      <c r="BF342" t="str">
        <f>""</f>
        <v/>
      </c>
      <c r="BG342" t="str">
        <f>""</f>
        <v/>
      </c>
      <c r="BH342" t="str">
        <f>""</f>
        <v/>
      </c>
      <c r="BI342" t="str">
        <f>""</f>
        <v/>
      </c>
      <c r="BJ342" t="str">
        <f>""</f>
        <v/>
      </c>
      <c r="BK342" t="str">
        <f>""</f>
        <v/>
      </c>
      <c r="BL342" t="str">
        <f>""</f>
        <v/>
      </c>
      <c r="BM342" t="str">
        <f>""</f>
        <v/>
      </c>
      <c r="BN342" t="str">
        <f>""</f>
        <v/>
      </c>
      <c r="BO342" t="str">
        <f>""</f>
        <v/>
      </c>
      <c r="BP342" t="str">
        <f>""</f>
        <v/>
      </c>
      <c r="BQ342" t="str">
        <f>""</f>
        <v/>
      </c>
      <c r="BR342" t="str">
        <f>""</f>
        <v/>
      </c>
      <c r="BS342" t="str">
        <f>""</f>
        <v/>
      </c>
      <c r="BT342" t="str">
        <f>""</f>
        <v/>
      </c>
      <c r="BU342" t="str">
        <f>""</f>
        <v/>
      </c>
      <c r="BV342" t="str">
        <f>""</f>
        <v/>
      </c>
      <c r="BW342" t="str">
        <f>""</f>
        <v/>
      </c>
      <c r="BX342" t="str">
        <f>""</f>
        <v/>
      </c>
      <c r="BY342" t="str">
        <f>""</f>
        <v/>
      </c>
      <c r="BZ342" t="str">
        <f>""</f>
        <v/>
      </c>
      <c r="CA342" t="str">
        <f>""</f>
        <v/>
      </c>
      <c r="CB342" t="str">
        <f>""</f>
        <v/>
      </c>
      <c r="CC342" t="str">
        <f>""</f>
        <v/>
      </c>
      <c r="CD342" t="str">
        <f>""</f>
        <v/>
      </c>
      <c r="CE342" t="str">
        <f>""</f>
        <v/>
      </c>
      <c r="CF342" t="str">
        <f>""</f>
        <v/>
      </c>
      <c r="CG342" t="str">
        <f>""</f>
        <v/>
      </c>
    </row>
    <row r="343" spans="1:85" x14ac:dyDescent="0.25">
      <c r="A343" t="str">
        <f>$A$250</f>
        <v>Canada (Class 6-7)</v>
      </c>
      <c r="B343" t="str">
        <f>$B$250</f>
        <v>TRCKCA6S Index</v>
      </c>
      <c r="C343" t="str">
        <f>$C$250</f>
        <v>PR005</v>
      </c>
      <c r="D343" t="str">
        <f>$D$250</f>
        <v>PX_LAST</v>
      </c>
      <c r="E343" t="str">
        <f>$E$250</f>
        <v>Dynamic</v>
      </c>
      <c r="F343" t="str">
        <f ca="1">_xll.BDH($B$250,$C$250,$B$292,$B$293,CONCATENATE("Per=",$B$290),"Dts=H","Dir=H",CONCATENATE("Points=",$B$291),"Sort=R","Days=A","Fill=B",CONCATENATE("FX=", $B$289),"cols=40;rows=1")</f>
        <v/>
      </c>
      <c r="H343">
        <v>598</v>
      </c>
      <c r="I343">
        <v>794</v>
      </c>
      <c r="J343">
        <v>390</v>
      </c>
      <c r="K343">
        <v>503</v>
      </c>
      <c r="L343">
        <v>446</v>
      </c>
      <c r="M343">
        <v>535</v>
      </c>
      <c r="N343">
        <v>573</v>
      </c>
      <c r="O343">
        <v>469</v>
      </c>
      <c r="P343">
        <v>473</v>
      </c>
      <c r="Q343">
        <v>318</v>
      </c>
      <c r="R343">
        <v>289</v>
      </c>
      <c r="S343">
        <v>398</v>
      </c>
      <c r="T343">
        <v>381</v>
      </c>
      <c r="U343">
        <v>779</v>
      </c>
      <c r="V343">
        <v>510</v>
      </c>
      <c r="W343">
        <v>411</v>
      </c>
      <c r="X343">
        <v>434</v>
      </c>
      <c r="Y343">
        <v>446</v>
      </c>
      <c r="Z343">
        <v>516</v>
      </c>
      <c r="AA343">
        <v>438</v>
      </c>
      <c r="AB343">
        <v>483</v>
      </c>
      <c r="AC343">
        <v>353</v>
      </c>
      <c r="AD343">
        <v>386</v>
      </c>
      <c r="AE343">
        <v>295</v>
      </c>
      <c r="AF343">
        <v>476</v>
      </c>
      <c r="AG343">
        <v>1047</v>
      </c>
      <c r="AH343">
        <v>412</v>
      </c>
      <c r="AI343">
        <v>480</v>
      </c>
      <c r="AJ343">
        <v>537</v>
      </c>
      <c r="AK343">
        <v>613</v>
      </c>
      <c r="AL343">
        <v>520</v>
      </c>
      <c r="AM343">
        <v>561</v>
      </c>
      <c r="AN343">
        <v>512</v>
      </c>
      <c r="AO343">
        <v>245</v>
      </c>
      <c r="AP343">
        <v>439</v>
      </c>
      <c r="AQ343">
        <v>323</v>
      </c>
      <c r="AR343">
        <v>523</v>
      </c>
      <c r="AS343">
        <v>899</v>
      </c>
      <c r="AT343" t="str">
        <f>""</f>
        <v/>
      </c>
      <c r="AU343" t="str">
        <f>""</f>
        <v/>
      </c>
      <c r="AV343" t="str">
        <f>""</f>
        <v/>
      </c>
      <c r="AW343" t="str">
        <f>""</f>
        <v/>
      </c>
      <c r="AX343" t="str">
        <f>""</f>
        <v/>
      </c>
      <c r="AY343" t="str">
        <f>""</f>
        <v/>
      </c>
      <c r="AZ343" t="str">
        <f>""</f>
        <v/>
      </c>
      <c r="BA343" t="str">
        <f>""</f>
        <v/>
      </c>
      <c r="BB343" t="str">
        <f>""</f>
        <v/>
      </c>
      <c r="BC343" t="str">
        <f>""</f>
        <v/>
      </c>
      <c r="BD343" t="str">
        <f>""</f>
        <v/>
      </c>
      <c r="BE343" t="str">
        <f>""</f>
        <v/>
      </c>
      <c r="BF343" t="str">
        <f>""</f>
        <v/>
      </c>
      <c r="BG343" t="str">
        <f>""</f>
        <v/>
      </c>
      <c r="BH343" t="str">
        <f>""</f>
        <v/>
      </c>
      <c r="BI343" t="str">
        <f>""</f>
        <v/>
      </c>
      <c r="BJ343" t="str">
        <f>""</f>
        <v/>
      </c>
      <c r="BK343" t="str">
        <f>""</f>
        <v/>
      </c>
      <c r="BL343" t="str">
        <f>""</f>
        <v/>
      </c>
      <c r="BM343" t="str">
        <f>""</f>
        <v/>
      </c>
      <c r="BN343" t="str">
        <f>""</f>
        <v/>
      </c>
      <c r="BO343" t="str">
        <f>""</f>
        <v/>
      </c>
      <c r="BP343" t="str">
        <f>""</f>
        <v/>
      </c>
      <c r="BQ343" t="str">
        <f>""</f>
        <v/>
      </c>
      <c r="BR343" t="str">
        <f>""</f>
        <v/>
      </c>
      <c r="BS343" t="str">
        <f>""</f>
        <v/>
      </c>
      <c r="BT343" t="str">
        <f>""</f>
        <v/>
      </c>
      <c r="BU343" t="str">
        <f>""</f>
        <v/>
      </c>
      <c r="BV343" t="str">
        <f>""</f>
        <v/>
      </c>
      <c r="BW343" t="str">
        <f>""</f>
        <v/>
      </c>
      <c r="BX343" t="str">
        <f>""</f>
        <v/>
      </c>
      <c r="BY343" t="str">
        <f>""</f>
        <v/>
      </c>
      <c r="BZ343" t="str">
        <f>""</f>
        <v/>
      </c>
      <c r="CA343" t="str">
        <f>""</f>
        <v/>
      </c>
      <c r="CB343" t="str">
        <f>""</f>
        <v/>
      </c>
      <c r="CC343" t="str">
        <f>""</f>
        <v/>
      </c>
      <c r="CD343" t="str">
        <f>""</f>
        <v/>
      </c>
      <c r="CE343" t="str">
        <f>""</f>
        <v/>
      </c>
      <c r="CF343" t="str">
        <f>""</f>
        <v/>
      </c>
      <c r="CG343" t="str">
        <f>""</f>
        <v/>
      </c>
    </row>
    <row r="344" spans="1:85" x14ac:dyDescent="0.25">
      <c r="A344" t="str">
        <f>$A$251</f>
        <v xml:space="preserve">    Navistar - International</v>
      </c>
      <c r="B344" t="str">
        <f>$B$251</f>
        <v>NAV US Equity</v>
      </c>
      <c r="C344" t="str">
        <f>$C$251</f>
        <v>X1701</v>
      </c>
      <c r="D344" t="str">
        <f>$D$251</f>
        <v>WARDS_RETAIL_SALES_UNITS</v>
      </c>
      <c r="E344" t="str">
        <f>$E$251</f>
        <v>Dynamic</v>
      </c>
      <c r="F344" t="str">
        <f ca="1">_xll.BDH($B$251,$C$251,$B$292,$B$293,CONCATENATE("Per=",$B$290),"Dts=H","Dir=H",CONCATENATE("Points=",$B$291),"Sort=R","Days=A","Fill=B","DZ665=377405","X0012=Class 6-7","X0001=NACA",CONCATENATE("FX=", $B$289),"cols=40;rows=1")</f>
        <v/>
      </c>
      <c r="G344">
        <v>309</v>
      </c>
      <c r="H344">
        <v>439</v>
      </c>
      <c r="I344">
        <v>142</v>
      </c>
      <c r="J344">
        <v>155</v>
      </c>
      <c r="K344">
        <v>121</v>
      </c>
      <c r="L344">
        <v>153</v>
      </c>
      <c r="M344">
        <v>143</v>
      </c>
      <c r="N344">
        <v>188</v>
      </c>
      <c r="O344">
        <v>170</v>
      </c>
      <c r="P344">
        <v>77</v>
      </c>
      <c r="Q344">
        <v>92</v>
      </c>
      <c r="R344">
        <v>97</v>
      </c>
      <c r="S344">
        <v>177</v>
      </c>
      <c r="T344">
        <v>510</v>
      </c>
      <c r="U344">
        <v>265</v>
      </c>
      <c r="V344">
        <v>160</v>
      </c>
      <c r="W344">
        <v>149</v>
      </c>
      <c r="X344">
        <v>115</v>
      </c>
      <c r="Y344">
        <v>215</v>
      </c>
      <c r="Z344">
        <v>168</v>
      </c>
      <c r="AA344">
        <v>167</v>
      </c>
      <c r="AB344">
        <v>97</v>
      </c>
      <c r="AC344">
        <v>79</v>
      </c>
      <c r="AD344">
        <v>41</v>
      </c>
      <c r="AE344">
        <v>200</v>
      </c>
      <c r="AF344">
        <v>778</v>
      </c>
      <c r="AG344">
        <v>150</v>
      </c>
      <c r="AH344">
        <v>217</v>
      </c>
      <c r="AI344">
        <v>247</v>
      </c>
      <c r="AJ344">
        <v>175</v>
      </c>
      <c r="AK344">
        <v>206</v>
      </c>
      <c r="AL344">
        <v>203</v>
      </c>
      <c r="AM344">
        <v>111</v>
      </c>
      <c r="AN344">
        <v>87</v>
      </c>
      <c r="AO344">
        <v>114</v>
      </c>
      <c r="AP344">
        <v>63</v>
      </c>
      <c r="AQ344">
        <v>240</v>
      </c>
      <c r="AR344">
        <v>653</v>
      </c>
      <c r="AS344">
        <v>122</v>
      </c>
      <c r="AT344" t="str">
        <f>""</f>
        <v/>
      </c>
      <c r="AU344" t="str">
        <f>""</f>
        <v/>
      </c>
      <c r="AV344" t="str">
        <f>""</f>
        <v/>
      </c>
      <c r="AW344" t="str">
        <f>""</f>
        <v/>
      </c>
      <c r="AX344" t="str">
        <f>""</f>
        <v/>
      </c>
      <c r="AY344" t="str">
        <f>""</f>
        <v/>
      </c>
      <c r="AZ344" t="str">
        <f>""</f>
        <v/>
      </c>
      <c r="BA344" t="str">
        <f>""</f>
        <v/>
      </c>
      <c r="BB344" t="str">
        <f>""</f>
        <v/>
      </c>
      <c r="BC344" t="str">
        <f>""</f>
        <v/>
      </c>
      <c r="BD344" t="str">
        <f>""</f>
        <v/>
      </c>
      <c r="BE344" t="str">
        <f>""</f>
        <v/>
      </c>
      <c r="BF344" t="str">
        <f>""</f>
        <v/>
      </c>
      <c r="BG344" t="str">
        <f>""</f>
        <v/>
      </c>
      <c r="BH344" t="str">
        <f>""</f>
        <v/>
      </c>
      <c r="BI344" t="str">
        <f>""</f>
        <v/>
      </c>
      <c r="BJ344" t="str">
        <f>""</f>
        <v/>
      </c>
      <c r="BK344" t="str">
        <f>""</f>
        <v/>
      </c>
      <c r="BL344" t="str">
        <f>""</f>
        <v/>
      </c>
      <c r="BM344" t="str">
        <f>""</f>
        <v/>
      </c>
      <c r="BN344" t="str">
        <f>""</f>
        <v/>
      </c>
      <c r="BO344" t="str">
        <f>""</f>
        <v/>
      </c>
      <c r="BP344" t="str">
        <f>""</f>
        <v/>
      </c>
      <c r="BQ344" t="str">
        <f>""</f>
        <v/>
      </c>
      <c r="BR344" t="str">
        <f>""</f>
        <v/>
      </c>
      <c r="BS344" t="str">
        <f>""</f>
        <v/>
      </c>
      <c r="BT344" t="str">
        <f>""</f>
        <v/>
      </c>
      <c r="BU344" t="str">
        <f>""</f>
        <v/>
      </c>
      <c r="BV344" t="str">
        <f>""</f>
        <v/>
      </c>
      <c r="BW344" t="str">
        <f>""</f>
        <v/>
      </c>
      <c r="BX344" t="str">
        <f>""</f>
        <v/>
      </c>
      <c r="BY344" t="str">
        <f>""</f>
        <v/>
      </c>
      <c r="BZ344" t="str">
        <f>""</f>
        <v/>
      </c>
      <c r="CA344" t="str">
        <f>""</f>
        <v/>
      </c>
      <c r="CB344" t="str">
        <f>""</f>
        <v/>
      </c>
      <c r="CC344" t="str">
        <f>""</f>
        <v/>
      </c>
      <c r="CD344" t="str">
        <f>""</f>
        <v/>
      </c>
      <c r="CE344" t="str">
        <f>""</f>
        <v/>
      </c>
      <c r="CF344" t="str">
        <f>""</f>
        <v/>
      </c>
      <c r="CG344" t="str">
        <f>""</f>
        <v/>
      </c>
    </row>
    <row r="345" spans="1:85" x14ac:dyDescent="0.25">
      <c r="A345" t="str">
        <f>$A$252</f>
        <v xml:space="preserve">    PACCAR - Kenworth</v>
      </c>
      <c r="B345" t="str">
        <f>$B$252</f>
        <v>PCAR US Equity</v>
      </c>
      <c r="C345" t="str">
        <f>$C$252</f>
        <v>X1701</v>
      </c>
      <c r="D345" t="str">
        <f>$D$252</f>
        <v>WARDS_RETAIL_SALES_UNITS</v>
      </c>
      <c r="E345" t="str">
        <f>$E$252</f>
        <v>Dynamic</v>
      </c>
      <c r="F345" t="str">
        <f ca="1">_xll.BDH($B$252,$C$252,$B$292,$B$293,CONCATENATE("Per=",$B$290),"Dts=H","Dir=H",CONCATENATE("Points=",$B$291),"Sort=R","Days=A","Fill=B","DZ665=267317","X0012=Class 6-7","X0001=NACA",CONCATENATE("FX=", $B$289),"cols=40;rows=1")</f>
        <v/>
      </c>
      <c r="G345">
        <v>50</v>
      </c>
      <c r="H345">
        <v>52</v>
      </c>
      <c r="I345">
        <v>25</v>
      </c>
      <c r="J345">
        <v>53</v>
      </c>
      <c r="K345">
        <v>52</v>
      </c>
      <c r="L345">
        <v>61</v>
      </c>
      <c r="M345">
        <v>35</v>
      </c>
      <c r="N345">
        <v>35</v>
      </c>
      <c r="O345">
        <v>36</v>
      </c>
      <c r="P345">
        <v>29</v>
      </c>
      <c r="Q345">
        <v>29</v>
      </c>
      <c r="R345">
        <v>45</v>
      </c>
      <c r="S345">
        <v>35</v>
      </c>
      <c r="T345">
        <v>33</v>
      </c>
      <c r="U345">
        <v>33</v>
      </c>
      <c r="V345">
        <v>29</v>
      </c>
      <c r="W345">
        <v>43</v>
      </c>
      <c r="X345">
        <v>27</v>
      </c>
      <c r="Y345">
        <v>46</v>
      </c>
      <c r="Z345">
        <v>28</v>
      </c>
      <c r="AA345">
        <v>37</v>
      </c>
      <c r="AB345">
        <v>32</v>
      </c>
      <c r="AC345">
        <v>42</v>
      </c>
      <c r="AD345">
        <v>33</v>
      </c>
      <c r="AE345">
        <v>36</v>
      </c>
      <c r="AF345">
        <v>51</v>
      </c>
      <c r="AG345">
        <v>45</v>
      </c>
      <c r="AH345">
        <v>26</v>
      </c>
      <c r="AI345">
        <v>56</v>
      </c>
      <c r="AJ345">
        <v>93</v>
      </c>
      <c r="AK345">
        <v>30</v>
      </c>
      <c r="AL345">
        <v>44</v>
      </c>
      <c r="AM345">
        <v>35</v>
      </c>
      <c r="AN345">
        <v>20</v>
      </c>
      <c r="AO345">
        <v>42</v>
      </c>
      <c r="AP345">
        <v>36</v>
      </c>
      <c r="AQ345">
        <v>53</v>
      </c>
      <c r="AR345">
        <v>19</v>
      </c>
      <c r="AS345">
        <v>56</v>
      </c>
      <c r="AT345" t="str">
        <f>""</f>
        <v/>
      </c>
      <c r="AU345" t="str">
        <f>""</f>
        <v/>
      </c>
      <c r="AV345" t="str">
        <f>""</f>
        <v/>
      </c>
      <c r="AW345" t="str">
        <f>""</f>
        <v/>
      </c>
      <c r="AX345" t="str">
        <f>""</f>
        <v/>
      </c>
      <c r="AY345" t="str">
        <f>""</f>
        <v/>
      </c>
      <c r="AZ345" t="str">
        <f>""</f>
        <v/>
      </c>
      <c r="BA345" t="str">
        <f>""</f>
        <v/>
      </c>
      <c r="BB345" t="str">
        <f>""</f>
        <v/>
      </c>
      <c r="BC345" t="str">
        <f>""</f>
        <v/>
      </c>
      <c r="BD345" t="str">
        <f>""</f>
        <v/>
      </c>
      <c r="BE345" t="str">
        <f>""</f>
        <v/>
      </c>
      <c r="BF345" t="str">
        <f>""</f>
        <v/>
      </c>
      <c r="BG345" t="str">
        <f>""</f>
        <v/>
      </c>
      <c r="BH345" t="str">
        <f>""</f>
        <v/>
      </c>
      <c r="BI345" t="str">
        <f>""</f>
        <v/>
      </c>
      <c r="BJ345" t="str">
        <f>""</f>
        <v/>
      </c>
      <c r="BK345" t="str">
        <f>""</f>
        <v/>
      </c>
      <c r="BL345" t="str">
        <f>""</f>
        <v/>
      </c>
      <c r="BM345" t="str">
        <f>""</f>
        <v/>
      </c>
      <c r="BN345" t="str">
        <f>""</f>
        <v/>
      </c>
      <c r="BO345" t="str">
        <f>""</f>
        <v/>
      </c>
      <c r="BP345" t="str">
        <f>""</f>
        <v/>
      </c>
      <c r="BQ345" t="str">
        <f>""</f>
        <v/>
      </c>
      <c r="BR345" t="str">
        <f>""</f>
        <v/>
      </c>
      <c r="BS345" t="str">
        <f>""</f>
        <v/>
      </c>
      <c r="BT345" t="str">
        <f>""</f>
        <v/>
      </c>
      <c r="BU345" t="str">
        <f>""</f>
        <v/>
      </c>
      <c r="BV345" t="str">
        <f>""</f>
        <v/>
      </c>
      <c r="BW345" t="str">
        <f>""</f>
        <v/>
      </c>
      <c r="BX345" t="str">
        <f>""</f>
        <v/>
      </c>
      <c r="BY345" t="str">
        <f>""</f>
        <v/>
      </c>
      <c r="BZ345" t="str">
        <f>""</f>
        <v/>
      </c>
      <c r="CA345" t="str">
        <f>""</f>
        <v/>
      </c>
      <c r="CB345" t="str">
        <f>""</f>
        <v/>
      </c>
      <c r="CC345" t="str">
        <f>""</f>
        <v/>
      </c>
      <c r="CD345" t="str">
        <f>""</f>
        <v/>
      </c>
      <c r="CE345" t="str">
        <f>""</f>
        <v/>
      </c>
      <c r="CF345" t="str">
        <f>""</f>
        <v/>
      </c>
      <c r="CG345" t="str">
        <f>""</f>
        <v/>
      </c>
    </row>
    <row r="346" spans="1:85" x14ac:dyDescent="0.25">
      <c r="A346" t="str">
        <f>$A$253</f>
        <v xml:space="preserve">    PACCAR - Peterbilt</v>
      </c>
      <c r="B346" t="str">
        <f>$B$253</f>
        <v>PCAR US Equity</v>
      </c>
      <c r="C346" t="str">
        <f>$C$253</f>
        <v>X1701</v>
      </c>
      <c r="D346" t="str">
        <f>$D$253</f>
        <v>WARDS_RETAIL_SALES_UNITS</v>
      </c>
      <c r="E346" t="str">
        <f>$E$253</f>
        <v>Dynamic</v>
      </c>
      <c r="F346" t="str">
        <f ca="1">_xll.BDH($B$253,$C$253,$B$292,$B$293,CONCATENATE("Per=",$B$290),"Dts=H","Dir=H",CONCATENATE("Points=",$B$291),"Sort=R","Days=A","Fill=B","DZ665=267319","X0012=Class 6-7","X0001=NACA",CONCATENATE("FX=", $B$289),"cols=40;rows=1")</f>
        <v/>
      </c>
      <c r="G346">
        <v>40</v>
      </c>
      <c r="H346">
        <v>39</v>
      </c>
      <c r="I346">
        <v>42</v>
      </c>
      <c r="J346">
        <v>37</v>
      </c>
      <c r="K346">
        <v>36</v>
      </c>
      <c r="L346">
        <v>74</v>
      </c>
      <c r="M346">
        <v>45</v>
      </c>
      <c r="N346">
        <v>32</v>
      </c>
      <c r="O346">
        <v>41</v>
      </c>
      <c r="P346">
        <v>22</v>
      </c>
      <c r="Q346">
        <v>21</v>
      </c>
      <c r="R346">
        <v>40</v>
      </c>
      <c r="S346">
        <v>13</v>
      </c>
      <c r="T346">
        <v>18</v>
      </c>
      <c r="U346">
        <v>40</v>
      </c>
      <c r="V346">
        <v>13</v>
      </c>
      <c r="W346">
        <v>44</v>
      </c>
      <c r="X346">
        <v>41</v>
      </c>
      <c r="Y346">
        <v>41</v>
      </c>
      <c r="Z346">
        <v>42</v>
      </c>
      <c r="AA346">
        <v>49</v>
      </c>
      <c r="AB346">
        <v>23</v>
      </c>
      <c r="AC346">
        <v>45</v>
      </c>
      <c r="AD346">
        <v>34</v>
      </c>
      <c r="AE346">
        <v>26</v>
      </c>
      <c r="AF346">
        <v>25</v>
      </c>
      <c r="AG346">
        <v>49</v>
      </c>
      <c r="AH346">
        <v>41</v>
      </c>
      <c r="AI346">
        <v>47</v>
      </c>
      <c r="AJ346">
        <v>84</v>
      </c>
      <c r="AK346">
        <v>93</v>
      </c>
      <c r="AL346">
        <v>54</v>
      </c>
      <c r="AM346">
        <v>41</v>
      </c>
      <c r="AN346">
        <v>33</v>
      </c>
      <c r="AO346">
        <v>64</v>
      </c>
      <c r="AP346">
        <v>61</v>
      </c>
      <c r="AQ346">
        <v>45</v>
      </c>
      <c r="AR346">
        <v>47</v>
      </c>
      <c r="AS346">
        <v>38</v>
      </c>
      <c r="AT346" t="str">
        <f>""</f>
        <v/>
      </c>
      <c r="AU346" t="str">
        <f>""</f>
        <v/>
      </c>
      <c r="AV346" t="str">
        <f>""</f>
        <v/>
      </c>
      <c r="AW346" t="str">
        <f>""</f>
        <v/>
      </c>
      <c r="AX346" t="str">
        <f>""</f>
        <v/>
      </c>
      <c r="AY346" t="str">
        <f>""</f>
        <v/>
      </c>
      <c r="AZ346" t="str">
        <f>""</f>
        <v/>
      </c>
      <c r="BA346" t="str">
        <f>""</f>
        <v/>
      </c>
      <c r="BB346" t="str">
        <f>""</f>
        <v/>
      </c>
      <c r="BC346" t="str">
        <f>""</f>
        <v/>
      </c>
      <c r="BD346" t="str">
        <f>""</f>
        <v/>
      </c>
      <c r="BE346" t="str">
        <f>""</f>
        <v/>
      </c>
      <c r="BF346" t="str">
        <f>""</f>
        <v/>
      </c>
      <c r="BG346" t="str">
        <f>""</f>
        <v/>
      </c>
      <c r="BH346" t="str">
        <f>""</f>
        <v/>
      </c>
      <c r="BI346" t="str">
        <f>""</f>
        <v/>
      </c>
      <c r="BJ346" t="str">
        <f>""</f>
        <v/>
      </c>
      <c r="BK346" t="str">
        <f>""</f>
        <v/>
      </c>
      <c r="BL346" t="str">
        <f>""</f>
        <v/>
      </c>
      <c r="BM346" t="str">
        <f>""</f>
        <v/>
      </c>
      <c r="BN346" t="str">
        <f>""</f>
        <v/>
      </c>
      <c r="BO346" t="str">
        <f>""</f>
        <v/>
      </c>
      <c r="BP346" t="str">
        <f>""</f>
        <v/>
      </c>
      <c r="BQ346" t="str">
        <f>""</f>
        <v/>
      </c>
      <c r="BR346" t="str">
        <f>""</f>
        <v/>
      </c>
      <c r="BS346" t="str">
        <f>""</f>
        <v/>
      </c>
      <c r="BT346" t="str">
        <f>""</f>
        <v/>
      </c>
      <c r="BU346" t="str">
        <f>""</f>
        <v/>
      </c>
      <c r="BV346" t="str">
        <f>""</f>
        <v/>
      </c>
      <c r="BW346" t="str">
        <f>""</f>
        <v/>
      </c>
      <c r="BX346" t="str">
        <f>""</f>
        <v/>
      </c>
      <c r="BY346" t="str">
        <f>""</f>
        <v/>
      </c>
      <c r="BZ346" t="str">
        <f>""</f>
        <v/>
      </c>
      <c r="CA346" t="str">
        <f>""</f>
        <v/>
      </c>
      <c r="CB346" t="str">
        <f>""</f>
        <v/>
      </c>
      <c r="CC346" t="str">
        <f>""</f>
        <v/>
      </c>
      <c r="CD346" t="str">
        <f>""</f>
        <v/>
      </c>
      <c r="CE346" t="str">
        <f>""</f>
        <v/>
      </c>
      <c r="CF346" t="str">
        <f>""</f>
        <v/>
      </c>
      <c r="CG346" t="str">
        <f>""</f>
        <v/>
      </c>
    </row>
    <row r="347" spans="1:85" x14ac:dyDescent="0.25">
      <c r="A347" t="str">
        <f>$A$254</f>
        <v xml:space="preserve">    Daimler - Freightliner</v>
      </c>
      <c r="B347" t="str">
        <f>$B$254</f>
        <v>DAI GR Equity</v>
      </c>
      <c r="C347" t="str">
        <f>$C$254</f>
        <v>X1701</v>
      </c>
      <c r="D347" t="str">
        <f>$D$254</f>
        <v>WARDS_RETAIL_SALES_UNITS</v>
      </c>
      <c r="E347" t="str">
        <f>$E$254</f>
        <v>Dynamic</v>
      </c>
      <c r="F347" t="str">
        <f ca="1">_xll.BDH($B$254,$C$254,$B$292,$B$293,CONCATENATE("Per=",$B$290),"Dts=H","Dir=H",CONCATENATE("Points=",$B$291),"Sort=R","Days=A","Fill=B","DZ665=16578413","X0012=Class 6-7","X0001=NACA",CONCATENATE("FX=", $B$289),"cols=40;rows=1")</f>
        <v/>
      </c>
      <c r="G347">
        <v>67</v>
      </c>
      <c r="H347">
        <v>101</v>
      </c>
      <c r="I347">
        <v>47</v>
      </c>
      <c r="J347">
        <v>103</v>
      </c>
      <c r="K347">
        <v>78</v>
      </c>
      <c r="L347">
        <v>71</v>
      </c>
      <c r="M347">
        <v>179</v>
      </c>
      <c r="N347">
        <v>70</v>
      </c>
      <c r="O347">
        <v>60</v>
      </c>
      <c r="P347">
        <v>66</v>
      </c>
      <c r="Q347">
        <v>51</v>
      </c>
      <c r="R347">
        <v>85</v>
      </c>
      <c r="S347">
        <v>51</v>
      </c>
      <c r="T347">
        <v>72</v>
      </c>
      <c r="U347">
        <v>75</v>
      </c>
      <c r="V347">
        <v>61</v>
      </c>
      <c r="W347">
        <v>77</v>
      </c>
      <c r="X347">
        <v>89</v>
      </c>
      <c r="Y347">
        <v>78</v>
      </c>
      <c r="Z347">
        <v>84</v>
      </c>
      <c r="AA347">
        <v>95</v>
      </c>
      <c r="AB347">
        <v>84</v>
      </c>
      <c r="AC347">
        <v>88</v>
      </c>
      <c r="AD347">
        <v>92</v>
      </c>
      <c r="AE347">
        <v>120</v>
      </c>
      <c r="AF347">
        <v>113</v>
      </c>
      <c r="AG347">
        <v>82</v>
      </c>
      <c r="AH347">
        <v>96</v>
      </c>
      <c r="AI347">
        <v>77</v>
      </c>
      <c r="AJ347">
        <v>155</v>
      </c>
      <c r="AK347">
        <v>81</v>
      </c>
      <c r="AL347">
        <v>158</v>
      </c>
      <c r="AM347">
        <v>254</v>
      </c>
      <c r="AN347">
        <v>53</v>
      </c>
      <c r="AO347">
        <v>121</v>
      </c>
      <c r="AP347">
        <v>88</v>
      </c>
      <c r="AQ347">
        <v>106</v>
      </c>
      <c r="AR347">
        <v>96</v>
      </c>
      <c r="AS347">
        <v>95</v>
      </c>
      <c r="AT347" t="str">
        <f>""</f>
        <v/>
      </c>
      <c r="AU347" t="str">
        <f>""</f>
        <v/>
      </c>
      <c r="AV347" t="str">
        <f>""</f>
        <v/>
      </c>
      <c r="AW347" t="str">
        <f>""</f>
        <v/>
      </c>
      <c r="AX347" t="str">
        <f>""</f>
        <v/>
      </c>
      <c r="AY347" t="str">
        <f>""</f>
        <v/>
      </c>
      <c r="AZ347" t="str">
        <f>""</f>
        <v/>
      </c>
      <c r="BA347" t="str">
        <f>""</f>
        <v/>
      </c>
      <c r="BB347" t="str">
        <f>""</f>
        <v/>
      </c>
      <c r="BC347" t="str">
        <f>""</f>
        <v/>
      </c>
      <c r="BD347" t="str">
        <f>""</f>
        <v/>
      </c>
      <c r="BE347" t="str">
        <f>""</f>
        <v/>
      </c>
      <c r="BF347" t="str">
        <f>""</f>
        <v/>
      </c>
      <c r="BG347" t="str">
        <f>""</f>
        <v/>
      </c>
      <c r="BH347" t="str">
        <f>""</f>
        <v/>
      </c>
      <c r="BI347" t="str">
        <f>""</f>
        <v/>
      </c>
      <c r="BJ347" t="str">
        <f>""</f>
        <v/>
      </c>
      <c r="BK347" t="str">
        <f>""</f>
        <v/>
      </c>
      <c r="BL347" t="str">
        <f>""</f>
        <v/>
      </c>
      <c r="BM347" t="str">
        <f>""</f>
        <v/>
      </c>
      <c r="BN347" t="str">
        <f>""</f>
        <v/>
      </c>
      <c r="BO347" t="str">
        <f>""</f>
        <v/>
      </c>
      <c r="BP347" t="str">
        <f>""</f>
        <v/>
      </c>
      <c r="BQ347" t="str">
        <f>""</f>
        <v/>
      </c>
      <c r="BR347" t="str">
        <f>""</f>
        <v/>
      </c>
      <c r="BS347" t="str">
        <f>""</f>
        <v/>
      </c>
      <c r="BT347" t="str">
        <f>""</f>
        <v/>
      </c>
      <c r="BU347" t="str">
        <f>""</f>
        <v/>
      </c>
      <c r="BV347" t="str">
        <f>""</f>
        <v/>
      </c>
      <c r="BW347" t="str">
        <f>""</f>
        <v/>
      </c>
      <c r="BX347" t="str">
        <f>""</f>
        <v/>
      </c>
      <c r="BY347" t="str">
        <f>""</f>
        <v/>
      </c>
      <c r="BZ347" t="str">
        <f>""</f>
        <v/>
      </c>
      <c r="CA347" t="str">
        <f>""</f>
        <v/>
      </c>
      <c r="CB347" t="str">
        <f>""</f>
        <v/>
      </c>
      <c r="CC347" t="str">
        <f>""</f>
        <v/>
      </c>
      <c r="CD347" t="str">
        <f>""</f>
        <v/>
      </c>
      <c r="CE347" t="str">
        <f>""</f>
        <v/>
      </c>
      <c r="CF347" t="str">
        <f>""</f>
        <v/>
      </c>
      <c r="CG347" t="str">
        <f>""</f>
        <v/>
      </c>
    </row>
    <row r="348" spans="1:85" x14ac:dyDescent="0.25">
      <c r="A348" t="str">
        <f>$A$255</f>
        <v xml:space="preserve">    Daimler - Mitsubishi Fuso</v>
      </c>
      <c r="B348" t="str">
        <f>$B$255</f>
        <v>DAI GR Equity</v>
      </c>
      <c r="C348" t="str">
        <f>$C$255</f>
        <v>X1701</v>
      </c>
      <c r="D348" t="str">
        <f>$D$255</f>
        <v>WARDS_RETAIL_SALES_UNITS</v>
      </c>
      <c r="E348" t="str">
        <f>$E$255</f>
        <v>Dynamic</v>
      </c>
      <c r="F348" t="str">
        <f ca="1">_xll.BDH($B$255,$C$255,$B$292,$B$293,CONCATENATE("Per=",$B$290),"Dts=H","Dir=H",CONCATENATE("Points=",$B$291),"Sort=R","Days=A","Fill=B","DZ665=16578437","X0012=Class 6-7","X0001=NACA",CONCATENATE("FX=", $B$289) )</f>
        <v/>
      </c>
      <c r="AT348" t="str">
        <f>""</f>
        <v/>
      </c>
      <c r="AU348" t="str">
        <f>""</f>
        <v/>
      </c>
      <c r="AV348" t="str">
        <f>""</f>
        <v/>
      </c>
      <c r="AW348" t="str">
        <f>""</f>
        <v/>
      </c>
      <c r="AX348" t="str">
        <f>""</f>
        <v/>
      </c>
      <c r="AY348" t="str">
        <f>""</f>
        <v/>
      </c>
      <c r="AZ348" t="str">
        <f>""</f>
        <v/>
      </c>
      <c r="BA348" t="str">
        <f>""</f>
        <v/>
      </c>
      <c r="BB348" t="str">
        <f>""</f>
        <v/>
      </c>
      <c r="BC348" t="str">
        <f>""</f>
        <v/>
      </c>
      <c r="BD348" t="str">
        <f>""</f>
        <v/>
      </c>
      <c r="BE348" t="str">
        <f>""</f>
        <v/>
      </c>
      <c r="BF348" t="str">
        <f>""</f>
        <v/>
      </c>
      <c r="BG348" t="str">
        <f>""</f>
        <v/>
      </c>
      <c r="BH348" t="str">
        <f>""</f>
        <v/>
      </c>
      <c r="BI348" t="str">
        <f>""</f>
        <v/>
      </c>
      <c r="BJ348" t="str">
        <f>""</f>
        <v/>
      </c>
      <c r="BK348" t="str">
        <f>""</f>
        <v/>
      </c>
      <c r="BL348" t="str">
        <f>""</f>
        <v/>
      </c>
      <c r="BM348" t="str">
        <f>""</f>
        <v/>
      </c>
      <c r="BN348" t="str">
        <f>""</f>
        <v/>
      </c>
      <c r="BO348" t="str">
        <f>""</f>
        <v/>
      </c>
      <c r="BP348" t="str">
        <f>""</f>
        <v/>
      </c>
      <c r="BQ348" t="str">
        <f>""</f>
        <v/>
      </c>
      <c r="BR348" t="str">
        <f>""</f>
        <v/>
      </c>
      <c r="BS348" t="str">
        <f>""</f>
        <v/>
      </c>
      <c r="BT348" t="str">
        <f>""</f>
        <v/>
      </c>
      <c r="BU348" t="str">
        <f>""</f>
        <v/>
      </c>
      <c r="BV348" t="str">
        <f>""</f>
        <v/>
      </c>
      <c r="BW348" t="str">
        <f>""</f>
        <v/>
      </c>
      <c r="BX348" t="str">
        <f>""</f>
        <v/>
      </c>
      <c r="BY348" t="str">
        <f>""</f>
        <v/>
      </c>
      <c r="BZ348" t="str">
        <f>""</f>
        <v/>
      </c>
      <c r="CA348" t="str">
        <f>""</f>
        <v/>
      </c>
      <c r="CB348" t="str">
        <f>""</f>
        <v/>
      </c>
      <c r="CC348" t="str">
        <f>""</f>
        <v/>
      </c>
      <c r="CD348" t="str">
        <f>""</f>
        <v/>
      </c>
      <c r="CE348" t="str">
        <f>""</f>
        <v/>
      </c>
      <c r="CF348" t="str">
        <f>""</f>
        <v/>
      </c>
      <c r="CG348" t="str">
        <f>""</f>
        <v/>
      </c>
    </row>
    <row r="349" spans="1:85" x14ac:dyDescent="0.25">
      <c r="A349" t="str">
        <f>$A$256</f>
        <v xml:space="preserve">    Daimler - Sterling</v>
      </c>
      <c r="B349" t="str">
        <f>$B$256</f>
        <v>DAI GR Equity</v>
      </c>
      <c r="C349" t="str">
        <f>$C$256</f>
        <v>X1701</v>
      </c>
      <c r="D349" t="str">
        <f>$D$256</f>
        <v>WARDS_RETAIL_SALES_UNITS</v>
      </c>
      <c r="E349" t="str">
        <f>$E$256</f>
        <v>Dynamic</v>
      </c>
      <c r="F349" t="str">
        <f ca="1">_xll.BDH($B$256,$C$256,$B$292,$B$293,CONCATENATE("Per=",$B$290),"Dts=H","Dir=H",CONCATENATE("Points=",$B$291),"Sort=R","Days=A","Fill=B","DZ665=25574529","X0012=Class 6-7","X0001=NACA",CONCATENATE("FX=", $B$289) )</f>
        <v/>
      </c>
      <c r="AT349" t="str">
        <f>""</f>
        <v/>
      </c>
      <c r="AU349" t="str">
        <f>""</f>
        <v/>
      </c>
      <c r="AV349" t="str">
        <f>""</f>
        <v/>
      </c>
      <c r="AW349" t="str">
        <f>""</f>
        <v/>
      </c>
      <c r="AX349" t="str">
        <f>""</f>
        <v/>
      </c>
      <c r="AY349" t="str">
        <f>""</f>
        <v/>
      </c>
      <c r="AZ349" t="str">
        <f>""</f>
        <v/>
      </c>
      <c r="BA349" t="str">
        <f>""</f>
        <v/>
      </c>
      <c r="BB349" t="str">
        <f>""</f>
        <v/>
      </c>
      <c r="BC349" t="str">
        <f>""</f>
        <v/>
      </c>
      <c r="BD349" t="str">
        <f>""</f>
        <v/>
      </c>
      <c r="BE349" t="str">
        <f>""</f>
        <v/>
      </c>
      <c r="BF349" t="str">
        <f>""</f>
        <v/>
      </c>
      <c r="BG349" t="str">
        <f>""</f>
        <v/>
      </c>
      <c r="BH349" t="str">
        <f>""</f>
        <v/>
      </c>
      <c r="BI349" t="str">
        <f>""</f>
        <v/>
      </c>
      <c r="BJ349" t="str">
        <f>""</f>
        <v/>
      </c>
      <c r="BK349" t="str">
        <f>""</f>
        <v/>
      </c>
      <c r="BL349" t="str">
        <f>""</f>
        <v/>
      </c>
      <c r="BM349" t="str">
        <f>""</f>
        <v/>
      </c>
      <c r="BN349" t="str">
        <f>""</f>
        <v/>
      </c>
      <c r="BO349" t="str">
        <f>""</f>
        <v/>
      </c>
      <c r="BP349" t="str">
        <f>""</f>
        <v/>
      </c>
      <c r="BQ349" t="str">
        <f>""</f>
        <v/>
      </c>
      <c r="BR349" t="str">
        <f>""</f>
        <v/>
      </c>
      <c r="BS349" t="str">
        <f>""</f>
        <v/>
      </c>
      <c r="BT349" t="str">
        <f>""</f>
        <v/>
      </c>
      <c r="BU349" t="str">
        <f>""</f>
        <v/>
      </c>
      <c r="BV349" t="str">
        <f>""</f>
        <v/>
      </c>
      <c r="BW349" t="str">
        <f>""</f>
        <v/>
      </c>
      <c r="BX349" t="str">
        <f>""</f>
        <v/>
      </c>
      <c r="BY349" t="str">
        <f>""</f>
        <v/>
      </c>
      <c r="BZ349" t="str">
        <f>""</f>
        <v/>
      </c>
      <c r="CA349" t="str">
        <f>""</f>
        <v/>
      </c>
      <c r="CB349" t="str">
        <f>""</f>
        <v/>
      </c>
      <c r="CC349" t="str">
        <f>""</f>
        <v/>
      </c>
      <c r="CD349" t="str">
        <f>""</f>
        <v/>
      </c>
      <c r="CE349" t="str">
        <f>""</f>
        <v/>
      </c>
      <c r="CF349" t="str">
        <f>""</f>
        <v/>
      </c>
      <c r="CG349" t="str">
        <f>""</f>
        <v/>
      </c>
    </row>
    <row r="350" spans="1:85" x14ac:dyDescent="0.25">
      <c r="A350" t="str">
        <f>$A$257</f>
        <v xml:space="preserve">    Daimler - Western Star</v>
      </c>
      <c r="B350" t="str">
        <f>$B$257</f>
        <v>DAI GR Equity</v>
      </c>
      <c r="C350" t="str">
        <f>$C$257</f>
        <v>X1701</v>
      </c>
      <c r="D350" t="str">
        <f>$D$257</f>
        <v>WARDS_RETAIL_SALES_UNITS</v>
      </c>
      <c r="E350" t="str">
        <f>$E$257</f>
        <v>Dynamic</v>
      </c>
      <c r="F350" t="str">
        <f ca="1">_xll.BDH($B$257,$C$257,$B$292,$B$293,CONCATENATE("Per=",$B$290),"Dts=H","Dir=H",CONCATENATE("Points=",$B$291),"Sort=R","Days=A","Fill=B","DZ665=16578421","X0012=Class 6-7","X0001=NACA",CONCATENATE("FX=", $B$289) )</f>
        <v/>
      </c>
      <c r="AT350" t="str">
        <f>""</f>
        <v/>
      </c>
      <c r="AU350" t="str">
        <f>""</f>
        <v/>
      </c>
      <c r="AV350" t="str">
        <f>""</f>
        <v/>
      </c>
      <c r="AW350" t="str">
        <f>""</f>
        <v/>
      </c>
      <c r="AX350" t="str">
        <f>""</f>
        <v/>
      </c>
      <c r="AY350" t="str">
        <f>""</f>
        <v/>
      </c>
      <c r="AZ350" t="str">
        <f>""</f>
        <v/>
      </c>
      <c r="BA350" t="str">
        <f>""</f>
        <v/>
      </c>
      <c r="BB350" t="str">
        <f>""</f>
        <v/>
      </c>
      <c r="BC350" t="str">
        <f>""</f>
        <v/>
      </c>
      <c r="BD350" t="str">
        <f>""</f>
        <v/>
      </c>
      <c r="BE350" t="str">
        <f>""</f>
        <v/>
      </c>
      <c r="BF350" t="str">
        <f>""</f>
        <v/>
      </c>
      <c r="BG350" t="str">
        <f>""</f>
        <v/>
      </c>
      <c r="BH350" t="str">
        <f>""</f>
        <v/>
      </c>
      <c r="BI350" t="str">
        <f>""</f>
        <v/>
      </c>
      <c r="BJ350" t="str">
        <f>""</f>
        <v/>
      </c>
      <c r="BK350" t="str">
        <f>""</f>
        <v/>
      </c>
      <c r="BL350" t="str">
        <f>""</f>
        <v/>
      </c>
      <c r="BM350" t="str">
        <f>""</f>
        <v/>
      </c>
      <c r="BN350" t="str">
        <f>""</f>
        <v/>
      </c>
      <c r="BO350" t="str">
        <f>""</f>
        <v/>
      </c>
      <c r="BP350" t="str">
        <f>""</f>
        <v/>
      </c>
      <c r="BQ350" t="str">
        <f>""</f>
        <v/>
      </c>
      <c r="BR350" t="str">
        <f>""</f>
        <v/>
      </c>
      <c r="BS350" t="str">
        <f>""</f>
        <v/>
      </c>
      <c r="BT350" t="str">
        <f>""</f>
        <v/>
      </c>
      <c r="BU350" t="str">
        <f>""</f>
        <v/>
      </c>
      <c r="BV350" t="str">
        <f>""</f>
        <v/>
      </c>
      <c r="BW350" t="str">
        <f>""</f>
        <v/>
      </c>
      <c r="BX350" t="str">
        <f>""</f>
        <v/>
      </c>
      <c r="BY350" t="str">
        <f>""</f>
        <v/>
      </c>
      <c r="BZ350" t="str">
        <f>""</f>
        <v/>
      </c>
      <c r="CA350" t="str">
        <f>""</f>
        <v/>
      </c>
      <c r="CB350" t="str">
        <f>""</f>
        <v/>
      </c>
      <c r="CC350" t="str">
        <f>""</f>
        <v/>
      </c>
      <c r="CD350" t="str">
        <f>""</f>
        <v/>
      </c>
      <c r="CE350" t="str">
        <f>""</f>
        <v/>
      </c>
      <c r="CF350" t="str">
        <f>""</f>
        <v/>
      </c>
      <c r="CG350" t="str">
        <f>""</f>
        <v/>
      </c>
    </row>
    <row r="351" spans="1:85" x14ac:dyDescent="0.25">
      <c r="A351" t="str">
        <f>$A$258</f>
        <v xml:space="preserve">    Hino</v>
      </c>
      <c r="B351" t="str">
        <f>$B$258</f>
        <v>7205 JP Equity</v>
      </c>
      <c r="C351" t="str">
        <f>$C$258</f>
        <v>X1701</v>
      </c>
      <c r="D351" t="str">
        <f>$D$258</f>
        <v>WARDS_RETAIL_SALES_UNITS</v>
      </c>
      <c r="E351" t="str">
        <f>$E$258</f>
        <v>Dynamic</v>
      </c>
      <c r="F351" t="str">
        <f ca="1">_xll.BDH($B$258,$C$258,$B$292,$B$293,CONCATENATE("Per=",$B$290),"Dts=H","Dir=H",CONCATENATE("Points=",$B$291),"Sort=R","Days=A","Fill=B","DZ665=1727201","X0012=Class 6-7","X0001=NACA","DS276=Y",CONCATENATE("FX=", $B$289),"cols=40;rows=1")</f>
        <v/>
      </c>
      <c r="G351">
        <v>117</v>
      </c>
      <c r="H351">
        <v>144</v>
      </c>
      <c r="I351">
        <v>120</v>
      </c>
      <c r="J351">
        <v>136</v>
      </c>
      <c r="K351">
        <v>140</v>
      </c>
      <c r="L351">
        <v>165</v>
      </c>
      <c r="M351">
        <v>155</v>
      </c>
      <c r="N351">
        <v>137</v>
      </c>
      <c r="O351">
        <v>146</v>
      </c>
      <c r="P351">
        <v>117</v>
      </c>
      <c r="Q351">
        <v>86</v>
      </c>
      <c r="R351">
        <v>109</v>
      </c>
      <c r="S351">
        <v>95</v>
      </c>
      <c r="T351">
        <v>127</v>
      </c>
      <c r="U351">
        <v>92</v>
      </c>
      <c r="V351">
        <v>141</v>
      </c>
      <c r="W351">
        <v>102</v>
      </c>
      <c r="X351">
        <v>148</v>
      </c>
      <c r="Y351">
        <v>120</v>
      </c>
      <c r="Z351">
        <v>101</v>
      </c>
      <c r="AA351">
        <v>121</v>
      </c>
      <c r="AB351">
        <v>107</v>
      </c>
      <c r="AC351">
        <v>116</v>
      </c>
      <c r="AD351">
        <v>85</v>
      </c>
      <c r="AE351">
        <v>86</v>
      </c>
      <c r="AF351">
        <v>79</v>
      </c>
      <c r="AG351">
        <v>84</v>
      </c>
      <c r="AH351">
        <v>94</v>
      </c>
      <c r="AI351">
        <v>102</v>
      </c>
      <c r="AJ351">
        <v>97</v>
      </c>
      <c r="AK351">
        <v>102</v>
      </c>
      <c r="AL351">
        <v>89</v>
      </c>
      <c r="AM351">
        <v>67</v>
      </c>
      <c r="AN351">
        <v>43</v>
      </c>
      <c r="AO351">
        <v>83</v>
      </c>
      <c r="AP351">
        <v>64</v>
      </c>
      <c r="AQ351">
        <v>68</v>
      </c>
      <c r="AR351">
        <v>71</v>
      </c>
      <c r="AS351">
        <v>58</v>
      </c>
      <c r="AT351" t="str">
        <f>""</f>
        <v/>
      </c>
      <c r="AU351" t="str">
        <f>""</f>
        <v/>
      </c>
      <c r="AV351" t="str">
        <f>""</f>
        <v/>
      </c>
      <c r="AW351" t="str">
        <f>""</f>
        <v/>
      </c>
      <c r="AX351" t="str">
        <f>""</f>
        <v/>
      </c>
      <c r="AY351" t="str">
        <f>""</f>
        <v/>
      </c>
      <c r="AZ351" t="str">
        <f>""</f>
        <v/>
      </c>
      <c r="BA351" t="str">
        <f>""</f>
        <v/>
      </c>
      <c r="BB351" t="str">
        <f>""</f>
        <v/>
      </c>
      <c r="BC351" t="str">
        <f>""</f>
        <v/>
      </c>
      <c r="BD351" t="str">
        <f>""</f>
        <v/>
      </c>
      <c r="BE351" t="str">
        <f>""</f>
        <v/>
      </c>
      <c r="BF351" t="str">
        <f>""</f>
        <v/>
      </c>
      <c r="BG351" t="str">
        <f>""</f>
        <v/>
      </c>
      <c r="BH351" t="str">
        <f>""</f>
        <v/>
      </c>
      <c r="BI351" t="str">
        <f>""</f>
        <v/>
      </c>
      <c r="BJ351" t="str">
        <f>""</f>
        <v/>
      </c>
      <c r="BK351" t="str">
        <f>""</f>
        <v/>
      </c>
      <c r="BL351" t="str">
        <f>""</f>
        <v/>
      </c>
      <c r="BM351" t="str">
        <f>""</f>
        <v/>
      </c>
      <c r="BN351" t="str">
        <f>""</f>
        <v/>
      </c>
      <c r="BO351" t="str">
        <f>""</f>
        <v/>
      </c>
      <c r="BP351" t="str">
        <f>""</f>
        <v/>
      </c>
      <c r="BQ351" t="str">
        <f>""</f>
        <v/>
      </c>
      <c r="BR351" t="str">
        <f>""</f>
        <v/>
      </c>
      <c r="BS351" t="str">
        <f>""</f>
        <v/>
      </c>
      <c r="BT351" t="str">
        <f>""</f>
        <v/>
      </c>
      <c r="BU351" t="str">
        <f>""</f>
        <v/>
      </c>
      <c r="BV351" t="str">
        <f>""</f>
        <v/>
      </c>
      <c r="BW351" t="str">
        <f>""</f>
        <v/>
      </c>
      <c r="BX351" t="str">
        <f>""</f>
        <v/>
      </c>
      <c r="BY351" t="str">
        <f>""</f>
        <v/>
      </c>
      <c r="BZ351" t="str">
        <f>""</f>
        <v/>
      </c>
      <c r="CA351" t="str">
        <f>""</f>
        <v/>
      </c>
      <c r="CB351" t="str">
        <f>""</f>
        <v/>
      </c>
      <c r="CC351" t="str">
        <f>""</f>
        <v/>
      </c>
      <c r="CD351" t="str">
        <f>""</f>
        <v/>
      </c>
      <c r="CE351" t="str">
        <f>""</f>
        <v/>
      </c>
      <c r="CF351" t="str">
        <f>""</f>
        <v/>
      </c>
      <c r="CG351" t="str">
        <f>""</f>
        <v/>
      </c>
    </row>
    <row r="352" spans="1:85" x14ac:dyDescent="0.25">
      <c r="A352" t="str">
        <f>$A$259</f>
        <v xml:space="preserve">    Ford</v>
      </c>
      <c r="B352" t="str">
        <f>$B$259</f>
        <v>F US Equity</v>
      </c>
      <c r="C352" t="str">
        <f>$C$259</f>
        <v>X1701</v>
      </c>
      <c r="D352" t="str">
        <f>$D$259</f>
        <v>WARDS_RETAIL_SALES_UNITS</v>
      </c>
      <c r="E352" t="str">
        <f>$E$259</f>
        <v>Dynamic</v>
      </c>
      <c r="F352" t="str">
        <f ca="1">_xll.BDH($B$259,$C$259,$B$292,$B$293,CONCATENATE("Per=",$B$290),"Dts=H","Dir=H",CONCATENATE("Points=",$B$291),"Sort=R","Days=A","Fill=B","DZ665=260940","X0012=Class 6-7","X0001=NACA",CONCATENATE("FX=", $B$289),"cols=40;rows=1")</f>
        <v/>
      </c>
      <c r="G352">
        <v>13</v>
      </c>
      <c r="H352">
        <v>18</v>
      </c>
      <c r="I352">
        <v>13</v>
      </c>
      <c r="J352">
        <v>19</v>
      </c>
      <c r="K352">
        <v>19</v>
      </c>
      <c r="L352">
        <v>11</v>
      </c>
      <c r="M352">
        <v>16</v>
      </c>
      <c r="N352">
        <v>7</v>
      </c>
      <c r="O352">
        <v>20</v>
      </c>
      <c r="P352">
        <v>7</v>
      </c>
      <c r="Q352">
        <v>10</v>
      </c>
      <c r="R352">
        <v>22</v>
      </c>
      <c r="S352">
        <v>10</v>
      </c>
      <c r="T352">
        <v>19</v>
      </c>
      <c r="U352">
        <v>5</v>
      </c>
      <c r="V352">
        <v>7</v>
      </c>
      <c r="W352">
        <v>19</v>
      </c>
      <c r="X352">
        <v>26</v>
      </c>
      <c r="Y352">
        <v>16</v>
      </c>
      <c r="Z352">
        <v>15</v>
      </c>
      <c r="AA352">
        <v>14</v>
      </c>
      <c r="AB352">
        <v>10</v>
      </c>
      <c r="AC352">
        <v>16</v>
      </c>
      <c r="AD352">
        <v>10</v>
      </c>
      <c r="AE352">
        <v>8</v>
      </c>
      <c r="AF352">
        <v>1</v>
      </c>
      <c r="AG352">
        <v>2</v>
      </c>
      <c r="AH352">
        <v>6</v>
      </c>
      <c r="AI352">
        <v>8</v>
      </c>
      <c r="AJ352">
        <v>9</v>
      </c>
      <c r="AK352">
        <v>8</v>
      </c>
      <c r="AL352">
        <v>13</v>
      </c>
      <c r="AM352">
        <v>4</v>
      </c>
      <c r="AN352">
        <v>9</v>
      </c>
      <c r="AO352">
        <v>15</v>
      </c>
      <c r="AP352">
        <v>11</v>
      </c>
      <c r="AQ352">
        <v>11</v>
      </c>
      <c r="AR352">
        <v>13</v>
      </c>
      <c r="AS352">
        <v>19</v>
      </c>
      <c r="AT352" t="str">
        <f>""</f>
        <v/>
      </c>
      <c r="AU352" t="str">
        <f>""</f>
        <v/>
      </c>
      <c r="AV352" t="str">
        <f>""</f>
        <v/>
      </c>
      <c r="AW352" t="str">
        <f>""</f>
        <v/>
      </c>
      <c r="AX352" t="str">
        <f>""</f>
        <v/>
      </c>
      <c r="AY352" t="str">
        <f>""</f>
        <v/>
      </c>
      <c r="AZ352" t="str">
        <f>""</f>
        <v/>
      </c>
      <c r="BA352" t="str">
        <f>""</f>
        <v/>
      </c>
      <c r="BB352" t="str">
        <f>""</f>
        <v/>
      </c>
      <c r="BC352" t="str">
        <f>""</f>
        <v/>
      </c>
      <c r="BD352" t="str">
        <f>""</f>
        <v/>
      </c>
      <c r="BE352" t="str">
        <f>""</f>
        <v/>
      </c>
      <c r="BF352" t="str">
        <f>""</f>
        <v/>
      </c>
      <c r="BG352" t="str">
        <f>""</f>
        <v/>
      </c>
      <c r="BH352" t="str">
        <f>""</f>
        <v/>
      </c>
      <c r="BI352" t="str">
        <f>""</f>
        <v/>
      </c>
      <c r="BJ352" t="str">
        <f>""</f>
        <v/>
      </c>
      <c r="BK352" t="str">
        <f>""</f>
        <v/>
      </c>
      <c r="BL352" t="str">
        <f>""</f>
        <v/>
      </c>
      <c r="BM352" t="str">
        <f>""</f>
        <v/>
      </c>
      <c r="BN352" t="str">
        <f>""</f>
        <v/>
      </c>
      <c r="BO352" t="str">
        <f>""</f>
        <v/>
      </c>
      <c r="BP352" t="str">
        <f>""</f>
        <v/>
      </c>
      <c r="BQ352" t="str">
        <f>""</f>
        <v/>
      </c>
      <c r="BR352" t="str">
        <f>""</f>
        <v/>
      </c>
      <c r="BS352" t="str">
        <f>""</f>
        <v/>
      </c>
      <c r="BT352" t="str">
        <f>""</f>
        <v/>
      </c>
      <c r="BU352" t="str">
        <f>""</f>
        <v/>
      </c>
      <c r="BV352" t="str">
        <f>""</f>
        <v/>
      </c>
      <c r="BW352" t="str">
        <f>""</f>
        <v/>
      </c>
      <c r="BX352" t="str">
        <f>""</f>
        <v/>
      </c>
      <c r="BY352" t="str">
        <f>""</f>
        <v/>
      </c>
      <c r="BZ352" t="str">
        <f>""</f>
        <v/>
      </c>
      <c r="CA352" t="str">
        <f>""</f>
        <v/>
      </c>
      <c r="CB352" t="str">
        <f>""</f>
        <v/>
      </c>
      <c r="CC352" t="str">
        <f>""</f>
        <v/>
      </c>
      <c r="CD352" t="str">
        <f>""</f>
        <v/>
      </c>
      <c r="CE352" t="str">
        <f>""</f>
        <v/>
      </c>
      <c r="CF352" t="str">
        <f>""</f>
        <v/>
      </c>
      <c r="CG352" t="str">
        <f>""</f>
        <v/>
      </c>
    </row>
    <row r="353" spans="1:85" x14ac:dyDescent="0.25">
      <c r="A353" t="str">
        <f>$A$260</f>
        <v xml:space="preserve">    Isuzu</v>
      </c>
      <c r="B353" t="str">
        <f>$B$260</f>
        <v>7202 JP Equity</v>
      </c>
      <c r="C353" t="str">
        <f>$C$260</f>
        <v>X1701</v>
      </c>
      <c r="D353" t="str">
        <f>$D$260</f>
        <v>WARDS_RETAIL_SALES_UNITS</v>
      </c>
      <c r="E353" t="str">
        <f>$E$260</f>
        <v>Dynamic</v>
      </c>
      <c r="F353" t="str">
        <f ca="1">_xll.BDH($B$260,$C$260,$B$292,$B$293,CONCATENATE("Per=",$B$290),"Dts=H","Dir=H",CONCATENATE("Points=",$B$291),"Sort=R","Days=A","Fill=B","DZ665=25574533","X0012=CLASS 6-7","X0001=NACA","DS276=Y",CONCATENATE("FX=", $B$289),"cols=40;rows=1")</f>
        <v/>
      </c>
      <c r="G353">
        <v>2</v>
      </c>
      <c r="H353">
        <v>1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T353" t="str">
        <f>""</f>
        <v/>
      </c>
      <c r="AU353" t="str">
        <f>""</f>
        <v/>
      </c>
      <c r="AV353" t="str">
        <f>""</f>
        <v/>
      </c>
      <c r="AW353" t="str">
        <f>""</f>
        <v/>
      </c>
      <c r="AX353" t="str">
        <f>""</f>
        <v/>
      </c>
      <c r="AY353" t="str">
        <f>""</f>
        <v/>
      </c>
      <c r="AZ353" t="str">
        <f>""</f>
        <v/>
      </c>
      <c r="BA353" t="str">
        <f>""</f>
        <v/>
      </c>
      <c r="BB353" t="str">
        <f>""</f>
        <v/>
      </c>
      <c r="BC353" t="str">
        <f>""</f>
        <v/>
      </c>
      <c r="BD353" t="str">
        <f>""</f>
        <v/>
      </c>
      <c r="BE353" t="str">
        <f>""</f>
        <v/>
      </c>
      <c r="BF353" t="str">
        <f>""</f>
        <v/>
      </c>
      <c r="BG353" t="str">
        <f>""</f>
        <v/>
      </c>
      <c r="BH353" t="str">
        <f>""</f>
        <v/>
      </c>
      <c r="BI353" t="str">
        <f>""</f>
        <v/>
      </c>
      <c r="BJ353" t="str">
        <f>""</f>
        <v/>
      </c>
      <c r="BK353" t="str">
        <f>""</f>
        <v/>
      </c>
      <c r="BL353" t="str">
        <f>""</f>
        <v/>
      </c>
      <c r="BM353" t="str">
        <f>""</f>
        <v/>
      </c>
      <c r="BN353" t="str">
        <f>""</f>
        <v/>
      </c>
      <c r="BO353" t="str">
        <f>""</f>
        <v/>
      </c>
      <c r="BP353" t="str">
        <f>""</f>
        <v/>
      </c>
      <c r="BQ353" t="str">
        <f>""</f>
        <v/>
      </c>
      <c r="BR353" t="str">
        <f>""</f>
        <v/>
      </c>
      <c r="BS353" t="str">
        <f>""</f>
        <v/>
      </c>
      <c r="BT353" t="str">
        <f>""</f>
        <v/>
      </c>
      <c r="BU353" t="str">
        <f>""</f>
        <v/>
      </c>
      <c r="BV353" t="str">
        <f>""</f>
        <v/>
      </c>
      <c r="BW353" t="str">
        <f>""</f>
        <v/>
      </c>
      <c r="BX353" t="str">
        <f>""</f>
        <v/>
      </c>
      <c r="BY353" t="str">
        <f>""</f>
        <v/>
      </c>
      <c r="BZ353" t="str">
        <f>""</f>
        <v/>
      </c>
      <c r="CA353" t="str">
        <f>""</f>
        <v/>
      </c>
      <c r="CB353" t="str">
        <f>""</f>
        <v/>
      </c>
      <c r="CC353" t="str">
        <f>""</f>
        <v/>
      </c>
      <c r="CD353" t="str">
        <f>""</f>
        <v/>
      </c>
      <c r="CE353" t="str">
        <f>""</f>
        <v/>
      </c>
      <c r="CF353" t="str">
        <f>""</f>
        <v/>
      </c>
      <c r="CG353" t="str">
        <f>""</f>
        <v/>
      </c>
    </row>
    <row r="354" spans="1:85" x14ac:dyDescent="0.25">
      <c r="A354" t="str">
        <f>$A$261</f>
        <v xml:space="preserve">    General Motors - GMC</v>
      </c>
      <c r="B354" t="str">
        <f>$B$261</f>
        <v>MTLQQ US Equity</v>
      </c>
      <c r="C354" t="str">
        <f>$C$261</f>
        <v>X1701</v>
      </c>
      <c r="D354" t="str">
        <f>$D$261</f>
        <v>WARDS_RETAIL_SALES_UNITS</v>
      </c>
      <c r="E354" t="str">
        <f>$E$261</f>
        <v>Dynamic</v>
      </c>
      <c r="F354" t="str">
        <f ca="1">_xll.BDH($B$261,$C$261,$B$292,$B$293,CONCATENATE("Per=",$B$290),"Dts=H","Dir=H",CONCATENATE("Points=",$B$291),"Sort=R","Days=A","Fill=B","DZ665=261177","X0012=Class 6-7","X0001=NACA",CONCATENATE("FX=", $B$289) )</f>
        <v/>
      </c>
      <c r="AT354" t="str">
        <f>""</f>
        <v/>
      </c>
      <c r="AU354" t="str">
        <f>""</f>
        <v/>
      </c>
      <c r="AV354" t="str">
        <f>""</f>
        <v/>
      </c>
      <c r="AW354" t="str">
        <f>""</f>
        <v/>
      </c>
      <c r="AX354" t="str">
        <f>""</f>
        <v/>
      </c>
      <c r="AY354" t="str">
        <f>""</f>
        <v/>
      </c>
      <c r="AZ354" t="str">
        <f>""</f>
        <v/>
      </c>
      <c r="BA354" t="str">
        <f>""</f>
        <v/>
      </c>
      <c r="BB354" t="str">
        <f>""</f>
        <v/>
      </c>
      <c r="BC354" t="str">
        <f>""</f>
        <v/>
      </c>
      <c r="BD354" t="str">
        <f>""</f>
        <v/>
      </c>
      <c r="BE354" t="str">
        <f>""</f>
        <v/>
      </c>
      <c r="BF354" t="str">
        <f>""</f>
        <v/>
      </c>
      <c r="BG354" t="str">
        <f>""</f>
        <v/>
      </c>
      <c r="BH354" t="str">
        <f>""</f>
        <v/>
      </c>
      <c r="BI354" t="str">
        <f>""</f>
        <v/>
      </c>
      <c r="BJ354" t="str">
        <f>""</f>
        <v/>
      </c>
      <c r="BK354" t="str">
        <f>""</f>
        <v/>
      </c>
      <c r="BL354" t="str">
        <f>""</f>
        <v/>
      </c>
      <c r="BM354" t="str">
        <f>""</f>
        <v/>
      </c>
      <c r="BN354" t="str">
        <f>""</f>
        <v/>
      </c>
      <c r="BO354" t="str">
        <f>""</f>
        <v/>
      </c>
      <c r="BP354" t="str">
        <f>""</f>
        <v/>
      </c>
      <c r="BQ354" t="str">
        <f>""</f>
        <v/>
      </c>
      <c r="BR354" t="str">
        <f>""</f>
        <v/>
      </c>
      <c r="BS354" t="str">
        <f>""</f>
        <v/>
      </c>
      <c r="BT354" t="str">
        <f>""</f>
        <v/>
      </c>
      <c r="BU354" t="str">
        <f>""</f>
        <v/>
      </c>
      <c r="BV354" t="str">
        <f>""</f>
        <v/>
      </c>
      <c r="BW354" t="str">
        <f>""</f>
        <v/>
      </c>
      <c r="BX354" t="str">
        <f>""</f>
        <v/>
      </c>
      <c r="BY354" t="str">
        <f>""</f>
        <v/>
      </c>
      <c r="BZ354" t="str">
        <f>""</f>
        <v/>
      </c>
      <c r="CA354" t="str">
        <f>""</f>
        <v/>
      </c>
      <c r="CB354" t="str">
        <f>""</f>
        <v/>
      </c>
      <c r="CC354" t="str">
        <f>""</f>
        <v/>
      </c>
      <c r="CD354" t="str">
        <f>""</f>
        <v/>
      </c>
      <c r="CE354" t="str">
        <f>""</f>
        <v/>
      </c>
      <c r="CF354" t="str">
        <f>""</f>
        <v/>
      </c>
      <c r="CG354" t="str">
        <f>""</f>
        <v/>
      </c>
    </row>
    <row r="355" spans="1:85" x14ac:dyDescent="0.25">
      <c r="A355" t="str">
        <f>$A$262</f>
        <v xml:space="preserve">    General Motors - Chevrolet</v>
      </c>
      <c r="B355" t="str">
        <f>$B$262</f>
        <v>MTLQQ US Equity</v>
      </c>
      <c r="C355" t="str">
        <f>$C$262</f>
        <v>X1701</v>
      </c>
      <c r="D355" t="str">
        <f>$D$262</f>
        <v>WARDS_RETAIL_SALES_UNITS</v>
      </c>
      <c r="E355" t="str">
        <f>$E$262</f>
        <v>Dynamic</v>
      </c>
      <c r="F355" t="str">
        <f ca="1">_xll.BDH($B$262,$C$262,$B$292,$B$293,CONCATENATE("Per=",$B$290),"Dts=H","Dir=H",CONCATENATE("Points=",$B$291),"Sort=R","Days=A","Fill=B","DZ665=261172","X0012=Class 6-7","X0001=NACA",CONCATENATE("FX=", $B$289) )</f>
        <v/>
      </c>
      <c r="AT355" t="str">
        <f>""</f>
        <v/>
      </c>
      <c r="AU355" t="str">
        <f>""</f>
        <v/>
      </c>
      <c r="AV355" t="str">
        <f>""</f>
        <v/>
      </c>
      <c r="AW355" t="str">
        <f>""</f>
        <v/>
      </c>
      <c r="AX355" t="str">
        <f>""</f>
        <v/>
      </c>
      <c r="AY355" t="str">
        <f>""</f>
        <v/>
      </c>
      <c r="AZ355" t="str">
        <f>""</f>
        <v/>
      </c>
      <c r="BA355" t="str">
        <f>""</f>
        <v/>
      </c>
      <c r="BB355" t="str">
        <f>""</f>
        <v/>
      </c>
      <c r="BC355" t="str">
        <f>""</f>
        <v/>
      </c>
      <c r="BD355" t="str">
        <f>""</f>
        <v/>
      </c>
      <c r="BE355" t="str">
        <f>""</f>
        <v/>
      </c>
      <c r="BF355" t="str">
        <f>""</f>
        <v/>
      </c>
      <c r="BG355" t="str">
        <f>""</f>
        <v/>
      </c>
      <c r="BH355" t="str">
        <f>""</f>
        <v/>
      </c>
      <c r="BI355" t="str">
        <f>""</f>
        <v/>
      </c>
      <c r="BJ355" t="str">
        <f>""</f>
        <v/>
      </c>
      <c r="BK355" t="str">
        <f>""</f>
        <v/>
      </c>
      <c r="BL355" t="str">
        <f>""</f>
        <v/>
      </c>
      <c r="BM355" t="str">
        <f>""</f>
        <v/>
      </c>
      <c r="BN355" t="str">
        <f>""</f>
        <v/>
      </c>
      <c r="BO355" t="str">
        <f>""</f>
        <v/>
      </c>
      <c r="BP355" t="str">
        <f>""</f>
        <v/>
      </c>
      <c r="BQ355" t="str">
        <f>""</f>
        <v/>
      </c>
      <c r="BR355" t="str">
        <f>""</f>
        <v/>
      </c>
      <c r="BS355" t="str">
        <f>""</f>
        <v/>
      </c>
      <c r="BT355" t="str">
        <f>""</f>
        <v/>
      </c>
      <c r="BU355" t="str">
        <f>""</f>
        <v/>
      </c>
      <c r="BV355" t="str">
        <f>""</f>
        <v/>
      </c>
      <c r="BW355" t="str">
        <f>""</f>
        <v/>
      </c>
      <c r="BX355" t="str">
        <f>""</f>
        <v/>
      </c>
      <c r="BY355" t="str">
        <f>""</f>
        <v/>
      </c>
      <c r="BZ355" t="str">
        <f>""</f>
        <v/>
      </c>
      <c r="CA355" t="str">
        <f>""</f>
        <v/>
      </c>
      <c r="CB355" t="str">
        <f>""</f>
        <v/>
      </c>
      <c r="CC355" t="str">
        <f>""</f>
        <v/>
      </c>
      <c r="CD355" t="str">
        <f>""</f>
        <v/>
      </c>
      <c r="CE355" t="str">
        <f>""</f>
        <v/>
      </c>
      <c r="CF355" t="str">
        <f>""</f>
        <v/>
      </c>
      <c r="CG355" t="str">
        <f>""</f>
        <v/>
      </c>
    </row>
    <row r="356" spans="1:85" x14ac:dyDescent="0.25">
      <c r="A356" t="str">
        <f>$A$263</f>
        <v xml:space="preserve">    Volvo - Mack</v>
      </c>
      <c r="B356" t="str">
        <f>$B$263</f>
        <v>VOLVB SS Equity</v>
      </c>
      <c r="C356" t="str">
        <f>$C$263</f>
        <v>X1701</v>
      </c>
      <c r="D356" t="str">
        <f>$D$263</f>
        <v>WARDS_RETAIL_SALES_UNITS</v>
      </c>
      <c r="E356" t="str">
        <f>$E$263</f>
        <v>Dynamic</v>
      </c>
      <c r="F356" t="str">
        <f ca="1">_xll.BDH($B$263,$C$263,$B$292,$B$293,CONCATENATE("Per=",$B$290),"Dts=H","Dir=H",CONCATENATE("Points=",$B$291),"Sort=R","Days=A","Fill=B","DZ665=20497958","X0012=Class 6-7","X0001=NACA",CONCATENATE("FX=", $B$289) )</f>
        <v/>
      </c>
      <c r="AT356" t="str">
        <f>""</f>
        <v/>
      </c>
      <c r="AU356" t="str">
        <f>""</f>
        <v/>
      </c>
      <c r="AV356" t="str">
        <f>""</f>
        <v/>
      </c>
      <c r="AW356" t="str">
        <f>""</f>
        <v/>
      </c>
      <c r="AX356" t="str">
        <f>""</f>
        <v/>
      </c>
      <c r="AY356" t="str">
        <f>""</f>
        <v/>
      </c>
      <c r="AZ356" t="str">
        <f>""</f>
        <v/>
      </c>
      <c r="BA356" t="str">
        <f>""</f>
        <v/>
      </c>
      <c r="BB356" t="str">
        <f>""</f>
        <v/>
      </c>
      <c r="BC356" t="str">
        <f>""</f>
        <v/>
      </c>
      <c r="BD356" t="str">
        <f>""</f>
        <v/>
      </c>
      <c r="BE356" t="str">
        <f>""</f>
        <v/>
      </c>
      <c r="BF356" t="str">
        <f>""</f>
        <v/>
      </c>
      <c r="BG356" t="str">
        <f>""</f>
        <v/>
      </c>
      <c r="BH356" t="str">
        <f>""</f>
        <v/>
      </c>
      <c r="BI356" t="str">
        <f>""</f>
        <v/>
      </c>
      <c r="BJ356" t="str">
        <f>""</f>
        <v/>
      </c>
      <c r="BK356" t="str">
        <f>""</f>
        <v/>
      </c>
      <c r="BL356" t="str">
        <f>""</f>
        <v/>
      </c>
      <c r="BM356" t="str">
        <f>""</f>
        <v/>
      </c>
      <c r="BN356" t="str">
        <f>""</f>
        <v/>
      </c>
      <c r="BO356" t="str">
        <f>""</f>
        <v/>
      </c>
      <c r="BP356" t="str">
        <f>""</f>
        <v/>
      </c>
      <c r="BQ356" t="str">
        <f>""</f>
        <v/>
      </c>
      <c r="BR356" t="str">
        <f>""</f>
        <v/>
      </c>
      <c r="BS356" t="str">
        <f>""</f>
        <v/>
      </c>
      <c r="BT356" t="str">
        <f>""</f>
        <v/>
      </c>
      <c r="BU356" t="str">
        <f>""</f>
        <v/>
      </c>
      <c r="BV356" t="str">
        <f>""</f>
        <v/>
      </c>
      <c r="BW356" t="str">
        <f>""</f>
        <v/>
      </c>
      <c r="BX356" t="str">
        <f>""</f>
        <v/>
      </c>
      <c r="BY356" t="str">
        <f>""</f>
        <v/>
      </c>
      <c r="BZ356" t="str">
        <f>""</f>
        <v/>
      </c>
      <c r="CA356" t="str">
        <f>""</f>
        <v/>
      </c>
      <c r="CB356" t="str">
        <f>""</f>
        <v/>
      </c>
      <c r="CC356" t="str">
        <f>""</f>
        <v/>
      </c>
      <c r="CD356" t="str">
        <f>""</f>
        <v/>
      </c>
      <c r="CE356" t="str">
        <f>""</f>
        <v/>
      </c>
      <c r="CF356" t="str">
        <f>""</f>
        <v/>
      </c>
      <c r="CG356" t="str">
        <f>""</f>
        <v/>
      </c>
    </row>
    <row r="357" spans="1:85" x14ac:dyDescent="0.25">
      <c r="A357" t="str">
        <f>$A$264</f>
        <v>Mexico (Class 6-7)</v>
      </c>
      <c r="B357" t="str">
        <f>$B$264</f>
        <v>TRCKMX6S Index</v>
      </c>
      <c r="C357" t="str">
        <f>$C$264</f>
        <v>PR005</v>
      </c>
      <c r="D357" t="str">
        <f>$D$264</f>
        <v>PX_LAST</v>
      </c>
      <c r="E357" t="str">
        <f>$E$264</f>
        <v>Dynamic</v>
      </c>
      <c r="F357" t="str">
        <f ca="1">_xll.BDH($B$264,$C$264,$B$292,$B$293,CONCATENATE("Per=",$B$290),"Dts=H","Dir=H",CONCATENATE("Points=",$B$291),"Sort=R","Days=A","Fill=B",CONCATENATE("FX=", $B$289),"cols=40;rows=1")</f>
        <v/>
      </c>
      <c r="H357">
        <v>742</v>
      </c>
      <c r="I357">
        <v>718</v>
      </c>
      <c r="J357">
        <v>803</v>
      </c>
      <c r="K357">
        <v>688</v>
      </c>
      <c r="L357">
        <v>745</v>
      </c>
      <c r="M357">
        <v>646</v>
      </c>
      <c r="N357">
        <v>645</v>
      </c>
      <c r="O357">
        <v>737</v>
      </c>
      <c r="P357">
        <v>688</v>
      </c>
      <c r="Q357">
        <v>721</v>
      </c>
      <c r="R357">
        <v>967</v>
      </c>
      <c r="S357">
        <v>768</v>
      </c>
      <c r="T357">
        <v>688</v>
      </c>
      <c r="U357">
        <v>801</v>
      </c>
      <c r="V357">
        <v>880</v>
      </c>
      <c r="W357">
        <v>814</v>
      </c>
      <c r="X357">
        <v>885</v>
      </c>
      <c r="Y357">
        <v>665</v>
      </c>
      <c r="Z357">
        <v>656</v>
      </c>
      <c r="AA357">
        <v>760</v>
      </c>
      <c r="AB357">
        <v>602</v>
      </c>
      <c r="AC357">
        <v>478</v>
      </c>
      <c r="AD357">
        <v>915</v>
      </c>
      <c r="AE357">
        <v>727</v>
      </c>
      <c r="AF357">
        <v>696</v>
      </c>
      <c r="AG357">
        <v>655</v>
      </c>
      <c r="AH357">
        <v>645</v>
      </c>
      <c r="AI357">
        <v>687</v>
      </c>
      <c r="AJ357">
        <v>699</v>
      </c>
      <c r="AK357">
        <v>575</v>
      </c>
      <c r="AL357">
        <v>778</v>
      </c>
      <c r="AM357">
        <v>584</v>
      </c>
      <c r="AN357">
        <v>606</v>
      </c>
      <c r="AO357">
        <v>605</v>
      </c>
      <c r="AP357">
        <v>788</v>
      </c>
      <c r="AQ357">
        <v>726</v>
      </c>
      <c r="AR357">
        <v>733</v>
      </c>
      <c r="AS357">
        <v>579</v>
      </c>
      <c r="AT357" t="str">
        <f>""</f>
        <v/>
      </c>
      <c r="AU357" t="str">
        <f>""</f>
        <v/>
      </c>
      <c r="AV357" t="str">
        <f>""</f>
        <v/>
      </c>
      <c r="AW357" t="str">
        <f>""</f>
        <v/>
      </c>
      <c r="AX357" t="str">
        <f>""</f>
        <v/>
      </c>
      <c r="AY357" t="str">
        <f>""</f>
        <v/>
      </c>
      <c r="AZ357" t="str">
        <f>""</f>
        <v/>
      </c>
      <c r="BA357" t="str">
        <f>""</f>
        <v/>
      </c>
      <c r="BB357" t="str">
        <f>""</f>
        <v/>
      </c>
      <c r="BC357" t="str">
        <f>""</f>
        <v/>
      </c>
      <c r="BD357" t="str">
        <f>""</f>
        <v/>
      </c>
      <c r="BE357" t="str">
        <f>""</f>
        <v/>
      </c>
      <c r="BF357" t="str">
        <f>""</f>
        <v/>
      </c>
      <c r="BG357" t="str">
        <f>""</f>
        <v/>
      </c>
      <c r="BH357" t="str">
        <f>""</f>
        <v/>
      </c>
      <c r="BI357" t="str">
        <f>""</f>
        <v/>
      </c>
      <c r="BJ357" t="str">
        <f>""</f>
        <v/>
      </c>
      <c r="BK357" t="str">
        <f>""</f>
        <v/>
      </c>
      <c r="BL357" t="str">
        <f>""</f>
        <v/>
      </c>
      <c r="BM357" t="str">
        <f>""</f>
        <v/>
      </c>
      <c r="BN357" t="str">
        <f>""</f>
        <v/>
      </c>
      <c r="BO357" t="str">
        <f>""</f>
        <v/>
      </c>
      <c r="BP357" t="str">
        <f>""</f>
        <v/>
      </c>
      <c r="BQ357" t="str">
        <f>""</f>
        <v/>
      </c>
      <c r="BR357" t="str">
        <f>""</f>
        <v/>
      </c>
      <c r="BS357" t="str">
        <f>""</f>
        <v/>
      </c>
      <c r="BT357" t="str">
        <f>""</f>
        <v/>
      </c>
      <c r="BU357" t="str">
        <f>""</f>
        <v/>
      </c>
      <c r="BV357" t="str">
        <f>""</f>
        <v/>
      </c>
      <c r="BW357" t="str">
        <f>""</f>
        <v/>
      </c>
      <c r="BX357" t="str">
        <f>""</f>
        <v/>
      </c>
      <c r="BY357" t="str">
        <f>""</f>
        <v/>
      </c>
      <c r="BZ357" t="str">
        <f>""</f>
        <v/>
      </c>
      <c r="CA357" t="str">
        <f>""</f>
        <v/>
      </c>
      <c r="CB357" t="str">
        <f>""</f>
        <v/>
      </c>
      <c r="CC357" t="str">
        <f>""</f>
        <v/>
      </c>
      <c r="CD357" t="str">
        <f>""</f>
        <v/>
      </c>
      <c r="CE357" t="str">
        <f>""</f>
        <v/>
      </c>
      <c r="CF357" t="str">
        <f>""</f>
        <v/>
      </c>
      <c r="CG357" t="str">
        <f>""</f>
        <v/>
      </c>
    </row>
    <row r="358" spans="1:85" x14ac:dyDescent="0.25">
      <c r="A358" t="str">
        <f>$A$265</f>
        <v xml:space="preserve">    Daimler - Freightliner</v>
      </c>
      <c r="B358" t="str">
        <f>$B$265</f>
        <v>DAI GR Equity</v>
      </c>
      <c r="C358" t="str">
        <f>$C$265</f>
        <v>X1701</v>
      </c>
      <c r="D358" t="str">
        <f>$D$265</f>
        <v>WARDS_RETAIL_SALES_UNITS</v>
      </c>
      <c r="E358" t="str">
        <f>$E$265</f>
        <v>Dynamic</v>
      </c>
      <c r="F358" t="str">
        <f ca="1">_xll.BDH($B$265,$C$265,$B$292,$B$293,CONCATENATE("Per=",$B$290),"Dts=H","Dir=H",CONCATENATE("Points=",$B$291),"Sort=R","Days=A","Fill=B","DZ665=16578413","X0012=Class 6-7","X0001=NAMX",CONCATENATE("FX=", $B$289),"cols=40;rows=1")</f>
        <v/>
      </c>
      <c r="G358">
        <v>98</v>
      </c>
      <c r="H358">
        <v>92</v>
      </c>
      <c r="I358">
        <v>98</v>
      </c>
      <c r="J358">
        <v>98</v>
      </c>
      <c r="K358">
        <v>102</v>
      </c>
      <c r="L358">
        <v>98</v>
      </c>
      <c r="M358">
        <v>92</v>
      </c>
      <c r="N358">
        <v>107</v>
      </c>
      <c r="O358">
        <v>92</v>
      </c>
      <c r="P358">
        <v>98</v>
      </c>
      <c r="Q358">
        <v>140</v>
      </c>
      <c r="R358">
        <v>118</v>
      </c>
      <c r="S358">
        <v>81</v>
      </c>
      <c r="T358">
        <v>104</v>
      </c>
      <c r="U358">
        <v>131</v>
      </c>
      <c r="V358">
        <v>111</v>
      </c>
      <c r="W358">
        <v>121</v>
      </c>
      <c r="X358">
        <v>98</v>
      </c>
      <c r="Y358">
        <v>97</v>
      </c>
      <c r="Z358">
        <v>98</v>
      </c>
      <c r="AA358">
        <v>88</v>
      </c>
      <c r="AB358">
        <v>68</v>
      </c>
      <c r="AC358">
        <v>129</v>
      </c>
      <c r="AD358">
        <v>103</v>
      </c>
      <c r="AE358">
        <v>96</v>
      </c>
      <c r="AF358">
        <v>90</v>
      </c>
      <c r="AG358">
        <v>90</v>
      </c>
      <c r="AH358">
        <v>90</v>
      </c>
      <c r="AI358">
        <v>105</v>
      </c>
      <c r="AJ358">
        <v>61</v>
      </c>
      <c r="AK358">
        <v>234</v>
      </c>
      <c r="AL358">
        <v>86</v>
      </c>
      <c r="AM358">
        <v>118</v>
      </c>
      <c r="AN358">
        <v>113</v>
      </c>
      <c r="AO358">
        <v>116</v>
      </c>
      <c r="AP358">
        <v>107</v>
      </c>
      <c r="AQ358">
        <v>107</v>
      </c>
      <c r="AR358">
        <v>64</v>
      </c>
      <c r="AS358">
        <v>119</v>
      </c>
      <c r="AT358" t="str">
        <f>""</f>
        <v/>
      </c>
      <c r="AU358" t="str">
        <f>""</f>
        <v/>
      </c>
      <c r="AV358" t="str">
        <f>""</f>
        <v/>
      </c>
      <c r="AW358" t="str">
        <f>""</f>
        <v/>
      </c>
      <c r="AX358" t="str">
        <f>""</f>
        <v/>
      </c>
      <c r="AY358" t="str">
        <f>""</f>
        <v/>
      </c>
      <c r="AZ358" t="str">
        <f>""</f>
        <v/>
      </c>
      <c r="BA358" t="str">
        <f>""</f>
        <v/>
      </c>
      <c r="BB358" t="str">
        <f>""</f>
        <v/>
      </c>
      <c r="BC358" t="str">
        <f>""</f>
        <v/>
      </c>
      <c r="BD358" t="str">
        <f>""</f>
        <v/>
      </c>
      <c r="BE358" t="str">
        <f>""</f>
        <v/>
      </c>
      <c r="BF358" t="str">
        <f>""</f>
        <v/>
      </c>
      <c r="BG358" t="str">
        <f>""</f>
        <v/>
      </c>
      <c r="BH358" t="str">
        <f>""</f>
        <v/>
      </c>
      <c r="BI358" t="str">
        <f>""</f>
        <v/>
      </c>
      <c r="BJ358" t="str">
        <f>""</f>
        <v/>
      </c>
      <c r="BK358" t="str">
        <f>""</f>
        <v/>
      </c>
      <c r="BL358" t="str">
        <f>""</f>
        <v/>
      </c>
      <c r="BM358" t="str">
        <f>""</f>
        <v/>
      </c>
      <c r="BN358" t="str">
        <f>""</f>
        <v/>
      </c>
      <c r="BO358" t="str">
        <f>""</f>
        <v/>
      </c>
      <c r="BP358" t="str">
        <f>""</f>
        <v/>
      </c>
      <c r="BQ358" t="str">
        <f>""</f>
        <v/>
      </c>
      <c r="BR358" t="str">
        <f>""</f>
        <v/>
      </c>
      <c r="BS358" t="str">
        <f>""</f>
        <v/>
      </c>
      <c r="BT358" t="str">
        <f>""</f>
        <v/>
      </c>
      <c r="BU358" t="str">
        <f>""</f>
        <v/>
      </c>
      <c r="BV358" t="str">
        <f>""</f>
        <v/>
      </c>
      <c r="BW358" t="str">
        <f>""</f>
        <v/>
      </c>
      <c r="BX358" t="str">
        <f>""</f>
        <v/>
      </c>
      <c r="BY358" t="str">
        <f>""</f>
        <v/>
      </c>
      <c r="BZ358" t="str">
        <f>""</f>
        <v/>
      </c>
      <c r="CA358" t="str">
        <f>""</f>
        <v/>
      </c>
      <c r="CB358" t="str">
        <f>""</f>
        <v/>
      </c>
      <c r="CC358" t="str">
        <f>""</f>
        <v/>
      </c>
      <c r="CD358" t="str">
        <f>""</f>
        <v/>
      </c>
      <c r="CE358" t="str">
        <f>""</f>
        <v/>
      </c>
      <c r="CF358" t="str">
        <f>""</f>
        <v/>
      </c>
      <c r="CG358" t="str">
        <f>""</f>
        <v/>
      </c>
    </row>
    <row r="359" spans="1:85" x14ac:dyDescent="0.25">
      <c r="A359" t="str">
        <f>$A$266</f>
        <v xml:space="preserve">    Daimler - Mercedes-Benz</v>
      </c>
      <c r="B359" t="str">
        <f>$B$266</f>
        <v>DAI GR Equity</v>
      </c>
      <c r="C359" t="str">
        <f>$C$266</f>
        <v>X1701</v>
      </c>
      <c r="D359" t="str">
        <f>$D$266</f>
        <v>WARDS_RETAIL_SALES_UNITS</v>
      </c>
      <c r="E359" t="str">
        <f>$E$266</f>
        <v>Dynamic</v>
      </c>
      <c r="F359" t="str">
        <f ca="1">_xll.BDH($B$266,$C$266,$B$292,$B$293,CONCATENATE("Per=",$B$290),"Dts=H","Dir=H",CONCATENATE("Points=",$B$291),"Sort=R","Days=A","Fill=B","DZ665=246397","X0012=Class 6-7","X0001=NAMX",CONCATENATE("FX=", $B$289),"cols=40;rows=1")</f>
        <v/>
      </c>
      <c r="Q359">
        <v>433</v>
      </c>
      <c r="R359">
        <v>361</v>
      </c>
      <c r="S359">
        <v>293</v>
      </c>
      <c r="T359">
        <v>318</v>
      </c>
      <c r="U359">
        <v>418</v>
      </c>
      <c r="V359">
        <v>367</v>
      </c>
      <c r="W359">
        <v>454</v>
      </c>
      <c r="X359">
        <v>293</v>
      </c>
      <c r="Y359">
        <v>272</v>
      </c>
      <c r="Z359">
        <v>368</v>
      </c>
      <c r="AA359">
        <v>260</v>
      </c>
      <c r="AB359">
        <v>188</v>
      </c>
      <c r="AC359">
        <v>342</v>
      </c>
      <c r="AD359">
        <v>274</v>
      </c>
      <c r="AE359">
        <v>257</v>
      </c>
      <c r="AF359">
        <v>239</v>
      </c>
      <c r="AG359">
        <v>239</v>
      </c>
      <c r="AH359">
        <v>287</v>
      </c>
      <c r="AI359">
        <v>282</v>
      </c>
      <c r="AJ359">
        <v>194</v>
      </c>
      <c r="AK359">
        <v>238</v>
      </c>
      <c r="AL359">
        <v>195</v>
      </c>
      <c r="AM359">
        <v>152</v>
      </c>
      <c r="AN359">
        <v>187</v>
      </c>
      <c r="AO359">
        <v>222</v>
      </c>
      <c r="AP359">
        <v>204</v>
      </c>
      <c r="AQ359">
        <v>205</v>
      </c>
      <c r="AR359">
        <v>206</v>
      </c>
      <c r="AS359">
        <v>280</v>
      </c>
      <c r="AT359" t="str">
        <f>""</f>
        <v/>
      </c>
      <c r="AU359" t="str">
        <f>""</f>
        <v/>
      </c>
      <c r="AV359" t="str">
        <f>""</f>
        <v/>
      </c>
      <c r="AW359" t="str">
        <f>""</f>
        <v/>
      </c>
      <c r="AX359" t="str">
        <f>""</f>
        <v/>
      </c>
      <c r="AY359" t="str">
        <f>""</f>
        <v/>
      </c>
      <c r="AZ359" t="str">
        <f>""</f>
        <v/>
      </c>
      <c r="BA359" t="str">
        <f>""</f>
        <v/>
      </c>
      <c r="BB359" t="str">
        <f>""</f>
        <v/>
      </c>
      <c r="BC359" t="str">
        <f>""</f>
        <v/>
      </c>
      <c r="BD359" t="str">
        <f>""</f>
        <v/>
      </c>
      <c r="BE359" t="str">
        <f>""</f>
        <v/>
      </c>
      <c r="BF359" t="str">
        <f>""</f>
        <v/>
      </c>
      <c r="BG359" t="str">
        <f>""</f>
        <v/>
      </c>
      <c r="BH359" t="str">
        <f>""</f>
        <v/>
      </c>
      <c r="BI359" t="str">
        <f>""</f>
        <v/>
      </c>
      <c r="BJ359" t="str">
        <f>""</f>
        <v/>
      </c>
      <c r="BK359" t="str">
        <f>""</f>
        <v/>
      </c>
      <c r="BL359" t="str">
        <f>""</f>
        <v/>
      </c>
      <c r="BM359" t="str">
        <f>""</f>
        <v/>
      </c>
      <c r="BN359" t="str">
        <f>""</f>
        <v/>
      </c>
      <c r="BO359" t="str">
        <f>""</f>
        <v/>
      </c>
      <c r="BP359" t="str">
        <f>""</f>
        <v/>
      </c>
      <c r="BQ359" t="str">
        <f>""</f>
        <v/>
      </c>
      <c r="BR359" t="str">
        <f>""</f>
        <v/>
      </c>
      <c r="BS359" t="str">
        <f>""</f>
        <v/>
      </c>
      <c r="BT359" t="str">
        <f>""</f>
        <v/>
      </c>
      <c r="BU359" t="str">
        <f>""</f>
        <v/>
      </c>
      <c r="BV359" t="str">
        <f>""</f>
        <v/>
      </c>
      <c r="BW359" t="str">
        <f>""</f>
        <v/>
      </c>
      <c r="BX359" t="str">
        <f>""</f>
        <v/>
      </c>
      <c r="BY359" t="str">
        <f>""</f>
        <v/>
      </c>
      <c r="BZ359" t="str">
        <f>""</f>
        <v/>
      </c>
      <c r="CA359" t="str">
        <f>""</f>
        <v/>
      </c>
      <c r="CB359" t="str">
        <f>""</f>
        <v/>
      </c>
      <c r="CC359" t="str">
        <f>""</f>
        <v/>
      </c>
      <c r="CD359" t="str">
        <f>""</f>
        <v/>
      </c>
      <c r="CE359" t="str">
        <f>""</f>
        <v/>
      </c>
      <c r="CF359" t="str">
        <f>""</f>
        <v/>
      </c>
      <c r="CG359" t="str">
        <f>""</f>
        <v/>
      </c>
    </row>
    <row r="360" spans="1:85" x14ac:dyDescent="0.25">
      <c r="A360" t="str">
        <f>$A$267</f>
        <v xml:space="preserve">    Daimler - Sterling</v>
      </c>
      <c r="B360" t="str">
        <f>$B$267</f>
        <v>DAI GR Equity</v>
      </c>
      <c r="C360" t="str">
        <f>$C$267</f>
        <v>X1701</v>
      </c>
      <c r="D360" t="str">
        <f>$D$267</f>
        <v>WARDS_RETAIL_SALES_UNITS</v>
      </c>
      <c r="E360" t="str">
        <f>$E$267</f>
        <v>Dynamic</v>
      </c>
      <c r="F360" t="str">
        <f ca="1">_xll.BDH($B$267,$C$267,$B$292,$B$293,CONCATENATE("Per=",$B$290),"Dts=H","Dir=H",CONCATENATE("Points=",$B$291),"Sort=R","Days=A","Fill=B","DZ665=25574529","X0012=Class 6-7","X0001=NAMX",CONCATENATE("FX=", $B$289) )</f>
        <v/>
      </c>
      <c r="AT360" t="str">
        <f>""</f>
        <v/>
      </c>
      <c r="AU360" t="str">
        <f>""</f>
        <v/>
      </c>
      <c r="AV360" t="str">
        <f>""</f>
        <v/>
      </c>
      <c r="AW360" t="str">
        <f>""</f>
        <v/>
      </c>
      <c r="AX360" t="str">
        <f>""</f>
        <v/>
      </c>
      <c r="AY360" t="str">
        <f>""</f>
        <v/>
      </c>
      <c r="AZ360" t="str">
        <f>""</f>
        <v/>
      </c>
      <c r="BA360" t="str">
        <f>""</f>
        <v/>
      </c>
      <c r="BB360" t="str">
        <f>""</f>
        <v/>
      </c>
      <c r="BC360" t="str">
        <f>""</f>
        <v/>
      </c>
      <c r="BD360" t="str">
        <f>""</f>
        <v/>
      </c>
      <c r="BE360" t="str">
        <f>""</f>
        <v/>
      </c>
      <c r="BF360" t="str">
        <f>""</f>
        <v/>
      </c>
      <c r="BG360" t="str">
        <f>""</f>
        <v/>
      </c>
      <c r="BH360" t="str">
        <f>""</f>
        <v/>
      </c>
      <c r="BI360" t="str">
        <f>""</f>
        <v/>
      </c>
      <c r="BJ360" t="str">
        <f>""</f>
        <v/>
      </c>
      <c r="BK360" t="str">
        <f>""</f>
        <v/>
      </c>
      <c r="BL360" t="str">
        <f>""</f>
        <v/>
      </c>
      <c r="BM360" t="str">
        <f>""</f>
        <v/>
      </c>
      <c r="BN360" t="str">
        <f>""</f>
        <v/>
      </c>
      <c r="BO360" t="str">
        <f>""</f>
        <v/>
      </c>
      <c r="BP360" t="str">
        <f>""</f>
        <v/>
      </c>
      <c r="BQ360" t="str">
        <f>""</f>
        <v/>
      </c>
      <c r="BR360" t="str">
        <f>""</f>
        <v/>
      </c>
      <c r="BS360" t="str">
        <f>""</f>
        <v/>
      </c>
      <c r="BT360" t="str">
        <f>""</f>
        <v/>
      </c>
      <c r="BU360" t="str">
        <f>""</f>
        <v/>
      </c>
      <c r="BV360" t="str">
        <f>""</f>
        <v/>
      </c>
      <c r="BW360" t="str">
        <f>""</f>
        <v/>
      </c>
      <c r="BX360" t="str">
        <f>""</f>
        <v/>
      </c>
      <c r="BY360" t="str">
        <f>""</f>
        <v/>
      </c>
      <c r="BZ360" t="str">
        <f>""</f>
        <v/>
      </c>
      <c r="CA360" t="str">
        <f>""</f>
        <v/>
      </c>
      <c r="CB360" t="str">
        <f>""</f>
        <v/>
      </c>
      <c r="CC360" t="str">
        <f>""</f>
        <v/>
      </c>
      <c r="CD360" t="str">
        <f>""</f>
        <v/>
      </c>
      <c r="CE360" t="str">
        <f>""</f>
        <v/>
      </c>
      <c r="CF360" t="str">
        <f>""</f>
        <v/>
      </c>
      <c r="CG360" t="str">
        <f>""</f>
        <v/>
      </c>
    </row>
    <row r="361" spans="1:85" x14ac:dyDescent="0.25">
      <c r="A361" t="str">
        <f>$A$268</f>
        <v xml:space="preserve">    Navistar - International</v>
      </c>
      <c r="B361" t="str">
        <f>$B$268</f>
        <v>NAV US Equity</v>
      </c>
      <c r="C361" t="str">
        <f>$C$268</f>
        <v>X1701</v>
      </c>
      <c r="D361" t="str">
        <f>$D$268</f>
        <v>WARDS_RETAIL_SALES_UNITS</v>
      </c>
      <c r="E361" t="str">
        <f>$E$268</f>
        <v>Dynamic</v>
      </c>
      <c r="F361" t="str">
        <f ca="1">_xll.BDH($B$268,$C$268,$B$292,$B$293,CONCATENATE("Per=",$B$290),"Dts=H","Dir=H",CONCATENATE("Points=",$B$291),"Sort=R","Days=A","Fill=B","DZ665=377405","X0012=Class 6-7","X0001=NAMX",CONCATENATE("FX=", $B$289),"cols=40;rows=1")</f>
        <v/>
      </c>
      <c r="G361">
        <v>169</v>
      </c>
      <c r="H361">
        <v>120</v>
      </c>
      <c r="I361">
        <v>180</v>
      </c>
      <c r="J361">
        <v>115</v>
      </c>
      <c r="K361">
        <v>117</v>
      </c>
      <c r="L361">
        <v>109</v>
      </c>
      <c r="M361">
        <v>113</v>
      </c>
      <c r="N361">
        <v>118</v>
      </c>
      <c r="O361">
        <v>161</v>
      </c>
      <c r="P361">
        <v>173</v>
      </c>
      <c r="Q361">
        <v>134</v>
      </c>
      <c r="R361">
        <v>79</v>
      </c>
      <c r="S361">
        <v>150</v>
      </c>
      <c r="T361">
        <v>197</v>
      </c>
      <c r="U361">
        <v>153</v>
      </c>
      <c r="V361">
        <v>182</v>
      </c>
      <c r="W361">
        <v>157</v>
      </c>
      <c r="X361">
        <v>103</v>
      </c>
      <c r="Y361">
        <v>121</v>
      </c>
      <c r="Z361">
        <v>145</v>
      </c>
      <c r="AA361">
        <v>125</v>
      </c>
      <c r="AB361">
        <v>76</v>
      </c>
      <c r="AC361">
        <v>143</v>
      </c>
      <c r="AD361">
        <v>113</v>
      </c>
      <c r="AE361">
        <v>112</v>
      </c>
      <c r="AF361">
        <v>122</v>
      </c>
      <c r="AG361">
        <v>90</v>
      </c>
      <c r="AH361">
        <v>92</v>
      </c>
      <c r="AI361">
        <v>108</v>
      </c>
      <c r="AJ361">
        <v>128</v>
      </c>
      <c r="AK361">
        <v>129</v>
      </c>
      <c r="AL361">
        <v>70</v>
      </c>
      <c r="AM361">
        <v>119</v>
      </c>
      <c r="AN361">
        <v>74</v>
      </c>
      <c r="AO361">
        <v>139</v>
      </c>
      <c r="AP361">
        <v>126</v>
      </c>
      <c r="AQ361">
        <v>128</v>
      </c>
      <c r="AR361">
        <v>75</v>
      </c>
      <c r="AS361">
        <v>99</v>
      </c>
      <c r="AT361" t="str">
        <f>""</f>
        <v/>
      </c>
      <c r="AU361" t="str">
        <f>""</f>
        <v/>
      </c>
      <c r="AV361" t="str">
        <f>""</f>
        <v/>
      </c>
      <c r="AW361" t="str">
        <f>""</f>
        <v/>
      </c>
      <c r="AX361" t="str">
        <f>""</f>
        <v/>
      </c>
      <c r="AY361" t="str">
        <f>""</f>
        <v/>
      </c>
      <c r="AZ361" t="str">
        <f>""</f>
        <v/>
      </c>
      <c r="BA361" t="str">
        <f>""</f>
        <v/>
      </c>
      <c r="BB361" t="str">
        <f>""</f>
        <v/>
      </c>
      <c r="BC361" t="str">
        <f>""</f>
        <v/>
      </c>
      <c r="BD361" t="str">
        <f>""</f>
        <v/>
      </c>
      <c r="BE361" t="str">
        <f>""</f>
        <v/>
      </c>
      <c r="BF361" t="str">
        <f>""</f>
        <v/>
      </c>
      <c r="BG361" t="str">
        <f>""</f>
        <v/>
      </c>
      <c r="BH361" t="str">
        <f>""</f>
        <v/>
      </c>
      <c r="BI361" t="str">
        <f>""</f>
        <v/>
      </c>
      <c r="BJ361" t="str">
        <f>""</f>
        <v/>
      </c>
      <c r="BK361" t="str">
        <f>""</f>
        <v/>
      </c>
      <c r="BL361" t="str">
        <f>""</f>
        <v/>
      </c>
      <c r="BM361" t="str">
        <f>""</f>
        <v/>
      </c>
      <c r="BN361" t="str">
        <f>""</f>
        <v/>
      </c>
      <c r="BO361" t="str">
        <f>""</f>
        <v/>
      </c>
      <c r="BP361" t="str">
        <f>""</f>
        <v/>
      </c>
      <c r="BQ361" t="str">
        <f>""</f>
        <v/>
      </c>
      <c r="BR361" t="str">
        <f>""</f>
        <v/>
      </c>
      <c r="BS361" t="str">
        <f>""</f>
        <v/>
      </c>
      <c r="BT361" t="str">
        <f>""</f>
        <v/>
      </c>
      <c r="BU361" t="str">
        <f>""</f>
        <v/>
      </c>
      <c r="BV361" t="str">
        <f>""</f>
        <v/>
      </c>
      <c r="BW361" t="str">
        <f>""</f>
        <v/>
      </c>
      <c r="BX361" t="str">
        <f>""</f>
        <v/>
      </c>
      <c r="BY361" t="str">
        <f>""</f>
        <v/>
      </c>
      <c r="BZ361" t="str">
        <f>""</f>
        <v/>
      </c>
      <c r="CA361" t="str">
        <f>""</f>
        <v/>
      </c>
      <c r="CB361" t="str">
        <f>""</f>
        <v/>
      </c>
      <c r="CC361" t="str">
        <f>""</f>
        <v/>
      </c>
      <c r="CD361" t="str">
        <f>""</f>
        <v/>
      </c>
      <c r="CE361" t="str">
        <f>""</f>
        <v/>
      </c>
      <c r="CF361" t="str">
        <f>""</f>
        <v/>
      </c>
      <c r="CG361" t="str">
        <f>""</f>
        <v/>
      </c>
    </row>
    <row r="362" spans="1:85" x14ac:dyDescent="0.25">
      <c r="A362" t="str">
        <f>$A$269</f>
        <v xml:space="preserve">    Isuzu</v>
      </c>
      <c r="B362" t="str">
        <f>$B$269</f>
        <v>7202 JP Equity</v>
      </c>
      <c r="C362" t="str">
        <f>$C$269</f>
        <v>X1701</v>
      </c>
      <c r="D362" t="str">
        <f>$D$269</f>
        <v>WARDS_RETAIL_SALES_UNITS</v>
      </c>
      <c r="E362" t="str">
        <f>$E$269</f>
        <v>Dynamic</v>
      </c>
      <c r="F362" t="str">
        <f ca="1">_xll.BDH($B$269,$C$269,$B$292,$B$293,CONCATENATE("Per=",$B$290),"Dts=H","Dir=H",CONCATENATE("Points=",$B$291),"Sort=R","Days=A","Fill=B","DZ665=25574533","X0012=Class 6-7","X0001=NAMX","DS276=Y",CONCATENATE("FX=", $B$289),"cols=40;rows=1")</f>
        <v/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42</v>
      </c>
      <c r="R362">
        <v>36</v>
      </c>
      <c r="S362">
        <v>19</v>
      </c>
      <c r="T362">
        <v>32</v>
      </c>
      <c r="U362">
        <v>38</v>
      </c>
      <c r="V362">
        <v>31</v>
      </c>
      <c r="W362">
        <v>26</v>
      </c>
      <c r="X362">
        <v>31</v>
      </c>
      <c r="Y362">
        <v>33</v>
      </c>
      <c r="Z362">
        <v>21</v>
      </c>
      <c r="AA362">
        <v>28</v>
      </c>
      <c r="AB362">
        <v>23</v>
      </c>
      <c r="AC362">
        <v>94</v>
      </c>
      <c r="AD362">
        <v>75</v>
      </c>
      <c r="AE362">
        <v>70</v>
      </c>
      <c r="AF362">
        <v>66</v>
      </c>
      <c r="AG362">
        <v>66</v>
      </c>
      <c r="AH362">
        <v>66</v>
      </c>
      <c r="AI362">
        <v>63</v>
      </c>
      <c r="AJ362">
        <v>59</v>
      </c>
      <c r="AK362">
        <v>56</v>
      </c>
      <c r="AL362">
        <v>73</v>
      </c>
      <c r="AM362">
        <v>68</v>
      </c>
      <c r="AN362">
        <v>73</v>
      </c>
      <c r="AO362">
        <v>100</v>
      </c>
      <c r="AP362">
        <v>91</v>
      </c>
      <c r="AQ362">
        <v>94</v>
      </c>
      <c r="AR362">
        <v>28</v>
      </c>
      <c r="AS362">
        <v>27</v>
      </c>
      <c r="AT362" t="str">
        <f>""</f>
        <v/>
      </c>
      <c r="AU362" t="str">
        <f>""</f>
        <v/>
      </c>
      <c r="AV362" t="str">
        <f>""</f>
        <v/>
      </c>
      <c r="AW362" t="str">
        <f>""</f>
        <v/>
      </c>
      <c r="AX362" t="str">
        <f>""</f>
        <v/>
      </c>
      <c r="AY362" t="str">
        <f>""</f>
        <v/>
      </c>
      <c r="AZ362" t="str">
        <f>""</f>
        <v/>
      </c>
      <c r="BA362" t="str">
        <f>""</f>
        <v/>
      </c>
      <c r="BB362" t="str">
        <f>""</f>
        <v/>
      </c>
      <c r="BC362" t="str">
        <f>""</f>
        <v/>
      </c>
      <c r="BD362" t="str">
        <f>""</f>
        <v/>
      </c>
      <c r="BE362" t="str">
        <f>""</f>
        <v/>
      </c>
      <c r="BF362" t="str">
        <f>""</f>
        <v/>
      </c>
      <c r="BG362" t="str">
        <f>""</f>
        <v/>
      </c>
      <c r="BH362" t="str">
        <f>""</f>
        <v/>
      </c>
      <c r="BI362" t="str">
        <f>""</f>
        <v/>
      </c>
      <c r="BJ362" t="str">
        <f>""</f>
        <v/>
      </c>
      <c r="BK362" t="str">
        <f>""</f>
        <v/>
      </c>
      <c r="BL362" t="str">
        <f>""</f>
        <v/>
      </c>
      <c r="BM362" t="str">
        <f>""</f>
        <v/>
      </c>
      <c r="BN362" t="str">
        <f>""</f>
        <v/>
      </c>
      <c r="BO362" t="str">
        <f>""</f>
        <v/>
      </c>
      <c r="BP362" t="str">
        <f>""</f>
        <v/>
      </c>
      <c r="BQ362" t="str">
        <f>""</f>
        <v/>
      </c>
      <c r="BR362" t="str">
        <f>""</f>
        <v/>
      </c>
      <c r="BS362" t="str">
        <f>""</f>
        <v/>
      </c>
      <c r="BT362" t="str">
        <f>""</f>
        <v/>
      </c>
      <c r="BU362" t="str">
        <f>""</f>
        <v/>
      </c>
      <c r="BV362" t="str">
        <f>""</f>
        <v/>
      </c>
      <c r="BW362" t="str">
        <f>""</f>
        <v/>
      </c>
      <c r="BX362" t="str">
        <f>""</f>
        <v/>
      </c>
      <c r="BY362" t="str">
        <f>""</f>
        <v/>
      </c>
      <c r="BZ362" t="str">
        <f>""</f>
        <v/>
      </c>
      <c r="CA362" t="str">
        <f>""</f>
        <v/>
      </c>
      <c r="CB362" t="str">
        <f>""</f>
        <v/>
      </c>
      <c r="CC362" t="str">
        <f>""</f>
        <v/>
      </c>
      <c r="CD362" t="str">
        <f>""</f>
        <v/>
      </c>
      <c r="CE362" t="str">
        <f>""</f>
        <v/>
      </c>
      <c r="CF362" t="str">
        <f>""</f>
        <v/>
      </c>
      <c r="CG362" t="str">
        <f>""</f>
        <v/>
      </c>
    </row>
    <row r="363" spans="1:85" x14ac:dyDescent="0.25">
      <c r="A363" t="str">
        <f>$A$270</f>
        <v xml:space="preserve">    Hino</v>
      </c>
      <c r="B363" t="str">
        <f>$B$270</f>
        <v>7205 JP Equity</v>
      </c>
      <c r="C363" t="str">
        <f>$C$270</f>
        <v>X1701</v>
      </c>
      <c r="D363" t="str">
        <f>$D$270</f>
        <v>WARDS_RETAIL_SALES_UNITS</v>
      </c>
      <c r="E363" t="str">
        <f>$E$270</f>
        <v>Dynamic</v>
      </c>
      <c r="F363" t="str">
        <f ca="1">_xll.BDH($B$270,$C$270,$B$292,$B$293,CONCATENATE("Per=",$B$290),"Dts=H","Dir=H",CONCATENATE("Points=",$B$291),"Sort=R","Days=A","Fill=B","DZ665=1727201","X0012=Class 6-7","X0001=NAMX","DS276=Y",CONCATENATE("FX=", $B$289),"cols=40;rows=1")</f>
        <v/>
      </c>
      <c r="Q363">
        <v>120</v>
      </c>
      <c r="R363">
        <v>92</v>
      </c>
      <c r="S363">
        <v>78</v>
      </c>
      <c r="T363">
        <v>82</v>
      </c>
      <c r="U363">
        <v>73</v>
      </c>
      <c r="V363">
        <v>61</v>
      </c>
      <c r="W363">
        <v>64</v>
      </c>
      <c r="X363">
        <v>76</v>
      </c>
      <c r="Y363">
        <v>75</v>
      </c>
      <c r="Z363">
        <v>61</v>
      </c>
      <c r="AA363">
        <v>53</v>
      </c>
      <c r="AB363">
        <v>69</v>
      </c>
      <c r="AC363">
        <v>69</v>
      </c>
      <c r="AD363">
        <v>55</v>
      </c>
      <c r="AE363">
        <v>51</v>
      </c>
      <c r="AF363">
        <v>48</v>
      </c>
      <c r="AG363">
        <v>48</v>
      </c>
      <c r="AH363">
        <v>48</v>
      </c>
      <c r="AI363">
        <v>46</v>
      </c>
      <c r="AJ363">
        <v>42</v>
      </c>
      <c r="AK363">
        <v>40</v>
      </c>
      <c r="AL363">
        <v>53</v>
      </c>
      <c r="AM363">
        <v>49</v>
      </c>
      <c r="AN363">
        <v>53</v>
      </c>
      <c r="AO363">
        <v>87</v>
      </c>
      <c r="AP363">
        <v>81</v>
      </c>
      <c r="AQ363">
        <v>79</v>
      </c>
      <c r="AR363">
        <v>32</v>
      </c>
      <c r="AS363">
        <v>23</v>
      </c>
      <c r="AT363" t="str">
        <f>""</f>
        <v/>
      </c>
      <c r="AU363" t="str">
        <f>""</f>
        <v/>
      </c>
      <c r="AV363" t="str">
        <f>""</f>
        <v/>
      </c>
      <c r="AW363" t="str">
        <f>""</f>
        <v/>
      </c>
      <c r="AX363" t="str">
        <f>""</f>
        <v/>
      </c>
      <c r="AY363" t="str">
        <f>""</f>
        <v/>
      </c>
      <c r="AZ363" t="str">
        <f>""</f>
        <v/>
      </c>
      <c r="BA363" t="str">
        <f>""</f>
        <v/>
      </c>
      <c r="BB363" t="str">
        <f>""</f>
        <v/>
      </c>
      <c r="BC363" t="str">
        <f>""</f>
        <v/>
      </c>
      <c r="BD363" t="str">
        <f>""</f>
        <v/>
      </c>
      <c r="BE363" t="str">
        <f>""</f>
        <v/>
      </c>
      <c r="BF363" t="str">
        <f>""</f>
        <v/>
      </c>
      <c r="BG363" t="str">
        <f>""</f>
        <v/>
      </c>
      <c r="BH363" t="str">
        <f>""</f>
        <v/>
      </c>
      <c r="BI363" t="str">
        <f>""</f>
        <v/>
      </c>
      <c r="BJ363" t="str">
        <f>""</f>
        <v/>
      </c>
      <c r="BK363" t="str">
        <f>""</f>
        <v/>
      </c>
      <c r="BL363" t="str">
        <f>""</f>
        <v/>
      </c>
      <c r="BM363" t="str">
        <f>""</f>
        <v/>
      </c>
      <c r="BN363" t="str">
        <f>""</f>
        <v/>
      </c>
      <c r="BO363" t="str">
        <f>""</f>
        <v/>
      </c>
      <c r="BP363" t="str">
        <f>""</f>
        <v/>
      </c>
      <c r="BQ363" t="str">
        <f>""</f>
        <v/>
      </c>
      <c r="BR363" t="str">
        <f>""</f>
        <v/>
      </c>
      <c r="BS363" t="str">
        <f>""</f>
        <v/>
      </c>
      <c r="BT363" t="str">
        <f>""</f>
        <v/>
      </c>
      <c r="BU363" t="str">
        <f>""</f>
        <v/>
      </c>
      <c r="BV363" t="str">
        <f>""</f>
        <v/>
      </c>
      <c r="BW363" t="str">
        <f>""</f>
        <v/>
      </c>
      <c r="BX363" t="str">
        <f>""</f>
        <v/>
      </c>
      <c r="BY363" t="str">
        <f>""</f>
        <v/>
      </c>
      <c r="BZ363" t="str">
        <f>""</f>
        <v/>
      </c>
      <c r="CA363" t="str">
        <f>""</f>
        <v/>
      </c>
      <c r="CB363" t="str">
        <f>""</f>
        <v/>
      </c>
      <c r="CC363" t="str">
        <f>""</f>
        <v/>
      </c>
      <c r="CD363" t="str">
        <f>""</f>
        <v/>
      </c>
      <c r="CE363" t="str">
        <f>""</f>
        <v/>
      </c>
      <c r="CF363" t="str">
        <f>""</f>
        <v/>
      </c>
      <c r="CG363" t="str">
        <f>""</f>
        <v/>
      </c>
    </row>
    <row r="364" spans="1:85" x14ac:dyDescent="0.25">
      <c r="A364" t="str">
        <f>$A$271</f>
        <v xml:space="preserve">    Dina Camiones</v>
      </c>
      <c r="B364" t="str">
        <f>$B$271</f>
        <v>8128757Z MM Equity</v>
      </c>
      <c r="C364" t="str">
        <f>$C$271</f>
        <v>X1701</v>
      </c>
      <c r="D364" t="str">
        <f>$D$271</f>
        <v>WARDS_RETAIL_SALES_UNITS</v>
      </c>
      <c r="E364" t="str">
        <f>$E$271</f>
        <v>Dynamic</v>
      </c>
      <c r="F364" t="str">
        <f ca="1">_xll.BDH($B$271,$C$271,$B$292,$B$293,CONCATENATE("Per=",$B$290),"Dts=H","Dir=H",CONCATENATE("Points=",$B$291),"Sort=R","Days=A","Fill=B","DZ665=25574537","X0012=Class 6-7","X0001=NAMX",CONCATENATE("FX=", $B$289),"cols=40;rows=1")</f>
        <v/>
      </c>
      <c r="Q364">
        <v>14</v>
      </c>
      <c r="R364">
        <v>12</v>
      </c>
      <c r="S364">
        <v>10</v>
      </c>
      <c r="T364">
        <v>10</v>
      </c>
      <c r="U364">
        <v>14</v>
      </c>
      <c r="V364">
        <v>12</v>
      </c>
      <c r="W364">
        <v>15</v>
      </c>
      <c r="X364">
        <v>10</v>
      </c>
      <c r="Y364">
        <v>9</v>
      </c>
      <c r="Z364">
        <v>13</v>
      </c>
      <c r="AA364">
        <v>8</v>
      </c>
      <c r="AB364">
        <v>6</v>
      </c>
      <c r="AC364">
        <v>52</v>
      </c>
      <c r="AD364">
        <v>42</v>
      </c>
      <c r="AE364">
        <v>39</v>
      </c>
      <c r="AF364">
        <v>37</v>
      </c>
      <c r="AG364">
        <v>37</v>
      </c>
      <c r="AH364">
        <v>37</v>
      </c>
      <c r="AI364">
        <v>35</v>
      </c>
      <c r="AJ364">
        <v>33</v>
      </c>
      <c r="AK364">
        <v>31</v>
      </c>
      <c r="AL364">
        <v>40</v>
      </c>
      <c r="AM364">
        <v>38</v>
      </c>
      <c r="AN364">
        <v>40</v>
      </c>
      <c r="AO364">
        <v>18</v>
      </c>
      <c r="AP364">
        <v>16</v>
      </c>
      <c r="AQ364">
        <v>16</v>
      </c>
      <c r="AR364">
        <v>128</v>
      </c>
      <c r="AS364">
        <v>29</v>
      </c>
      <c r="AT364" t="str">
        <f>""</f>
        <v/>
      </c>
      <c r="AU364" t="str">
        <f>""</f>
        <v/>
      </c>
      <c r="AV364" t="str">
        <f>""</f>
        <v/>
      </c>
      <c r="AW364" t="str">
        <f>""</f>
        <v/>
      </c>
      <c r="AX364" t="str">
        <f>""</f>
        <v/>
      </c>
      <c r="AY364" t="str">
        <f>""</f>
        <v/>
      </c>
      <c r="AZ364" t="str">
        <f>""</f>
        <v/>
      </c>
      <c r="BA364" t="str">
        <f>""</f>
        <v/>
      </c>
      <c r="BB364" t="str">
        <f>""</f>
        <v/>
      </c>
      <c r="BC364" t="str">
        <f>""</f>
        <v/>
      </c>
      <c r="BD364" t="str">
        <f>""</f>
        <v/>
      </c>
      <c r="BE364" t="str">
        <f>""</f>
        <v/>
      </c>
      <c r="BF364" t="str">
        <f>""</f>
        <v/>
      </c>
      <c r="BG364" t="str">
        <f>""</f>
        <v/>
      </c>
      <c r="BH364" t="str">
        <f>""</f>
        <v/>
      </c>
      <c r="BI364" t="str">
        <f>""</f>
        <v/>
      </c>
      <c r="BJ364" t="str">
        <f>""</f>
        <v/>
      </c>
      <c r="BK364" t="str">
        <f>""</f>
        <v/>
      </c>
      <c r="BL364" t="str">
        <f>""</f>
        <v/>
      </c>
      <c r="BM364" t="str">
        <f>""</f>
        <v/>
      </c>
      <c r="BN364" t="str">
        <f>""</f>
        <v/>
      </c>
      <c r="BO364" t="str">
        <f>""</f>
        <v/>
      </c>
      <c r="BP364" t="str">
        <f>""</f>
        <v/>
      </c>
      <c r="BQ364" t="str">
        <f>""</f>
        <v/>
      </c>
      <c r="BR364" t="str">
        <f>""</f>
        <v/>
      </c>
      <c r="BS364" t="str">
        <f>""</f>
        <v/>
      </c>
      <c r="BT364" t="str">
        <f>""</f>
        <v/>
      </c>
      <c r="BU364" t="str">
        <f>""</f>
        <v/>
      </c>
      <c r="BV364" t="str">
        <f>""</f>
        <v/>
      </c>
      <c r="BW364" t="str">
        <f>""</f>
        <v/>
      </c>
      <c r="BX364" t="str">
        <f>""</f>
        <v/>
      </c>
      <c r="BY364" t="str">
        <f>""</f>
        <v/>
      </c>
      <c r="BZ364" t="str">
        <f>""</f>
        <v/>
      </c>
      <c r="CA364" t="str">
        <f>""</f>
        <v/>
      </c>
      <c r="CB364" t="str">
        <f>""</f>
        <v/>
      </c>
      <c r="CC364" t="str">
        <f>""</f>
        <v/>
      </c>
      <c r="CD364" t="str">
        <f>""</f>
        <v/>
      </c>
      <c r="CE364" t="str">
        <f>""</f>
        <v/>
      </c>
      <c r="CF364" t="str">
        <f>""</f>
        <v/>
      </c>
      <c r="CG364" t="str">
        <f>""</f>
        <v/>
      </c>
    </row>
    <row r="365" spans="1:85" x14ac:dyDescent="0.25">
      <c r="A365" t="str">
        <f>$A$272</f>
        <v xml:space="preserve">    PACCAR - Kenworth</v>
      </c>
      <c r="B365" t="str">
        <f>$B$272</f>
        <v>PCAR US Equity</v>
      </c>
      <c r="C365" t="str">
        <f>$C$272</f>
        <v>X1701</v>
      </c>
      <c r="D365" t="str">
        <f>$D$272</f>
        <v>WARDS_RETAIL_SALES_UNITS</v>
      </c>
      <c r="E365" t="str">
        <f>$E$272</f>
        <v>Dynamic</v>
      </c>
      <c r="F365" t="str">
        <f ca="1">_xll.BDH($B$272,$C$272,$B$292,$B$293,CONCATENATE("Per=",$B$290),"Dts=H","Dir=H",CONCATENATE("Points=",$B$291),"Sort=R","Days=A","Fill=B","DZ665=267317","X0012=Class 6-7","X0001=NAMX",CONCATENATE("FX=", $B$289),"cols=40;rows=1")</f>
        <v/>
      </c>
      <c r="G365">
        <v>1</v>
      </c>
      <c r="H365">
        <v>8</v>
      </c>
      <c r="I365">
        <v>10</v>
      </c>
      <c r="J365">
        <v>7</v>
      </c>
      <c r="K365">
        <v>8</v>
      </c>
      <c r="L365">
        <v>7</v>
      </c>
      <c r="M365">
        <v>3</v>
      </c>
      <c r="N365">
        <v>12</v>
      </c>
      <c r="O365">
        <v>2</v>
      </c>
      <c r="P365">
        <v>2</v>
      </c>
      <c r="Q365">
        <v>8</v>
      </c>
      <c r="R365">
        <v>13</v>
      </c>
      <c r="S365">
        <v>5</v>
      </c>
      <c r="T365">
        <v>8</v>
      </c>
      <c r="U365">
        <v>13</v>
      </c>
      <c r="V365">
        <v>16</v>
      </c>
      <c r="W365">
        <v>9</v>
      </c>
      <c r="X365">
        <v>8</v>
      </c>
      <c r="Y365">
        <v>5</v>
      </c>
      <c r="Z365">
        <v>15</v>
      </c>
      <c r="AA365">
        <v>10</v>
      </c>
      <c r="AB365">
        <v>4</v>
      </c>
      <c r="AC365">
        <v>12</v>
      </c>
      <c r="AD365">
        <v>6</v>
      </c>
      <c r="AE365">
        <v>16</v>
      </c>
      <c r="AF365">
        <v>1</v>
      </c>
      <c r="AG365">
        <v>23</v>
      </c>
      <c r="AH365">
        <v>15</v>
      </c>
      <c r="AI365">
        <v>10</v>
      </c>
      <c r="AJ365">
        <v>12</v>
      </c>
      <c r="AK365">
        <v>6</v>
      </c>
      <c r="AL365">
        <v>10</v>
      </c>
      <c r="AM365">
        <v>8</v>
      </c>
      <c r="AN365">
        <v>8</v>
      </c>
      <c r="AO365">
        <v>32</v>
      </c>
      <c r="AP365">
        <v>29</v>
      </c>
      <c r="AQ365">
        <v>29</v>
      </c>
      <c r="AR365">
        <v>18</v>
      </c>
      <c r="AS365">
        <v>20</v>
      </c>
      <c r="AT365" t="str">
        <f>""</f>
        <v/>
      </c>
      <c r="AU365" t="str">
        <f>""</f>
        <v/>
      </c>
      <c r="AV365" t="str">
        <f>""</f>
        <v/>
      </c>
      <c r="AW365" t="str">
        <f>""</f>
        <v/>
      </c>
      <c r="AX365" t="str">
        <f>""</f>
        <v/>
      </c>
      <c r="AY365" t="str">
        <f>""</f>
        <v/>
      </c>
      <c r="AZ365" t="str">
        <f>""</f>
        <v/>
      </c>
      <c r="BA365" t="str">
        <f>""</f>
        <v/>
      </c>
      <c r="BB365" t="str">
        <f>""</f>
        <v/>
      </c>
      <c r="BC365" t="str">
        <f>""</f>
        <v/>
      </c>
      <c r="BD365" t="str">
        <f>""</f>
        <v/>
      </c>
      <c r="BE365" t="str">
        <f>""</f>
        <v/>
      </c>
      <c r="BF365" t="str">
        <f>""</f>
        <v/>
      </c>
      <c r="BG365" t="str">
        <f>""</f>
        <v/>
      </c>
      <c r="BH365" t="str">
        <f>""</f>
        <v/>
      </c>
      <c r="BI365" t="str">
        <f>""</f>
        <v/>
      </c>
      <c r="BJ365" t="str">
        <f>""</f>
        <v/>
      </c>
      <c r="BK365" t="str">
        <f>""</f>
        <v/>
      </c>
      <c r="BL365" t="str">
        <f>""</f>
        <v/>
      </c>
      <c r="BM365" t="str">
        <f>""</f>
        <v/>
      </c>
      <c r="BN365" t="str">
        <f>""</f>
        <v/>
      </c>
      <c r="BO365" t="str">
        <f>""</f>
        <v/>
      </c>
      <c r="BP365" t="str">
        <f>""</f>
        <v/>
      </c>
      <c r="BQ365" t="str">
        <f>""</f>
        <v/>
      </c>
      <c r="BR365" t="str">
        <f>""</f>
        <v/>
      </c>
      <c r="BS365" t="str">
        <f>""</f>
        <v/>
      </c>
      <c r="BT365" t="str">
        <f>""</f>
        <v/>
      </c>
      <c r="BU365" t="str">
        <f>""</f>
        <v/>
      </c>
      <c r="BV365" t="str">
        <f>""</f>
        <v/>
      </c>
      <c r="BW365" t="str">
        <f>""</f>
        <v/>
      </c>
      <c r="BX365" t="str">
        <f>""</f>
        <v/>
      </c>
      <c r="BY365" t="str">
        <f>""</f>
        <v/>
      </c>
      <c r="BZ365" t="str">
        <f>""</f>
        <v/>
      </c>
      <c r="CA365" t="str">
        <f>""</f>
        <v/>
      </c>
      <c r="CB365" t="str">
        <f>""</f>
        <v/>
      </c>
      <c r="CC365" t="str">
        <f>""</f>
        <v/>
      </c>
      <c r="CD365" t="str">
        <f>""</f>
        <v/>
      </c>
      <c r="CE365" t="str">
        <f>""</f>
        <v/>
      </c>
      <c r="CF365" t="str">
        <f>""</f>
        <v/>
      </c>
      <c r="CG365" t="str">
        <f>""</f>
        <v/>
      </c>
    </row>
    <row r="366" spans="1:85" x14ac:dyDescent="0.25">
      <c r="A366" t="str">
        <f>$A$273</f>
        <v xml:space="preserve">    Volvo - Volvo Truck</v>
      </c>
      <c r="B366" t="str">
        <f>$B$273</f>
        <v>VOLVB SS Equity</v>
      </c>
      <c r="C366" t="str">
        <f>$C$273</f>
        <v>X1701</v>
      </c>
      <c r="D366" t="str">
        <f>$D$273</f>
        <v>WARDS_RETAIL_SALES_UNITS</v>
      </c>
      <c r="E366" t="str">
        <f>$E$273</f>
        <v>Dynamic</v>
      </c>
      <c r="F366" t="str">
        <f ca="1">_xll.BDH($B$273,$C$273,$B$292,$B$293,CONCATENATE("Per=",$B$290),"Dts=H","Dir=H",CONCATENATE("Points=",$B$291),"Sort=R","Days=A","Fill=B","DZ665=20497950","X0012=Class 6-7","X0001=NAMX",CONCATENATE("FX=", $B$289) )</f>
        <v/>
      </c>
      <c r="AT366" t="str">
        <f>""</f>
        <v/>
      </c>
      <c r="AU366" t="str">
        <f>""</f>
        <v/>
      </c>
      <c r="AV366" t="str">
        <f>""</f>
        <v/>
      </c>
      <c r="AW366" t="str">
        <f>""</f>
        <v/>
      </c>
      <c r="AX366" t="str">
        <f>""</f>
        <v/>
      </c>
      <c r="AY366" t="str">
        <f>""</f>
        <v/>
      </c>
      <c r="AZ366" t="str">
        <f>""</f>
        <v/>
      </c>
      <c r="BA366" t="str">
        <f>""</f>
        <v/>
      </c>
      <c r="BB366" t="str">
        <f>""</f>
        <v/>
      </c>
      <c r="BC366" t="str">
        <f>""</f>
        <v/>
      </c>
      <c r="BD366" t="str">
        <f>""</f>
        <v/>
      </c>
      <c r="BE366" t="str">
        <f>""</f>
        <v/>
      </c>
      <c r="BF366" t="str">
        <f>""</f>
        <v/>
      </c>
      <c r="BG366" t="str">
        <f>""</f>
        <v/>
      </c>
      <c r="BH366" t="str">
        <f>""</f>
        <v/>
      </c>
      <c r="BI366" t="str">
        <f>""</f>
        <v/>
      </c>
      <c r="BJ366" t="str">
        <f>""</f>
        <v/>
      </c>
      <c r="BK366" t="str">
        <f>""</f>
        <v/>
      </c>
      <c r="BL366" t="str">
        <f>""</f>
        <v/>
      </c>
      <c r="BM366" t="str">
        <f>""</f>
        <v/>
      </c>
      <c r="BN366" t="str">
        <f>""</f>
        <v/>
      </c>
      <c r="BO366" t="str">
        <f>""</f>
        <v/>
      </c>
      <c r="BP366" t="str">
        <f>""</f>
        <v/>
      </c>
      <c r="BQ366" t="str">
        <f>""</f>
        <v/>
      </c>
      <c r="BR366" t="str">
        <f>""</f>
        <v/>
      </c>
      <c r="BS366" t="str">
        <f>""</f>
        <v/>
      </c>
      <c r="BT366" t="str">
        <f>""</f>
        <v/>
      </c>
      <c r="BU366" t="str">
        <f>""</f>
        <v/>
      </c>
      <c r="BV366" t="str">
        <f>""</f>
        <v/>
      </c>
      <c r="BW366" t="str">
        <f>""</f>
        <v/>
      </c>
      <c r="BX366" t="str">
        <f>""</f>
        <v/>
      </c>
      <c r="BY366" t="str">
        <f>""</f>
        <v/>
      </c>
      <c r="BZ366" t="str">
        <f>""</f>
        <v/>
      </c>
      <c r="CA366" t="str">
        <f>""</f>
        <v/>
      </c>
      <c r="CB366" t="str">
        <f>""</f>
        <v/>
      </c>
      <c r="CC366" t="str">
        <f>""</f>
        <v/>
      </c>
      <c r="CD366" t="str">
        <f>""</f>
        <v/>
      </c>
      <c r="CE366" t="str">
        <f>""</f>
        <v/>
      </c>
      <c r="CF366" t="str">
        <f>""</f>
        <v/>
      </c>
      <c r="CG366" t="str">
        <f>""</f>
        <v/>
      </c>
    </row>
    <row r="367" spans="1:85" x14ac:dyDescent="0.25">
      <c r="A367" t="str">
        <f>$A$274</f>
        <v xml:space="preserve">    General Motors - Chevrolet</v>
      </c>
      <c r="B367" t="str">
        <f>$B$274</f>
        <v>MTLQQ US Equity</v>
      </c>
      <c r="C367" t="str">
        <f>$C$274</f>
        <v>X1701</v>
      </c>
      <c r="D367" t="str">
        <f>$D$274</f>
        <v>WARDS_RETAIL_SALES_UNITS</v>
      </c>
      <c r="E367" t="str">
        <f>$E$274</f>
        <v>Dynamic</v>
      </c>
      <c r="F367" t="str">
        <f ca="1">_xll.BDH($B$274,$C$274,$B$292,$B$293,CONCATENATE("Per=",$B$290),"Dts=H","Dir=H",CONCATENATE("Points=",$B$291),"Sort=R","Days=A","Fill=B","DZ665=261172","X0012=Class 6-7","X0001=NAMX",CONCATENATE("FX=", $B$289) )</f>
        <v/>
      </c>
      <c r="AT367" t="str">
        <f>""</f>
        <v/>
      </c>
      <c r="AU367" t="str">
        <f>""</f>
        <v/>
      </c>
      <c r="AV367" t="str">
        <f>""</f>
        <v/>
      </c>
      <c r="AW367" t="str">
        <f>""</f>
        <v/>
      </c>
      <c r="AX367" t="str">
        <f>""</f>
        <v/>
      </c>
      <c r="AY367" t="str">
        <f>""</f>
        <v/>
      </c>
      <c r="AZ367" t="str">
        <f>""</f>
        <v/>
      </c>
      <c r="BA367" t="str">
        <f>""</f>
        <v/>
      </c>
      <c r="BB367" t="str">
        <f>""</f>
        <v/>
      </c>
      <c r="BC367" t="str">
        <f>""</f>
        <v/>
      </c>
      <c r="BD367" t="str">
        <f>""</f>
        <v/>
      </c>
      <c r="BE367" t="str">
        <f>""</f>
        <v/>
      </c>
      <c r="BF367" t="str">
        <f>""</f>
        <v/>
      </c>
      <c r="BG367" t="str">
        <f>""</f>
        <v/>
      </c>
      <c r="BH367" t="str">
        <f>""</f>
        <v/>
      </c>
      <c r="BI367" t="str">
        <f>""</f>
        <v/>
      </c>
      <c r="BJ367" t="str">
        <f>""</f>
        <v/>
      </c>
      <c r="BK367" t="str">
        <f>""</f>
        <v/>
      </c>
      <c r="BL367" t="str">
        <f>""</f>
        <v/>
      </c>
      <c r="BM367" t="str">
        <f>""</f>
        <v/>
      </c>
      <c r="BN367" t="str">
        <f>""</f>
        <v/>
      </c>
      <c r="BO367" t="str">
        <f>""</f>
        <v/>
      </c>
      <c r="BP367" t="str">
        <f>""</f>
        <v/>
      </c>
      <c r="BQ367" t="str">
        <f>""</f>
        <v/>
      </c>
      <c r="BR367" t="str">
        <f>""</f>
        <v/>
      </c>
      <c r="BS367" t="str">
        <f>""</f>
        <v/>
      </c>
      <c r="BT367" t="str">
        <f>""</f>
        <v/>
      </c>
      <c r="BU367" t="str">
        <f>""</f>
        <v/>
      </c>
      <c r="BV367" t="str">
        <f>""</f>
        <v/>
      </c>
      <c r="BW367" t="str">
        <f>""</f>
        <v/>
      </c>
      <c r="BX367" t="str">
        <f>""</f>
        <v/>
      </c>
      <c r="BY367" t="str">
        <f>""</f>
        <v/>
      </c>
      <c r="BZ367" t="str">
        <f>""</f>
        <v/>
      </c>
      <c r="CA367" t="str">
        <f>""</f>
        <v/>
      </c>
      <c r="CB367" t="str">
        <f>""</f>
        <v/>
      </c>
      <c r="CC367" t="str">
        <f>""</f>
        <v/>
      </c>
      <c r="CD367" t="str">
        <f>""</f>
        <v/>
      </c>
      <c r="CE367" t="str">
        <f>""</f>
        <v/>
      </c>
      <c r="CF367" t="str">
        <f>""</f>
        <v/>
      </c>
      <c r="CG367" t="str">
        <f>""</f>
        <v/>
      </c>
    </row>
    <row r="368" spans="1:85" x14ac:dyDescent="0.25">
      <c r="A368" t="str">
        <f>$A$275</f>
        <v xml:space="preserve">    MAN - MAN</v>
      </c>
      <c r="B368" t="str">
        <f>$B$275</f>
        <v>VOW GR Equity</v>
      </c>
      <c r="C368" t="str">
        <f>$C$275</f>
        <v>X1701</v>
      </c>
      <c r="D368" t="str">
        <f>$D$275</f>
        <v>WARDS_RETAIL_SALES_UNITS</v>
      </c>
      <c r="E368" t="str">
        <f>$E$275</f>
        <v>Dynamic</v>
      </c>
      <c r="F368" t="str">
        <f ca="1">_xll.BDH($B$275,$C$275,$B$292,$B$293,CONCATENATE("Per=",$B$290),"Dts=H","Dir=H",CONCATENATE("Points=",$B$291),"Sort=R","Days=A","Fill=B","DZ665=25574541","X0012=Class 6-7","X0001=NAMX",CONCATENATE("FX=", $B$289) )</f>
        <v/>
      </c>
      <c r="AT368" t="str">
        <f>""</f>
        <v/>
      </c>
      <c r="AU368" t="str">
        <f>""</f>
        <v/>
      </c>
      <c r="AV368" t="str">
        <f>""</f>
        <v/>
      </c>
      <c r="AW368" t="str">
        <f>""</f>
        <v/>
      </c>
      <c r="AX368" t="str">
        <f>""</f>
        <v/>
      </c>
      <c r="AY368" t="str">
        <f>""</f>
        <v/>
      </c>
      <c r="AZ368" t="str">
        <f>""</f>
        <v/>
      </c>
      <c r="BA368" t="str">
        <f>""</f>
        <v/>
      </c>
      <c r="BB368" t="str">
        <f>""</f>
        <v/>
      </c>
      <c r="BC368" t="str">
        <f>""</f>
        <v/>
      </c>
      <c r="BD368" t="str">
        <f>""</f>
        <v/>
      </c>
      <c r="BE368" t="str">
        <f>""</f>
        <v/>
      </c>
      <c r="BF368" t="str">
        <f>""</f>
        <v/>
      </c>
      <c r="BG368" t="str">
        <f>""</f>
        <v/>
      </c>
      <c r="BH368" t="str">
        <f>""</f>
        <v/>
      </c>
      <c r="BI368" t="str">
        <f>""</f>
        <v/>
      </c>
      <c r="BJ368" t="str">
        <f>""</f>
        <v/>
      </c>
      <c r="BK368" t="str">
        <f>""</f>
        <v/>
      </c>
      <c r="BL368" t="str">
        <f>""</f>
        <v/>
      </c>
      <c r="BM368" t="str">
        <f>""</f>
        <v/>
      </c>
      <c r="BN368" t="str">
        <f>""</f>
        <v/>
      </c>
      <c r="BO368" t="str">
        <f>""</f>
        <v/>
      </c>
      <c r="BP368" t="str">
        <f>""</f>
        <v/>
      </c>
      <c r="BQ368" t="str">
        <f>""</f>
        <v/>
      </c>
      <c r="BR368" t="str">
        <f>""</f>
        <v/>
      </c>
      <c r="BS368" t="str">
        <f>""</f>
        <v/>
      </c>
      <c r="BT368" t="str">
        <f>""</f>
        <v/>
      </c>
      <c r="BU368" t="str">
        <f>""</f>
        <v/>
      </c>
      <c r="BV368" t="str">
        <f>""</f>
        <v/>
      </c>
      <c r="BW368" t="str">
        <f>""</f>
        <v/>
      </c>
      <c r="BX368" t="str">
        <f>""</f>
        <v/>
      </c>
      <c r="BY368" t="str">
        <f>""</f>
        <v/>
      </c>
      <c r="BZ368" t="str">
        <f>""</f>
        <v/>
      </c>
      <c r="CA368" t="str">
        <f>""</f>
        <v/>
      </c>
      <c r="CB368" t="str">
        <f>""</f>
        <v/>
      </c>
      <c r="CC368" t="str">
        <f>""</f>
        <v/>
      </c>
      <c r="CD368" t="str">
        <f>""</f>
        <v/>
      </c>
      <c r="CE368" t="str">
        <f>""</f>
        <v/>
      </c>
      <c r="CF368" t="str">
        <f>""</f>
        <v/>
      </c>
      <c r="CG368" t="str">
        <f>""</f>
        <v/>
      </c>
    </row>
    <row r="369" spans="1:85" x14ac:dyDescent="0.25">
      <c r="A369" t="str">
        <f>$A$276</f>
        <v xml:space="preserve">    MAN - Volkswagen Truck &amp; Bus</v>
      </c>
      <c r="B369" t="str">
        <f>$B$276</f>
        <v>VOW GR Equity</v>
      </c>
      <c r="C369" t="str">
        <f>$C$276</f>
        <v>X1701</v>
      </c>
      <c r="D369" t="str">
        <f>$D$276</f>
        <v>WARDS_RETAIL_SALES_UNITS</v>
      </c>
      <c r="E369" t="str">
        <f>$E$276</f>
        <v>Dynamic</v>
      </c>
      <c r="F369" t="str">
        <f ca="1">_xll.BDH($B$276,$C$276,$B$292,$B$293,CONCATENATE("Per=",$B$290),"Dts=H","Dir=H",CONCATENATE("Points=",$B$291),"Sort=R","Days=A","Fill=B","DZ665=246930","X0012=Class 6-7","X0001=NAMX",CONCATENATE("FX=", $B$289),"cols=40;rows=1")</f>
        <v/>
      </c>
      <c r="Q369">
        <v>76</v>
      </c>
      <c r="R369">
        <v>57</v>
      </c>
      <c r="S369">
        <v>52</v>
      </c>
      <c r="T369">
        <v>50</v>
      </c>
      <c r="U369">
        <v>40</v>
      </c>
      <c r="V369">
        <v>34</v>
      </c>
      <c r="W369">
        <v>39</v>
      </c>
      <c r="X369">
        <v>46</v>
      </c>
      <c r="Y369">
        <v>44</v>
      </c>
      <c r="Z369">
        <v>39</v>
      </c>
      <c r="AA369">
        <v>30</v>
      </c>
      <c r="AB369">
        <v>44</v>
      </c>
      <c r="AC369">
        <v>74</v>
      </c>
      <c r="AD369">
        <v>59</v>
      </c>
      <c r="AE369">
        <v>55</v>
      </c>
      <c r="AF369">
        <v>52</v>
      </c>
      <c r="AG369">
        <v>52</v>
      </c>
      <c r="AH369">
        <v>52</v>
      </c>
      <c r="AI369">
        <v>50</v>
      </c>
      <c r="AJ369">
        <v>46</v>
      </c>
      <c r="AK369">
        <v>44</v>
      </c>
      <c r="AL369">
        <v>57</v>
      </c>
      <c r="AM369">
        <v>54</v>
      </c>
      <c r="AN369">
        <v>57</v>
      </c>
      <c r="AO369">
        <v>74</v>
      </c>
      <c r="AP369">
        <v>72</v>
      </c>
      <c r="AQ369">
        <v>75</v>
      </c>
      <c r="AR369">
        <v>28</v>
      </c>
      <c r="AS369">
        <v>26</v>
      </c>
      <c r="AT369" t="str">
        <f>""</f>
        <v/>
      </c>
      <c r="AU369" t="str">
        <f>""</f>
        <v/>
      </c>
      <c r="AV369" t="str">
        <f>""</f>
        <v/>
      </c>
      <c r="AW369" t="str">
        <f>""</f>
        <v/>
      </c>
      <c r="AX369" t="str">
        <f>""</f>
        <v/>
      </c>
      <c r="AY369" t="str">
        <f>""</f>
        <v/>
      </c>
      <c r="AZ369" t="str">
        <f>""</f>
        <v/>
      </c>
      <c r="BA369" t="str">
        <f>""</f>
        <v/>
      </c>
      <c r="BB369" t="str">
        <f>""</f>
        <v/>
      </c>
      <c r="BC369" t="str">
        <f>""</f>
        <v/>
      </c>
      <c r="BD369" t="str">
        <f>""</f>
        <v/>
      </c>
      <c r="BE369" t="str">
        <f>""</f>
        <v/>
      </c>
      <c r="BF369" t="str">
        <f>""</f>
        <v/>
      </c>
      <c r="BG369" t="str">
        <f>""</f>
        <v/>
      </c>
      <c r="BH369" t="str">
        <f>""</f>
        <v/>
      </c>
      <c r="BI369" t="str">
        <f>""</f>
        <v/>
      </c>
      <c r="BJ369" t="str">
        <f>""</f>
        <v/>
      </c>
      <c r="BK369" t="str">
        <f>""</f>
        <v/>
      </c>
      <c r="BL369" t="str">
        <f>""</f>
        <v/>
      </c>
      <c r="BM369" t="str">
        <f>""</f>
        <v/>
      </c>
      <c r="BN369" t="str">
        <f>""</f>
        <v/>
      </c>
      <c r="BO369" t="str">
        <f>""</f>
        <v/>
      </c>
      <c r="BP369" t="str">
        <f>""</f>
        <v/>
      </c>
      <c r="BQ369" t="str">
        <f>""</f>
        <v/>
      </c>
      <c r="BR369" t="str">
        <f>""</f>
        <v/>
      </c>
      <c r="BS369" t="str">
        <f>""</f>
        <v/>
      </c>
      <c r="BT369" t="str">
        <f>""</f>
        <v/>
      </c>
      <c r="BU369" t="str">
        <f>""</f>
        <v/>
      </c>
      <c r="BV369" t="str">
        <f>""</f>
        <v/>
      </c>
      <c r="BW369" t="str">
        <f>""</f>
        <v/>
      </c>
      <c r="BX369" t="str">
        <f>""</f>
        <v/>
      </c>
      <c r="BY369" t="str">
        <f>""</f>
        <v/>
      </c>
      <c r="BZ369" t="str">
        <f>""</f>
        <v/>
      </c>
      <c r="CA369" t="str">
        <f>""</f>
        <v/>
      </c>
      <c r="CB369" t="str">
        <f>""</f>
        <v/>
      </c>
      <c r="CC369" t="str">
        <f>""</f>
        <v/>
      </c>
      <c r="CD369" t="str">
        <f>""</f>
        <v/>
      </c>
      <c r="CE369" t="str">
        <f>""</f>
        <v/>
      </c>
      <c r="CF369" t="str">
        <f>""</f>
        <v/>
      </c>
      <c r="CG369" t="str">
        <f>""</f>
        <v/>
      </c>
    </row>
    <row r="370" spans="1:85" x14ac:dyDescent="0.25">
      <c r="A370" t="str">
        <f>$A$277</f>
        <v xml:space="preserve">    Scania</v>
      </c>
      <c r="B370" t="str">
        <f>$B$277</f>
        <v>SCVB SS Equity</v>
      </c>
      <c r="C370" t="str">
        <f>$C$277</f>
        <v>X1701</v>
      </c>
      <c r="D370" t="str">
        <f>$D$277</f>
        <v>WARDS_RETAIL_SALES_UNITS</v>
      </c>
      <c r="E370" t="str">
        <f>$E$277</f>
        <v>Dynamic</v>
      </c>
      <c r="F370" t="str">
        <f ca="1">_xll.BDH($B$277,$C$277,$B$292,$B$293,CONCATENATE("Per=",$B$290),"Dts=H","Dir=H",CONCATENATE("Points=",$B$291),"Sort=R","Days=A","Fill=B","DZ665=31781074","X0012=Class 6-7","X0001=NAMX",CONCATENATE("FX=", $B$289) )</f>
        <v/>
      </c>
      <c r="AT370" t="str">
        <f>""</f>
        <v/>
      </c>
      <c r="AU370" t="str">
        <f>""</f>
        <v/>
      </c>
      <c r="AV370" t="str">
        <f>""</f>
        <v/>
      </c>
      <c r="AW370" t="str">
        <f>""</f>
        <v/>
      </c>
      <c r="AX370" t="str">
        <f>""</f>
        <v/>
      </c>
      <c r="AY370" t="str">
        <f>""</f>
        <v/>
      </c>
      <c r="AZ370" t="str">
        <f>""</f>
        <v/>
      </c>
      <c r="BA370" t="str">
        <f>""</f>
        <v/>
      </c>
      <c r="BB370" t="str">
        <f>""</f>
        <v/>
      </c>
      <c r="BC370" t="str">
        <f>""</f>
        <v/>
      </c>
      <c r="BD370" t="str">
        <f>""</f>
        <v/>
      </c>
      <c r="BE370" t="str">
        <f>""</f>
        <v/>
      </c>
      <c r="BF370" t="str">
        <f>""</f>
        <v/>
      </c>
      <c r="BG370" t="str">
        <f>""</f>
        <v/>
      </c>
      <c r="BH370" t="str">
        <f>""</f>
        <v/>
      </c>
      <c r="BI370" t="str">
        <f>""</f>
        <v/>
      </c>
      <c r="BJ370" t="str">
        <f>""</f>
        <v/>
      </c>
      <c r="BK370" t="str">
        <f>""</f>
        <v/>
      </c>
      <c r="BL370" t="str">
        <f>""</f>
        <v/>
      </c>
      <c r="BM370" t="str">
        <f>""</f>
        <v/>
      </c>
      <c r="BN370" t="str">
        <f>""</f>
        <v/>
      </c>
      <c r="BO370" t="str">
        <f>""</f>
        <v/>
      </c>
      <c r="BP370" t="str">
        <f>""</f>
        <v/>
      </c>
      <c r="BQ370" t="str">
        <f>""</f>
        <v/>
      </c>
      <c r="BR370" t="str">
        <f>""</f>
        <v/>
      </c>
      <c r="BS370" t="str">
        <f>""</f>
        <v/>
      </c>
      <c r="BT370" t="str">
        <f>""</f>
        <v/>
      </c>
      <c r="BU370" t="str">
        <f>""</f>
        <v/>
      </c>
      <c r="BV370" t="str">
        <f>""</f>
        <v/>
      </c>
      <c r="BW370" t="str">
        <f>""</f>
        <v/>
      </c>
      <c r="BX370" t="str">
        <f>""</f>
        <v/>
      </c>
      <c r="BY370" t="str">
        <f>""</f>
        <v/>
      </c>
      <c r="BZ370" t="str">
        <f>""</f>
        <v/>
      </c>
      <c r="CA370" t="str">
        <f>""</f>
        <v/>
      </c>
      <c r="CB370" t="str">
        <f>""</f>
        <v/>
      </c>
      <c r="CC370" t="str">
        <f>""</f>
        <v/>
      </c>
      <c r="CD370" t="str">
        <f>""</f>
        <v/>
      </c>
      <c r="CE370" t="str">
        <f>""</f>
        <v/>
      </c>
      <c r="CF370" t="str">
        <f>""</f>
        <v/>
      </c>
      <c r="CG370" t="str">
        <f>""</f>
        <v/>
      </c>
    </row>
    <row r="371" spans="1:85" x14ac:dyDescent="0.25">
      <c r="A371" t="str">
        <f>""</f>
        <v/>
      </c>
      <c r="B371" t="str">
        <f>""</f>
        <v/>
      </c>
      <c r="C371" t="str">
        <f>""</f>
        <v/>
      </c>
      <c r="D371" t="str">
        <f>""</f>
        <v/>
      </c>
      <c r="E371" t="str">
        <f>""</f>
        <v/>
      </c>
      <c r="AT371" t="str">
        <f>""</f>
        <v/>
      </c>
      <c r="AU371" t="str">
        <f>""</f>
        <v/>
      </c>
      <c r="AV371" t="str">
        <f>""</f>
        <v/>
      </c>
      <c r="AW371" t="str">
        <f>""</f>
        <v/>
      </c>
      <c r="AX371" t="str">
        <f>""</f>
        <v/>
      </c>
      <c r="AY371" t="str">
        <f>""</f>
        <v/>
      </c>
      <c r="AZ371" t="str">
        <f>""</f>
        <v/>
      </c>
      <c r="BA371" t="str">
        <f>""</f>
        <v/>
      </c>
      <c r="BB371" t="str">
        <f>""</f>
        <v/>
      </c>
      <c r="BC371" t="str">
        <f>""</f>
        <v/>
      </c>
      <c r="BD371" t="str">
        <f>""</f>
        <v/>
      </c>
      <c r="BE371" t="str">
        <f>""</f>
        <v/>
      </c>
      <c r="BF371" t="str">
        <f>""</f>
        <v/>
      </c>
      <c r="BG371" t="str">
        <f>""</f>
        <v/>
      </c>
      <c r="BH371" t="str">
        <f>""</f>
        <v/>
      </c>
      <c r="BI371" t="str">
        <f>""</f>
        <v/>
      </c>
      <c r="BJ371" t="str">
        <f>""</f>
        <v/>
      </c>
      <c r="BK371" t="str">
        <f>""</f>
        <v/>
      </c>
      <c r="BL371" t="str">
        <f>""</f>
        <v/>
      </c>
      <c r="BM371" t="str">
        <f>""</f>
        <v/>
      </c>
      <c r="BN371" t="str">
        <f>""</f>
        <v/>
      </c>
      <c r="BO371" t="str">
        <f>""</f>
        <v/>
      </c>
      <c r="BP371" t="str">
        <f>""</f>
        <v/>
      </c>
      <c r="BQ371" t="str">
        <f>""</f>
        <v/>
      </c>
      <c r="BR371" t="str">
        <f>""</f>
        <v/>
      </c>
      <c r="BS371" t="str">
        <f>""</f>
        <v/>
      </c>
      <c r="BT371" t="str">
        <f>""</f>
        <v/>
      </c>
      <c r="BU371" t="str">
        <f>""</f>
        <v/>
      </c>
      <c r="BV371" t="str">
        <f>""</f>
        <v/>
      </c>
      <c r="BW371" t="str">
        <f>""</f>
        <v/>
      </c>
      <c r="BX371" t="str">
        <f>""</f>
        <v/>
      </c>
      <c r="BY371" t="str">
        <f>""</f>
        <v/>
      </c>
      <c r="BZ371" t="str">
        <f>""</f>
        <v/>
      </c>
      <c r="CA371" t="str">
        <f>""</f>
        <v/>
      </c>
      <c r="CB371" t="str">
        <f>""</f>
        <v/>
      </c>
      <c r="CC371" t="str">
        <f>""</f>
        <v/>
      </c>
      <c r="CD371" t="str">
        <f>""</f>
        <v/>
      </c>
      <c r="CE371" t="str">
        <f>""</f>
        <v/>
      </c>
      <c r="CF371" t="str">
        <f>""</f>
        <v/>
      </c>
      <c r="CG371" t="str">
        <f>""</f>
        <v/>
      </c>
    </row>
    <row r="372" spans="1:85" x14ac:dyDescent="0.25">
      <c r="A372" t="str">
        <f>""</f>
        <v/>
      </c>
      <c r="B372" t="str">
        <f>""</f>
        <v/>
      </c>
      <c r="C372" t="str">
        <f>""</f>
        <v/>
      </c>
      <c r="D372" t="str">
        <f>""</f>
        <v/>
      </c>
      <c r="E372" t="str">
        <f>""</f>
        <v/>
      </c>
      <c r="AT372" t="str">
        <f>""</f>
        <v/>
      </c>
      <c r="AU372" t="str">
        <f>""</f>
        <v/>
      </c>
      <c r="AV372" t="str">
        <f>""</f>
        <v/>
      </c>
      <c r="AW372" t="str">
        <f>""</f>
        <v/>
      </c>
      <c r="AX372" t="str">
        <f>""</f>
        <v/>
      </c>
      <c r="AY372" t="str">
        <f>""</f>
        <v/>
      </c>
      <c r="AZ372" t="str">
        <f>""</f>
        <v/>
      </c>
      <c r="BA372" t="str">
        <f>""</f>
        <v/>
      </c>
      <c r="BB372" t="str">
        <f>""</f>
        <v/>
      </c>
      <c r="BC372" t="str">
        <f>""</f>
        <v/>
      </c>
      <c r="BD372" t="str">
        <f>""</f>
        <v/>
      </c>
      <c r="BE372" t="str">
        <f>""</f>
        <v/>
      </c>
      <c r="BF372" t="str">
        <f>""</f>
        <v/>
      </c>
      <c r="BG372" t="str">
        <f>""</f>
        <v/>
      </c>
      <c r="BH372" t="str">
        <f>""</f>
        <v/>
      </c>
      <c r="BI372" t="str">
        <f>""</f>
        <v/>
      </c>
      <c r="BJ372" t="str">
        <f>""</f>
        <v/>
      </c>
      <c r="BK372" t="str">
        <f>""</f>
        <v/>
      </c>
      <c r="BL372" t="str">
        <f>""</f>
        <v/>
      </c>
      <c r="BM372" t="str">
        <f>""</f>
        <v/>
      </c>
      <c r="BN372" t="str">
        <f>""</f>
        <v/>
      </c>
      <c r="BO372" t="str">
        <f>""</f>
        <v/>
      </c>
      <c r="BP372" t="str">
        <f>""</f>
        <v/>
      </c>
      <c r="BQ372" t="str">
        <f>""</f>
        <v/>
      </c>
      <c r="BR372" t="str">
        <f>""</f>
        <v/>
      </c>
      <c r="BS372" t="str">
        <f>""</f>
        <v/>
      </c>
      <c r="BT372" t="str">
        <f>""</f>
        <v/>
      </c>
      <c r="BU372" t="str">
        <f>""</f>
        <v/>
      </c>
      <c r="BV372" t="str">
        <f>""</f>
        <v/>
      </c>
      <c r="BW372" t="str">
        <f>""</f>
        <v/>
      </c>
      <c r="BX372" t="str">
        <f>""</f>
        <v/>
      </c>
      <c r="BY372" t="str">
        <f>""</f>
        <v/>
      </c>
      <c r="BZ372" t="str">
        <f>""</f>
        <v/>
      </c>
      <c r="CA372" t="str">
        <f>""</f>
        <v/>
      </c>
      <c r="CB372" t="str">
        <f>""</f>
        <v/>
      </c>
      <c r="CC372" t="str">
        <f>""</f>
        <v/>
      </c>
      <c r="CD372" t="str">
        <f>""</f>
        <v/>
      </c>
      <c r="CE372" t="str">
        <f>""</f>
        <v/>
      </c>
      <c r="CF372" t="str">
        <f>""</f>
        <v/>
      </c>
      <c r="CG372" t="str">
        <f>""</f>
        <v/>
      </c>
    </row>
    <row r="373" spans="1:85" x14ac:dyDescent="0.25">
      <c r="A373" t="str">
        <f>""</f>
        <v/>
      </c>
      <c r="B373" t="str">
        <f>""</f>
        <v/>
      </c>
      <c r="C373" t="str">
        <f>""</f>
        <v/>
      </c>
      <c r="D373" t="str">
        <f>""</f>
        <v/>
      </c>
      <c r="E373" t="str">
        <f>""</f>
        <v/>
      </c>
      <c r="AT373" t="str">
        <f>""</f>
        <v/>
      </c>
      <c r="AU373" t="str">
        <f>""</f>
        <v/>
      </c>
      <c r="AV373" t="str">
        <f>""</f>
        <v/>
      </c>
      <c r="AW373" t="str">
        <f>""</f>
        <v/>
      </c>
      <c r="AX373" t="str">
        <f>""</f>
        <v/>
      </c>
      <c r="AY373" t="str">
        <f>""</f>
        <v/>
      </c>
      <c r="AZ373" t="str">
        <f>""</f>
        <v/>
      </c>
      <c r="BA373" t="str">
        <f>""</f>
        <v/>
      </c>
      <c r="BB373" t="str">
        <f>""</f>
        <v/>
      </c>
      <c r="BC373" t="str">
        <f>""</f>
        <v/>
      </c>
      <c r="BD373" t="str">
        <f>""</f>
        <v/>
      </c>
      <c r="BE373" t="str">
        <f>""</f>
        <v/>
      </c>
      <c r="BF373" t="str">
        <f>""</f>
        <v/>
      </c>
      <c r="BG373" t="str">
        <f>""</f>
        <v/>
      </c>
      <c r="BH373" t="str">
        <f>""</f>
        <v/>
      </c>
      <c r="BI373" t="str">
        <f>""</f>
        <v/>
      </c>
      <c r="BJ373" t="str">
        <f>""</f>
        <v/>
      </c>
      <c r="BK373" t="str">
        <f>""</f>
        <v/>
      </c>
      <c r="BL373" t="str">
        <f>""</f>
        <v/>
      </c>
      <c r="BM373" t="str">
        <f>""</f>
        <v/>
      </c>
      <c r="BN373" t="str">
        <f>""</f>
        <v/>
      </c>
      <c r="BO373" t="str">
        <f>""</f>
        <v/>
      </c>
      <c r="BP373" t="str">
        <f>""</f>
        <v/>
      </c>
      <c r="BQ373" t="str">
        <f>""</f>
        <v/>
      </c>
      <c r="BR373" t="str">
        <f>""</f>
        <v/>
      </c>
      <c r="BS373" t="str">
        <f>""</f>
        <v/>
      </c>
      <c r="BT373" t="str">
        <f>""</f>
        <v/>
      </c>
      <c r="BU373" t="str">
        <f>""</f>
        <v/>
      </c>
      <c r="BV373" t="str">
        <f>""</f>
        <v/>
      </c>
      <c r="BW373" t="str">
        <f>""</f>
        <v/>
      </c>
      <c r="BX373" t="str">
        <f>""</f>
        <v/>
      </c>
      <c r="BY373" t="str">
        <f>""</f>
        <v/>
      </c>
      <c r="BZ373" t="str">
        <f>""</f>
        <v/>
      </c>
      <c r="CA373" t="str">
        <f>""</f>
        <v/>
      </c>
      <c r="CB373" t="str">
        <f>""</f>
        <v/>
      </c>
      <c r="CC373" t="str">
        <f>""</f>
        <v/>
      </c>
      <c r="CD373" t="str">
        <f>""</f>
        <v/>
      </c>
      <c r="CE373" t="str">
        <f>""</f>
        <v/>
      </c>
      <c r="CF373" t="str">
        <f>""</f>
        <v/>
      </c>
      <c r="CG373" t="str">
        <f>""</f>
        <v/>
      </c>
    </row>
    <row r="374" spans="1:85" x14ac:dyDescent="0.25">
      <c r="A374" t="str">
        <f>""</f>
        <v/>
      </c>
      <c r="B374" t="str">
        <f>""</f>
        <v/>
      </c>
      <c r="C374" t="str">
        <f>""</f>
        <v/>
      </c>
      <c r="D374" t="str">
        <f>""</f>
        <v/>
      </c>
      <c r="E374" t="str">
        <f>""</f>
        <v/>
      </c>
      <c r="AT374" t="str">
        <f>""</f>
        <v/>
      </c>
      <c r="AU374" t="str">
        <f>""</f>
        <v/>
      </c>
      <c r="AV374" t="str">
        <f>""</f>
        <v/>
      </c>
      <c r="AW374" t="str">
        <f>""</f>
        <v/>
      </c>
      <c r="AX374" t="str">
        <f>""</f>
        <v/>
      </c>
      <c r="AY374" t="str">
        <f>""</f>
        <v/>
      </c>
      <c r="AZ374" t="str">
        <f>""</f>
        <v/>
      </c>
      <c r="BA374" t="str">
        <f>""</f>
        <v/>
      </c>
      <c r="BB374" t="str">
        <f>""</f>
        <v/>
      </c>
      <c r="BC374" t="str">
        <f>""</f>
        <v/>
      </c>
      <c r="BD374" t="str">
        <f>""</f>
        <v/>
      </c>
      <c r="BE374" t="str">
        <f>""</f>
        <v/>
      </c>
      <c r="BF374" t="str">
        <f>""</f>
        <v/>
      </c>
      <c r="BG374" t="str">
        <f>""</f>
        <v/>
      </c>
      <c r="BH374" t="str">
        <f>""</f>
        <v/>
      </c>
      <c r="BI374" t="str">
        <f>""</f>
        <v/>
      </c>
      <c r="BJ374" t="str">
        <f>""</f>
        <v/>
      </c>
      <c r="BK374" t="str">
        <f>""</f>
        <v/>
      </c>
      <c r="BL374" t="str">
        <f>""</f>
        <v/>
      </c>
      <c r="BM374" t="str">
        <f>""</f>
        <v/>
      </c>
      <c r="BN374" t="str">
        <f>""</f>
        <v/>
      </c>
      <c r="BO374" t="str">
        <f>""</f>
        <v/>
      </c>
      <c r="BP374" t="str">
        <f>""</f>
        <v/>
      </c>
      <c r="BQ374" t="str">
        <f>""</f>
        <v/>
      </c>
      <c r="BR374" t="str">
        <f>""</f>
        <v/>
      </c>
      <c r="BS374" t="str">
        <f>""</f>
        <v/>
      </c>
      <c r="BT374" t="str">
        <f>""</f>
        <v/>
      </c>
      <c r="BU374" t="str">
        <f>""</f>
        <v/>
      </c>
      <c r="BV374" t="str">
        <f>""</f>
        <v/>
      </c>
      <c r="BW374" t="str">
        <f>""</f>
        <v/>
      </c>
      <c r="BX374" t="str">
        <f>""</f>
        <v/>
      </c>
      <c r="BY374" t="str">
        <f>""</f>
        <v/>
      </c>
      <c r="BZ374" t="str">
        <f>""</f>
        <v/>
      </c>
      <c r="CA374" t="str">
        <f>""</f>
        <v/>
      </c>
      <c r="CB374" t="str">
        <f>""</f>
        <v/>
      </c>
      <c r="CC374" t="str">
        <f>""</f>
        <v/>
      </c>
      <c r="CD374" t="str">
        <f>""</f>
        <v/>
      </c>
      <c r="CE374" t="str">
        <f>""</f>
        <v/>
      </c>
      <c r="CF374" t="str">
        <f>""</f>
        <v/>
      </c>
      <c r="CG374" t="str">
        <f>""</f>
        <v/>
      </c>
    </row>
    <row r="375" spans="1:85" x14ac:dyDescent="0.25">
      <c r="A375" t="str">
        <f>""</f>
        <v/>
      </c>
      <c r="B375" t="str">
        <f>""</f>
        <v/>
      </c>
      <c r="C375" t="str">
        <f>""</f>
        <v/>
      </c>
      <c r="D375" t="str">
        <f>""</f>
        <v/>
      </c>
      <c r="E375" t="str">
        <f>""</f>
        <v/>
      </c>
      <c r="AT375" t="str">
        <f>""</f>
        <v/>
      </c>
      <c r="AU375" t="str">
        <f>""</f>
        <v/>
      </c>
      <c r="AV375" t="str">
        <f>""</f>
        <v/>
      </c>
      <c r="AW375" t="str">
        <f>""</f>
        <v/>
      </c>
      <c r="AX375" t="str">
        <f>""</f>
        <v/>
      </c>
      <c r="AY375" t="str">
        <f>""</f>
        <v/>
      </c>
      <c r="AZ375" t="str">
        <f>""</f>
        <v/>
      </c>
      <c r="BA375" t="str">
        <f>""</f>
        <v/>
      </c>
      <c r="BB375" t="str">
        <f>""</f>
        <v/>
      </c>
      <c r="BC375" t="str">
        <f>""</f>
        <v/>
      </c>
      <c r="BD375" t="str">
        <f>""</f>
        <v/>
      </c>
      <c r="BE375" t="str">
        <f>""</f>
        <v/>
      </c>
      <c r="BF375" t="str">
        <f>""</f>
        <v/>
      </c>
      <c r="BG375" t="str">
        <f>""</f>
        <v/>
      </c>
      <c r="BH375" t="str">
        <f>""</f>
        <v/>
      </c>
      <c r="BI375" t="str">
        <f>""</f>
        <v/>
      </c>
      <c r="BJ375" t="str">
        <f>""</f>
        <v/>
      </c>
      <c r="BK375" t="str">
        <f>""</f>
        <v/>
      </c>
      <c r="BL375" t="str">
        <f>""</f>
        <v/>
      </c>
      <c r="BM375" t="str">
        <f>""</f>
        <v/>
      </c>
      <c r="BN375" t="str">
        <f>""</f>
        <v/>
      </c>
      <c r="BO375" t="str">
        <f>""</f>
        <v/>
      </c>
      <c r="BP375" t="str">
        <f>""</f>
        <v/>
      </c>
      <c r="BQ375" t="str">
        <f>""</f>
        <v/>
      </c>
      <c r="BR375" t="str">
        <f>""</f>
        <v/>
      </c>
      <c r="BS375" t="str">
        <f>""</f>
        <v/>
      </c>
      <c r="BT375" t="str">
        <f>""</f>
        <v/>
      </c>
      <c r="BU375" t="str">
        <f>""</f>
        <v/>
      </c>
      <c r="BV375" t="str">
        <f>""</f>
        <v/>
      </c>
      <c r="BW375" t="str">
        <f>""</f>
        <v/>
      </c>
      <c r="BX375" t="str">
        <f>""</f>
        <v/>
      </c>
      <c r="BY375" t="str">
        <f>""</f>
        <v/>
      </c>
      <c r="BZ375" t="str">
        <f>""</f>
        <v/>
      </c>
      <c r="CA375" t="str">
        <f>""</f>
        <v/>
      </c>
      <c r="CB375" t="str">
        <f>""</f>
        <v/>
      </c>
      <c r="CC375" t="str">
        <f>""</f>
        <v/>
      </c>
      <c r="CD375" t="str">
        <f>""</f>
        <v/>
      </c>
      <c r="CE375" t="str">
        <f>""</f>
        <v/>
      </c>
      <c r="CF375" t="str">
        <f>""</f>
        <v/>
      </c>
      <c r="CG375" t="str">
        <f>""</f>
        <v/>
      </c>
    </row>
    <row r="376" spans="1:85" x14ac:dyDescent="0.25">
      <c r="A376" t="str">
        <f>"~~~~~~~~~~~~~~~~~~~~~"</f>
        <v>~~~~~~~~~~~~~~~~~~~~~</v>
      </c>
      <c r="B376" t="str">
        <f>"~~~~~~~~~~~~~~~~~~~~~"</f>
        <v>~~~~~~~~~~~~~~~~~~~~~</v>
      </c>
      <c r="C376" t="str">
        <f>"~~~~~~~~~~~~~~~~~~~~~"</f>
        <v>~~~~~~~~~~~~~~~~~~~~~</v>
      </c>
      <c r="D376" t="str">
        <f>"~~~~~~~~~~~~~~~~~~~~~"</f>
        <v>~~~~~~~~~~~~~~~~~~~~~</v>
      </c>
      <c r="E376" t="str">
        <f>"~~~~~~~~~~~~~~~~~~~~~"</f>
        <v>~~~~~~~~~~~~~~~~~~~~~</v>
      </c>
      <c r="AT376" t="str">
        <f>""</f>
        <v/>
      </c>
      <c r="AU376" t="str">
        <f>""</f>
        <v/>
      </c>
      <c r="AV376" t="str">
        <f>""</f>
        <v/>
      </c>
      <c r="AW376" t="str">
        <f>""</f>
        <v/>
      </c>
      <c r="AX376" t="str">
        <f>""</f>
        <v/>
      </c>
      <c r="AY376" t="str">
        <f>""</f>
        <v/>
      </c>
      <c r="AZ376" t="str">
        <f>""</f>
        <v/>
      </c>
      <c r="BA376" t="str">
        <f>""</f>
        <v/>
      </c>
      <c r="BB376" t="str">
        <f>""</f>
        <v/>
      </c>
      <c r="BC376" t="str">
        <f>""</f>
        <v/>
      </c>
      <c r="BD376" t="str">
        <f>""</f>
        <v/>
      </c>
      <c r="BE376" t="str">
        <f>""</f>
        <v/>
      </c>
      <c r="BF376" t="str">
        <f>""</f>
        <v/>
      </c>
      <c r="BG376" t="str">
        <f>""</f>
        <v/>
      </c>
      <c r="BH376" t="str">
        <f>""</f>
        <v/>
      </c>
      <c r="BI376" t="str">
        <f>""</f>
        <v/>
      </c>
      <c r="BJ376" t="str">
        <f>""</f>
        <v/>
      </c>
      <c r="BK376" t="str">
        <f>""</f>
        <v/>
      </c>
      <c r="BL376" t="str">
        <f>""</f>
        <v/>
      </c>
      <c r="BM376" t="str">
        <f>""</f>
        <v/>
      </c>
      <c r="BN376" t="str">
        <f>""</f>
        <v/>
      </c>
      <c r="BO376" t="str">
        <f>""</f>
        <v/>
      </c>
      <c r="BP376" t="str">
        <f>""</f>
        <v/>
      </c>
      <c r="BQ376" t="str">
        <f>""</f>
        <v/>
      </c>
      <c r="BR376" t="str">
        <f>""</f>
        <v/>
      </c>
      <c r="BS376" t="str">
        <f>""</f>
        <v/>
      </c>
      <c r="BT376" t="str">
        <f>""</f>
        <v/>
      </c>
      <c r="BU376" t="str">
        <f>""</f>
        <v/>
      </c>
      <c r="BV376" t="str">
        <f>""</f>
        <v/>
      </c>
      <c r="BW376" t="str">
        <f>""</f>
        <v/>
      </c>
      <c r="BX376" t="str">
        <f>""</f>
        <v/>
      </c>
      <c r="BY376" t="str">
        <f>""</f>
        <v/>
      </c>
      <c r="BZ376" t="str">
        <f>""</f>
        <v/>
      </c>
      <c r="CA376" t="str">
        <f>""</f>
        <v/>
      </c>
      <c r="CB376" t="str">
        <f>""</f>
        <v/>
      </c>
      <c r="CC376" t="str">
        <f>""</f>
        <v/>
      </c>
      <c r="CD376" t="str">
        <f>""</f>
        <v/>
      </c>
      <c r="CE376" t="str">
        <f>""</f>
        <v/>
      </c>
      <c r="CF376" t="str">
        <f>""</f>
        <v/>
      </c>
      <c r="CG376" t="str">
        <f>""</f>
        <v/>
      </c>
    </row>
    <row r="377" spans="1:85" x14ac:dyDescent="0.25">
      <c r="A377" t="str">
        <f>"Rows below for column date calculation"</f>
        <v>Rows below for column date calculation</v>
      </c>
      <c r="AT377" t="str">
        <f>""</f>
        <v/>
      </c>
      <c r="AU377" t="str">
        <f>""</f>
        <v/>
      </c>
      <c r="AV377" t="str">
        <f>""</f>
        <v/>
      </c>
      <c r="AW377" t="str">
        <f>""</f>
        <v/>
      </c>
      <c r="AX377" t="str">
        <f>""</f>
        <v/>
      </c>
      <c r="AY377" t="str">
        <f>""</f>
        <v/>
      </c>
      <c r="AZ377" t="str">
        <f>""</f>
        <v/>
      </c>
      <c r="BA377" t="str">
        <f>""</f>
        <v/>
      </c>
      <c r="BB377" t="str">
        <f>""</f>
        <v/>
      </c>
      <c r="BC377" t="str">
        <f>""</f>
        <v/>
      </c>
      <c r="BD377" t="str">
        <f>""</f>
        <v/>
      </c>
      <c r="BE377" t="str">
        <f>""</f>
        <v/>
      </c>
      <c r="BF377" t="str">
        <f>""</f>
        <v/>
      </c>
      <c r="BG377" t="str">
        <f>""</f>
        <v/>
      </c>
      <c r="BH377" t="str">
        <f>""</f>
        <v/>
      </c>
      <c r="BI377" t="str">
        <f>""</f>
        <v/>
      </c>
      <c r="BJ377" t="str">
        <f>""</f>
        <v/>
      </c>
      <c r="BK377" t="str">
        <f>""</f>
        <v/>
      </c>
      <c r="BL377" t="str">
        <f>""</f>
        <v/>
      </c>
      <c r="BM377" t="str">
        <f>""</f>
        <v/>
      </c>
      <c r="BN377" t="str">
        <f>""</f>
        <v/>
      </c>
      <c r="BO377" t="str">
        <f>""</f>
        <v/>
      </c>
      <c r="BP377" t="str">
        <f>""</f>
        <v/>
      </c>
      <c r="BQ377" t="str">
        <f>""</f>
        <v/>
      </c>
      <c r="BR377" t="str">
        <f>""</f>
        <v/>
      </c>
      <c r="BS377" t="str">
        <f>""</f>
        <v/>
      </c>
      <c r="BT377" t="str">
        <f>""</f>
        <v/>
      </c>
      <c r="BU377" t="str">
        <f>""</f>
        <v/>
      </c>
      <c r="BV377" t="str">
        <f>""</f>
        <v/>
      </c>
      <c r="BW377" t="str">
        <f>""</f>
        <v/>
      </c>
      <c r="BX377" t="str">
        <f>""</f>
        <v/>
      </c>
      <c r="BY377" t="str">
        <f>""</f>
        <v/>
      </c>
      <c r="BZ377" t="str">
        <f>""</f>
        <v/>
      </c>
      <c r="CA377" t="str">
        <f>""</f>
        <v/>
      </c>
      <c r="CB377" t="str">
        <f>""</f>
        <v/>
      </c>
      <c r="CC377" t="str">
        <f>""</f>
        <v/>
      </c>
      <c r="CD377" t="str">
        <f>""</f>
        <v/>
      </c>
      <c r="CE377" t="str">
        <f>""</f>
        <v/>
      </c>
      <c r="CF377" t="str">
        <f>""</f>
        <v/>
      </c>
      <c r="CG377" t="str">
        <f>""</f>
        <v/>
      </c>
    </row>
    <row r="378" spans="1:85" x14ac:dyDescent="0.25">
      <c r="A378" t="str">
        <f>"Downloaded at"</f>
        <v>Downloaded at</v>
      </c>
      <c r="B378">
        <f>DATE(2017, 12,4)</f>
        <v>43073</v>
      </c>
      <c r="C378" t="str">
        <f>""</f>
        <v/>
      </c>
      <c r="D378" t="str">
        <f>""</f>
        <v/>
      </c>
      <c r="E378" t="str">
        <f>""</f>
        <v/>
      </c>
      <c r="AT378" t="str">
        <f>""</f>
        <v/>
      </c>
      <c r="AU378" t="str">
        <f>""</f>
        <v/>
      </c>
      <c r="AV378" t="str">
        <f>""</f>
        <v/>
      </c>
      <c r="AW378" t="str">
        <f>""</f>
        <v/>
      </c>
      <c r="AX378" t="str">
        <f>""</f>
        <v/>
      </c>
      <c r="AY378" t="str">
        <f>""</f>
        <v/>
      </c>
      <c r="AZ378" t="str">
        <f>""</f>
        <v/>
      </c>
      <c r="BA378" t="str">
        <f>""</f>
        <v/>
      </c>
      <c r="BB378" t="str">
        <f>""</f>
        <v/>
      </c>
      <c r="BC378" t="str">
        <f>""</f>
        <v/>
      </c>
      <c r="BD378" t="str">
        <f>""</f>
        <v/>
      </c>
      <c r="BE378" t="str">
        <f>""</f>
        <v/>
      </c>
      <c r="BF378" t="str">
        <f>""</f>
        <v/>
      </c>
      <c r="BG378" t="str">
        <f>""</f>
        <v/>
      </c>
      <c r="BH378" t="str">
        <f>""</f>
        <v/>
      </c>
      <c r="BI378" t="str">
        <f>""</f>
        <v/>
      </c>
      <c r="BJ378" t="str">
        <f>""</f>
        <v/>
      </c>
      <c r="BK378" t="str">
        <f>""</f>
        <v/>
      </c>
      <c r="BL378" t="str">
        <f>""</f>
        <v/>
      </c>
      <c r="BM378" t="str">
        <f>""</f>
        <v/>
      </c>
      <c r="BN378" t="str">
        <f>""</f>
        <v/>
      </c>
      <c r="BO378" t="str">
        <f>""</f>
        <v/>
      </c>
      <c r="BP378" t="str">
        <f>""</f>
        <v/>
      </c>
      <c r="BQ378" t="str">
        <f>""</f>
        <v/>
      </c>
      <c r="BR378" t="str">
        <f>""</f>
        <v/>
      </c>
      <c r="BS378" t="str">
        <f>""</f>
        <v/>
      </c>
      <c r="BT378" t="str">
        <f>""</f>
        <v/>
      </c>
      <c r="BU378" t="str">
        <f>""</f>
        <v/>
      </c>
      <c r="BV378" t="str">
        <f>""</f>
        <v/>
      </c>
      <c r="BW378" t="str">
        <f>""</f>
        <v/>
      </c>
      <c r="BX378" t="str">
        <f>""</f>
        <v/>
      </c>
      <c r="BY378" t="str">
        <f>""</f>
        <v/>
      </c>
      <c r="BZ378" t="str">
        <f>""</f>
        <v/>
      </c>
      <c r="CA378" t="str">
        <f>""</f>
        <v/>
      </c>
      <c r="CB378" t="str">
        <f>""</f>
        <v/>
      </c>
      <c r="CC378" t="str">
        <f>""</f>
        <v/>
      </c>
      <c r="CD378" t="str">
        <f>""</f>
        <v/>
      </c>
      <c r="CE378" t="str">
        <f>""</f>
        <v/>
      </c>
      <c r="CF378" t="str">
        <f>""</f>
        <v/>
      </c>
      <c r="CG378" t="str">
        <f>""</f>
        <v/>
      </c>
    </row>
    <row r="379" spans="1:85" x14ac:dyDescent="0.25">
      <c r="A379" t="str">
        <f>"This is End Date"</f>
        <v>This is End Date</v>
      </c>
      <c r="B379">
        <f ca="1">$B$293</f>
        <v>43073</v>
      </c>
      <c r="C379" t="str">
        <f>""</f>
        <v/>
      </c>
      <c r="D379" t="str">
        <f>""</f>
        <v/>
      </c>
      <c r="E379" t="str">
        <f>""</f>
        <v/>
      </c>
      <c r="AT379" t="str">
        <f>""</f>
        <v/>
      </c>
      <c r="AU379" t="str">
        <f>""</f>
        <v/>
      </c>
      <c r="AV379" t="str">
        <f>""</f>
        <v/>
      </c>
      <c r="AW379" t="str">
        <f>""</f>
        <v/>
      </c>
      <c r="AX379" t="str">
        <f>""</f>
        <v/>
      </c>
      <c r="AY379" t="str">
        <f>""</f>
        <v/>
      </c>
      <c r="AZ379" t="str">
        <f>""</f>
        <v/>
      </c>
      <c r="BA379" t="str">
        <f>""</f>
        <v/>
      </c>
      <c r="BB379" t="str">
        <f>""</f>
        <v/>
      </c>
      <c r="BC379" t="str">
        <f>""</f>
        <v/>
      </c>
      <c r="BD379" t="str">
        <f>""</f>
        <v/>
      </c>
      <c r="BE379" t="str">
        <f>""</f>
        <v/>
      </c>
      <c r="BF379" t="str">
        <f>""</f>
        <v/>
      </c>
      <c r="BG379" t="str">
        <f>""</f>
        <v/>
      </c>
      <c r="BH379" t="str">
        <f>""</f>
        <v/>
      </c>
      <c r="BI379" t="str">
        <f>""</f>
        <v/>
      </c>
      <c r="BJ379" t="str">
        <f>""</f>
        <v/>
      </c>
      <c r="BK379" t="str">
        <f>""</f>
        <v/>
      </c>
      <c r="BL379" t="str">
        <f>""</f>
        <v/>
      </c>
      <c r="BM379" t="str">
        <f>""</f>
        <v/>
      </c>
      <c r="BN379" t="str">
        <f>""</f>
        <v/>
      </c>
      <c r="BO379" t="str">
        <f>""</f>
        <v/>
      </c>
      <c r="BP379" t="str">
        <f>""</f>
        <v/>
      </c>
      <c r="BQ379" t="str">
        <f>""</f>
        <v/>
      </c>
      <c r="BR379" t="str">
        <f>""</f>
        <v/>
      </c>
      <c r="BS379" t="str">
        <f>""</f>
        <v/>
      </c>
      <c r="BT379" t="str">
        <f>""</f>
        <v/>
      </c>
      <c r="BU379" t="str">
        <f>""</f>
        <v/>
      </c>
      <c r="BV379" t="str">
        <f>""</f>
        <v/>
      </c>
      <c r="BW379" t="str">
        <f>""</f>
        <v/>
      </c>
      <c r="BX379" t="str">
        <f>""</f>
        <v/>
      </c>
      <c r="BY379" t="str">
        <f>""</f>
        <v/>
      </c>
      <c r="BZ379" t="str">
        <f>""</f>
        <v/>
      </c>
      <c r="CA379" t="str">
        <f>""</f>
        <v/>
      </c>
      <c r="CB379" t="str">
        <f>""</f>
        <v/>
      </c>
      <c r="CC379" t="str">
        <f>""</f>
        <v/>
      </c>
      <c r="CD379" t="str">
        <f>""</f>
        <v/>
      </c>
      <c r="CE379" t="str">
        <f>""</f>
        <v/>
      </c>
      <c r="CF379" t="str">
        <f>""</f>
        <v/>
      </c>
      <c r="CG379" t="str">
        <f>""</f>
        <v/>
      </c>
    </row>
    <row r="380" spans="1:85" x14ac:dyDescent="0.25">
      <c r="A380" t="str">
        <f>"Description"</f>
        <v>Description</v>
      </c>
      <c r="B380" t="str">
        <f>"Ticker"</f>
        <v>Ticker</v>
      </c>
      <c r="C380" t="str">
        <f>"Field ID"</f>
        <v>Field ID</v>
      </c>
      <c r="D380" t="str">
        <f>"Field Mnemonic"</f>
        <v>Field Mnemonic</v>
      </c>
      <c r="E380" t="str">
        <f>"Data State"</f>
        <v>Data State</v>
      </c>
      <c r="AT380" t="str">
        <f>""</f>
        <v/>
      </c>
      <c r="AU380" t="str">
        <f>""</f>
        <v/>
      </c>
      <c r="AV380" t="str">
        <f>""</f>
        <v/>
      </c>
      <c r="AW380" t="str">
        <f>""</f>
        <v/>
      </c>
      <c r="AX380" t="str">
        <f>""</f>
        <v/>
      </c>
      <c r="AY380" t="str">
        <f>""</f>
        <v/>
      </c>
      <c r="AZ380" t="str">
        <f>""</f>
        <v/>
      </c>
      <c r="BA380" t="str">
        <f>""</f>
        <v/>
      </c>
      <c r="BB380" t="str">
        <f>""</f>
        <v/>
      </c>
      <c r="BC380" t="str">
        <f>""</f>
        <v/>
      </c>
      <c r="BD380" t="str">
        <f>""</f>
        <v/>
      </c>
      <c r="BE380" t="str">
        <f>""</f>
        <v/>
      </c>
      <c r="BF380" t="str">
        <f>""</f>
        <v/>
      </c>
      <c r="BG380" t="str">
        <f>""</f>
        <v/>
      </c>
      <c r="BH380" t="str">
        <f>""</f>
        <v/>
      </c>
      <c r="BI380" t="str">
        <f>""</f>
        <v/>
      </c>
      <c r="BJ380" t="str">
        <f>""</f>
        <v/>
      </c>
      <c r="BK380" t="str">
        <f>""</f>
        <v/>
      </c>
      <c r="BL380" t="str">
        <f>""</f>
        <v/>
      </c>
      <c r="BM380" t="str">
        <f>""</f>
        <v/>
      </c>
      <c r="BN380" t="str">
        <f>""</f>
        <v/>
      </c>
      <c r="BO380" t="str">
        <f>""</f>
        <v/>
      </c>
      <c r="BP380" t="str">
        <f>""</f>
        <v/>
      </c>
      <c r="BQ380" t="str">
        <f>""</f>
        <v/>
      </c>
      <c r="BR380" t="str">
        <f>""</f>
        <v/>
      </c>
      <c r="BS380" t="str">
        <f>""</f>
        <v/>
      </c>
      <c r="BT380" t="str">
        <f>""</f>
        <v/>
      </c>
      <c r="BU380" t="str">
        <f>""</f>
        <v/>
      </c>
      <c r="BV380" t="str">
        <f>""</f>
        <v/>
      </c>
      <c r="BW380" t="str">
        <f>""</f>
        <v/>
      </c>
      <c r="BX380" t="str">
        <f>""</f>
        <v/>
      </c>
      <c r="BY380" t="str">
        <f>""</f>
        <v/>
      </c>
      <c r="BZ380" t="str">
        <f>""</f>
        <v/>
      </c>
      <c r="CA380" t="str">
        <f>""</f>
        <v/>
      </c>
      <c r="CB380" t="str">
        <f>""</f>
        <v/>
      </c>
      <c r="CC380" t="str">
        <f>""</f>
        <v/>
      </c>
      <c r="CD380" t="str">
        <f>""</f>
        <v/>
      </c>
      <c r="CE380" t="str">
        <f>""</f>
        <v/>
      </c>
      <c r="CF380" t="str">
        <f>""</f>
        <v/>
      </c>
      <c r="CG380" t="str">
        <f>""</f>
        <v/>
      </c>
    </row>
    <row r="381" spans="1:85" x14ac:dyDescent="0.25">
      <c r="A381" t="str">
        <f>"Snapshot Date"</f>
        <v>Snapshot Date</v>
      </c>
      <c r="B381">
        <f>DATE(2017, 12,4)</f>
        <v>43073</v>
      </c>
      <c r="C381" t="str">
        <f>""</f>
        <v/>
      </c>
      <c r="D381" t="str">
        <f>""</f>
        <v/>
      </c>
      <c r="E381" t="str">
        <f>""</f>
        <v/>
      </c>
      <c r="AT381" t="str">
        <f>""</f>
        <v/>
      </c>
      <c r="AU381" t="str">
        <f>""</f>
        <v/>
      </c>
      <c r="AV381" t="str">
        <f>""</f>
        <v/>
      </c>
      <c r="AW381" t="str">
        <f>""</f>
        <v/>
      </c>
      <c r="AX381" t="str">
        <f>""</f>
        <v/>
      </c>
      <c r="AY381" t="str">
        <f>""</f>
        <v/>
      </c>
      <c r="AZ381" t="str">
        <f>""</f>
        <v/>
      </c>
      <c r="BA381" t="str">
        <f>""</f>
        <v/>
      </c>
      <c r="BB381" t="str">
        <f>""</f>
        <v/>
      </c>
      <c r="BC381" t="str">
        <f>""</f>
        <v/>
      </c>
      <c r="BD381" t="str">
        <f>""</f>
        <v/>
      </c>
      <c r="BE381" t="str">
        <f>""</f>
        <v/>
      </c>
      <c r="BF381" t="str">
        <f>""</f>
        <v/>
      </c>
      <c r="BG381" t="str">
        <f>""</f>
        <v/>
      </c>
      <c r="BH381" t="str">
        <f>""</f>
        <v/>
      </c>
      <c r="BI381" t="str">
        <f>""</f>
        <v/>
      </c>
      <c r="BJ381" t="str">
        <f>""</f>
        <v/>
      </c>
      <c r="BK381" t="str">
        <f>""</f>
        <v/>
      </c>
      <c r="BL381" t="str">
        <f>""</f>
        <v/>
      </c>
      <c r="BM381" t="str">
        <f>""</f>
        <v/>
      </c>
      <c r="BN381" t="str">
        <f>""</f>
        <v/>
      </c>
      <c r="BO381" t="str">
        <f>""</f>
        <v/>
      </c>
      <c r="BP381" t="str">
        <f>""</f>
        <v/>
      </c>
      <c r="BQ381" t="str">
        <f>""</f>
        <v/>
      </c>
      <c r="BR381" t="str">
        <f>""</f>
        <v/>
      </c>
      <c r="BS381" t="str">
        <f>""</f>
        <v/>
      </c>
      <c r="BT381" t="str">
        <f>""</f>
        <v/>
      </c>
      <c r="BU381" t="str">
        <f>""</f>
        <v/>
      </c>
      <c r="BV381" t="str">
        <f>""</f>
        <v/>
      </c>
      <c r="BW381" t="str">
        <f>""</f>
        <v/>
      </c>
      <c r="BX381" t="str">
        <f>""</f>
        <v/>
      </c>
      <c r="BY381" t="str">
        <f>""</f>
        <v/>
      </c>
      <c r="BZ381" t="str">
        <f>""</f>
        <v/>
      </c>
      <c r="CA381" t="str">
        <f>""</f>
        <v/>
      </c>
      <c r="CB381" t="str">
        <f>""</f>
        <v/>
      </c>
      <c r="CC381" t="str">
        <f>""</f>
        <v/>
      </c>
      <c r="CD381" t="str">
        <f>""</f>
        <v/>
      </c>
      <c r="CE381" t="str">
        <f>""</f>
        <v/>
      </c>
      <c r="CF381" t="str">
        <f>""</f>
        <v/>
      </c>
      <c r="CG381" t="str">
        <f>""</f>
        <v/>
      </c>
    </row>
    <row r="382" spans="1:85" x14ac:dyDescent="0.25">
      <c r="A382" t="str">
        <f>"Snapshot header"</f>
        <v>Snapshot header</v>
      </c>
      <c r="B382">
        <f>2</f>
        <v>2</v>
      </c>
      <c r="C382" t="str">
        <f>"10/2017"</f>
        <v>10/2017</v>
      </c>
      <c r="D382" t="str">
        <f>"9/2017"</f>
        <v>9/2017</v>
      </c>
      <c r="E382" t="str">
        <f>"8/2017"</f>
        <v>8/2017</v>
      </c>
      <c r="F382" t="str">
        <f>"7/2017"</f>
        <v>7/2017</v>
      </c>
      <c r="G382" t="str">
        <f>"6/2017"</f>
        <v>6/2017</v>
      </c>
      <c r="H382" t="str">
        <f>"5/2017"</f>
        <v>5/2017</v>
      </c>
      <c r="I382" t="str">
        <f>"4/2017"</f>
        <v>4/2017</v>
      </c>
      <c r="J382" t="str">
        <f>"3/2017"</f>
        <v>3/2017</v>
      </c>
      <c r="K382" t="str">
        <f>"2/2017"</f>
        <v>2/2017</v>
      </c>
      <c r="L382" t="str">
        <f>"1/2017"</f>
        <v>1/2017</v>
      </c>
      <c r="M382" t="str">
        <f>"12/2016"</f>
        <v>12/2016</v>
      </c>
      <c r="N382" t="str">
        <f>"11/2016"</f>
        <v>11/2016</v>
      </c>
      <c r="O382" t="str">
        <f>"10/2016"</f>
        <v>10/2016</v>
      </c>
      <c r="P382" t="str">
        <f>"9/2016"</f>
        <v>9/2016</v>
      </c>
      <c r="Q382" t="str">
        <f>"8/2016"</f>
        <v>8/2016</v>
      </c>
      <c r="R382" t="str">
        <f>"7/2016"</f>
        <v>7/2016</v>
      </c>
      <c r="S382" t="str">
        <f>"6/2016"</f>
        <v>6/2016</v>
      </c>
      <c r="T382" t="str">
        <f>"5/2016"</f>
        <v>5/2016</v>
      </c>
      <c r="U382" t="str">
        <f>"4/2016"</f>
        <v>4/2016</v>
      </c>
      <c r="V382" t="str">
        <f>"3/2016"</f>
        <v>3/2016</v>
      </c>
      <c r="W382" t="str">
        <f>"2/2016"</f>
        <v>2/2016</v>
      </c>
      <c r="X382" t="str">
        <f>"1/2016"</f>
        <v>1/2016</v>
      </c>
      <c r="Y382" t="str">
        <f>"12/2015"</f>
        <v>12/2015</v>
      </c>
      <c r="Z382" t="str">
        <f>"11/2015"</f>
        <v>11/2015</v>
      </c>
      <c r="AA382" t="str">
        <f>"10/2015"</f>
        <v>10/2015</v>
      </c>
      <c r="AB382" t="str">
        <f>"9/2015"</f>
        <v>9/2015</v>
      </c>
      <c r="AC382" t="str">
        <f>"8/2015"</f>
        <v>8/2015</v>
      </c>
      <c r="AD382" t="str">
        <f>"7/2015"</f>
        <v>7/2015</v>
      </c>
      <c r="AE382" t="str">
        <f>"6/2015"</f>
        <v>6/2015</v>
      </c>
      <c r="AF382" t="str">
        <f>"5/2015"</f>
        <v>5/2015</v>
      </c>
      <c r="AG382" t="str">
        <f>"4/2015"</f>
        <v>4/2015</v>
      </c>
      <c r="AH382" t="str">
        <f>"3/2015"</f>
        <v>3/2015</v>
      </c>
      <c r="AI382" t="str">
        <f>"2/2015"</f>
        <v>2/2015</v>
      </c>
      <c r="AJ382" t="str">
        <f>"1/2015"</f>
        <v>1/2015</v>
      </c>
      <c r="AK382" t="str">
        <f>"12/2014"</f>
        <v>12/2014</v>
      </c>
      <c r="AL382" t="str">
        <f>"11/2014"</f>
        <v>11/2014</v>
      </c>
      <c r="AM382" t="str">
        <f>"10/2014"</f>
        <v>10/2014</v>
      </c>
      <c r="AN382" t="str">
        <f>"9/2014"</f>
        <v>9/2014</v>
      </c>
      <c r="AO382" t="str">
        <f>"8/2014"</f>
        <v>8/2014</v>
      </c>
      <c r="AP382" t="str">
        <f>"7/2014"</f>
        <v>7/2014</v>
      </c>
      <c r="AT382" t="str">
        <f>""</f>
        <v/>
      </c>
      <c r="AU382" t="str">
        <f>""</f>
        <v/>
      </c>
      <c r="AV382" t="str">
        <f>""</f>
        <v/>
      </c>
      <c r="AW382" t="str">
        <f>""</f>
        <v/>
      </c>
      <c r="AX382" t="str">
        <f>""</f>
        <v/>
      </c>
      <c r="AY382" t="str">
        <f>""</f>
        <v/>
      </c>
      <c r="AZ382" t="str">
        <f>""</f>
        <v/>
      </c>
      <c r="BA382" t="str">
        <f>""</f>
        <v/>
      </c>
      <c r="BB382" t="str">
        <f>""</f>
        <v/>
      </c>
      <c r="BC382" t="str">
        <f>""</f>
        <v/>
      </c>
      <c r="BD382" t="str">
        <f>""</f>
        <v/>
      </c>
      <c r="BE382" t="str">
        <f>""</f>
        <v/>
      </c>
      <c r="BF382" t="str">
        <f>""</f>
        <v/>
      </c>
      <c r="BG382" t="str">
        <f>""</f>
        <v/>
      </c>
      <c r="BH382" t="str">
        <f>""</f>
        <v/>
      </c>
      <c r="BI382" t="str">
        <f>""</f>
        <v/>
      </c>
      <c r="BJ382" t="str">
        <f>""</f>
        <v/>
      </c>
      <c r="BK382" t="str">
        <f>""</f>
        <v/>
      </c>
      <c r="BL382" t="str">
        <f>""</f>
        <v/>
      </c>
      <c r="BM382" t="str">
        <f>""</f>
        <v/>
      </c>
      <c r="BN382" t="str">
        <f>""</f>
        <v/>
      </c>
      <c r="BO382" t="str">
        <f>""</f>
        <v/>
      </c>
      <c r="BP382" t="str">
        <f>""</f>
        <v/>
      </c>
      <c r="BQ382" t="str">
        <f>""</f>
        <v/>
      </c>
      <c r="BR382" t="str">
        <f>""</f>
        <v/>
      </c>
      <c r="BS382" t="str">
        <f>""</f>
        <v/>
      </c>
      <c r="BT382" t="str">
        <f>""</f>
        <v/>
      </c>
      <c r="BU382" t="str">
        <f>""</f>
        <v/>
      </c>
      <c r="BV382" t="str">
        <f>""</f>
        <v/>
      </c>
      <c r="BW382" t="str">
        <f>""</f>
        <v/>
      </c>
      <c r="BX382" t="str">
        <f>""</f>
        <v/>
      </c>
      <c r="BY382" t="str">
        <f>""</f>
        <v/>
      </c>
      <c r="BZ382" t="str">
        <f>""</f>
        <v/>
      </c>
      <c r="CA382" t="str">
        <f>""</f>
        <v/>
      </c>
      <c r="CB382" t="str">
        <f>""</f>
        <v/>
      </c>
      <c r="CC382" t="str">
        <f>""</f>
        <v/>
      </c>
      <c r="CD382" t="str">
        <f>""</f>
        <v/>
      </c>
      <c r="CE382" t="str">
        <f>""</f>
        <v/>
      </c>
      <c r="CF382" t="str">
        <f>""</f>
        <v/>
      </c>
      <c r="CG382" t="str">
        <f>""</f>
        <v/>
      </c>
    </row>
    <row r="383" spans="1:85" x14ac:dyDescent="0.25">
      <c r="A383" t="str">
        <f>"BDH snapshot header0"</f>
        <v>BDH snapshot header0</v>
      </c>
      <c r="B383">
        <f>IF(OR(ISERROR($C$383),ISBLANK($C$383),ISNUMBER(SEARCH("N/A",$C$383) ),ISERROR($C$384),ISBLANK($C$384)),0,1)</f>
        <v>0</v>
      </c>
      <c r="C383" t="str">
        <f>_xll.BDH($B$162,$C$162,$B$292,$B$381,"PER=CM","Dts=S","DtFmt=FI","rows=2","Dir=H","Points=40","Sort=R","Days=A","Fill=B","FX=USD","cols=40;rows=2")</f>
        <v>#N/A N/A</v>
      </c>
      <c r="D383" t="s">
        <v>28</v>
      </c>
      <c r="E383" t="s">
        <v>28</v>
      </c>
      <c r="F383" t="s">
        <v>28</v>
      </c>
      <c r="G383" t="s">
        <v>28</v>
      </c>
      <c r="H383" t="s">
        <v>28</v>
      </c>
      <c r="I383" t="s">
        <v>28</v>
      </c>
      <c r="J383" t="s">
        <v>28</v>
      </c>
      <c r="K383" t="s">
        <v>28</v>
      </c>
      <c r="L383" t="s">
        <v>28</v>
      </c>
      <c r="M383" t="s">
        <v>28</v>
      </c>
      <c r="N383" t="s">
        <v>28</v>
      </c>
      <c r="O383" t="s">
        <v>28</v>
      </c>
      <c r="P383" t="s">
        <v>28</v>
      </c>
      <c r="Q383" t="s">
        <v>28</v>
      </c>
      <c r="R383" t="s">
        <v>28</v>
      </c>
      <c r="S383" t="s">
        <v>28</v>
      </c>
      <c r="T383" t="s">
        <v>28</v>
      </c>
      <c r="U383" t="s">
        <v>28</v>
      </c>
      <c r="V383" t="s">
        <v>28</v>
      </c>
      <c r="W383" t="s">
        <v>28</v>
      </c>
      <c r="X383" t="s">
        <v>28</v>
      </c>
      <c r="Y383" t="s">
        <v>28</v>
      </c>
      <c r="Z383" t="s">
        <v>28</v>
      </c>
      <c r="AA383" t="s">
        <v>28</v>
      </c>
      <c r="AB383" t="s">
        <v>28</v>
      </c>
      <c r="AC383" t="s">
        <v>28</v>
      </c>
      <c r="AD383" t="s">
        <v>28</v>
      </c>
      <c r="AE383" t="s">
        <v>28</v>
      </c>
      <c r="AF383" t="s">
        <v>28</v>
      </c>
      <c r="AG383" t="s">
        <v>28</v>
      </c>
      <c r="AH383" t="s">
        <v>28</v>
      </c>
      <c r="AI383" t="s">
        <v>28</v>
      </c>
      <c r="AJ383" t="s">
        <v>28</v>
      </c>
      <c r="AK383" t="s">
        <v>28</v>
      </c>
      <c r="AL383" t="s">
        <v>28</v>
      </c>
      <c r="AM383" t="s">
        <v>28</v>
      </c>
      <c r="AN383" t="s">
        <v>28</v>
      </c>
      <c r="AO383" t="s">
        <v>28</v>
      </c>
      <c r="AP383" t="s">
        <v>28</v>
      </c>
      <c r="AT383" t="str">
        <f>""</f>
        <v/>
      </c>
      <c r="AU383" t="str">
        <f>""</f>
        <v/>
      </c>
      <c r="AV383" t="str">
        <f>""</f>
        <v/>
      </c>
      <c r="AW383" t="str">
        <f>""</f>
        <v/>
      </c>
      <c r="AX383" t="str">
        <f>""</f>
        <v/>
      </c>
      <c r="AY383" t="str">
        <f>""</f>
        <v/>
      </c>
      <c r="AZ383" t="str">
        <f>""</f>
        <v/>
      </c>
      <c r="BA383" t="str">
        <f>""</f>
        <v/>
      </c>
      <c r="BB383" t="str">
        <f>""</f>
        <v/>
      </c>
      <c r="BC383" t="str">
        <f>""</f>
        <v/>
      </c>
      <c r="BD383" t="str">
        <f>""</f>
        <v/>
      </c>
      <c r="BE383" t="str">
        <f>""</f>
        <v/>
      </c>
      <c r="BF383" t="str">
        <f>""</f>
        <v/>
      </c>
      <c r="BG383" t="str">
        <f>""</f>
        <v/>
      </c>
      <c r="BH383" t="str">
        <f>""</f>
        <v/>
      </c>
      <c r="BI383" t="str">
        <f>""</f>
        <v/>
      </c>
      <c r="BJ383" t="str">
        <f>""</f>
        <v/>
      </c>
      <c r="BK383" t="str">
        <f>""</f>
        <v/>
      </c>
      <c r="BL383" t="str">
        <f>""</f>
        <v/>
      </c>
      <c r="BM383" t="str">
        <f>""</f>
        <v/>
      </c>
      <c r="BN383" t="str">
        <f>""</f>
        <v/>
      </c>
      <c r="BO383" t="str">
        <f>""</f>
        <v/>
      </c>
      <c r="BP383" t="str">
        <f>""</f>
        <v/>
      </c>
      <c r="BQ383" t="str">
        <f>""</f>
        <v/>
      </c>
      <c r="BR383" t="str">
        <f>""</f>
        <v/>
      </c>
      <c r="BS383" t="str">
        <f>""</f>
        <v/>
      </c>
      <c r="BT383" t="str">
        <f>""</f>
        <v/>
      </c>
      <c r="BU383" t="str">
        <f>""</f>
        <v/>
      </c>
      <c r="BV383" t="str">
        <f>""</f>
        <v/>
      </c>
      <c r="BW383" t="str">
        <f>""</f>
        <v/>
      </c>
      <c r="BX383" t="str">
        <f>""</f>
        <v/>
      </c>
      <c r="BY383" t="str">
        <f>""</f>
        <v/>
      </c>
      <c r="BZ383" t="str">
        <f>""</f>
        <v/>
      </c>
      <c r="CA383" t="str">
        <f>""</f>
        <v/>
      </c>
      <c r="CB383" t="str">
        <f>""</f>
        <v/>
      </c>
      <c r="CC383" t="str">
        <f>""</f>
        <v/>
      </c>
      <c r="CD383" t="str">
        <f>""</f>
        <v/>
      </c>
      <c r="CE383" t="str">
        <f>""</f>
        <v/>
      </c>
      <c r="CF383" t="str">
        <f>""</f>
        <v/>
      </c>
      <c r="CG383" t="str">
        <f>""</f>
        <v/>
      </c>
    </row>
    <row r="384" spans="1:85" x14ac:dyDescent="0.25">
      <c r="A384" t="str">
        <f>"BDH snapshot result0"</f>
        <v>BDH snapshot result0</v>
      </c>
      <c r="E384">
        <v>23156</v>
      </c>
      <c r="F384">
        <v>22487</v>
      </c>
      <c r="G384">
        <v>21659</v>
      </c>
      <c r="H384">
        <v>19665</v>
      </c>
      <c r="I384">
        <v>22164</v>
      </c>
      <c r="J384">
        <v>20944</v>
      </c>
      <c r="K384">
        <v>17952</v>
      </c>
      <c r="L384">
        <v>19393</v>
      </c>
      <c r="M384">
        <v>14629</v>
      </c>
      <c r="N384">
        <v>14271</v>
      </c>
      <c r="O384">
        <v>21679</v>
      </c>
      <c r="P384">
        <v>19143</v>
      </c>
      <c r="Q384">
        <v>18449</v>
      </c>
      <c r="R384">
        <v>19789</v>
      </c>
      <c r="S384">
        <v>20439</v>
      </c>
      <c r="T384">
        <v>17631</v>
      </c>
      <c r="U384">
        <v>22619</v>
      </c>
      <c r="V384">
        <v>21848</v>
      </c>
      <c r="W384">
        <v>20898</v>
      </c>
      <c r="X384">
        <v>24108</v>
      </c>
      <c r="Y384">
        <v>19685</v>
      </c>
      <c r="Z384">
        <v>19395</v>
      </c>
      <c r="AA384">
        <v>25767</v>
      </c>
      <c r="AB384">
        <v>23362</v>
      </c>
      <c r="AC384">
        <v>24031</v>
      </c>
      <c r="AD384">
        <v>25808</v>
      </c>
      <c r="AE384">
        <v>26349</v>
      </c>
      <c r="AF384">
        <v>28082</v>
      </c>
      <c r="AG384">
        <v>29906</v>
      </c>
      <c r="AH384">
        <v>25874</v>
      </c>
      <c r="AI384">
        <v>25050</v>
      </c>
      <c r="AJ384">
        <v>25206</v>
      </c>
      <c r="AK384">
        <v>21673</v>
      </c>
      <c r="AL384">
        <v>21180</v>
      </c>
      <c r="AM384">
        <v>28502</v>
      </c>
      <c r="AN384">
        <v>21371</v>
      </c>
      <c r="AO384">
        <v>27237</v>
      </c>
      <c r="AP384">
        <v>24427</v>
      </c>
      <c r="AT384" t="str">
        <f>""</f>
        <v/>
      </c>
      <c r="AU384" t="str">
        <f>""</f>
        <v/>
      </c>
      <c r="AV384" t="str">
        <f>""</f>
        <v/>
      </c>
      <c r="AW384" t="str">
        <f>""</f>
        <v/>
      </c>
      <c r="AX384" t="str">
        <f>""</f>
        <v/>
      </c>
      <c r="AY384" t="str">
        <f>""</f>
        <v/>
      </c>
      <c r="AZ384" t="str">
        <f>""</f>
        <v/>
      </c>
      <c r="BA384" t="str">
        <f>""</f>
        <v/>
      </c>
      <c r="BB384" t="str">
        <f>""</f>
        <v/>
      </c>
      <c r="BC384" t="str">
        <f>""</f>
        <v/>
      </c>
      <c r="BD384" t="str">
        <f>""</f>
        <v/>
      </c>
      <c r="BE384" t="str">
        <f>""</f>
        <v/>
      </c>
      <c r="BF384" t="str">
        <f>""</f>
        <v/>
      </c>
      <c r="BG384" t="str">
        <f>""</f>
        <v/>
      </c>
      <c r="BH384" t="str">
        <f>""</f>
        <v/>
      </c>
      <c r="BI384" t="str">
        <f>""</f>
        <v/>
      </c>
      <c r="BJ384" t="str">
        <f>""</f>
        <v/>
      </c>
      <c r="BK384" t="str">
        <f>""</f>
        <v/>
      </c>
      <c r="BL384" t="str">
        <f>""</f>
        <v/>
      </c>
      <c r="BM384" t="str">
        <f>""</f>
        <v/>
      </c>
      <c r="BN384" t="str">
        <f>""</f>
        <v/>
      </c>
      <c r="BO384" t="str">
        <f>""</f>
        <v/>
      </c>
      <c r="BP384" t="str">
        <f>""</f>
        <v/>
      </c>
      <c r="BQ384" t="str">
        <f>""</f>
        <v/>
      </c>
      <c r="BR384" t="str">
        <f>""</f>
        <v/>
      </c>
      <c r="BS384" t="str">
        <f>""</f>
        <v/>
      </c>
      <c r="BT384" t="str">
        <f>""</f>
        <v/>
      </c>
      <c r="BU384" t="str">
        <f>""</f>
        <v/>
      </c>
      <c r="BV384" t="str">
        <f>""</f>
        <v/>
      </c>
      <c r="BW384" t="str">
        <f>""</f>
        <v/>
      </c>
      <c r="BX384" t="str">
        <f>""</f>
        <v/>
      </c>
      <c r="BY384" t="str">
        <f>""</f>
        <v/>
      </c>
      <c r="BZ384" t="str">
        <f>""</f>
        <v/>
      </c>
      <c r="CA384" t="str">
        <f>""</f>
        <v/>
      </c>
      <c r="CB384" t="str">
        <f>""</f>
        <v/>
      </c>
      <c r="CC384" t="str">
        <f>""</f>
        <v/>
      </c>
      <c r="CD384" t="str">
        <f>""</f>
        <v/>
      </c>
      <c r="CE384" t="str">
        <f>""</f>
        <v/>
      </c>
      <c r="CF384" t="str">
        <f>""</f>
        <v/>
      </c>
      <c r="CG384" t="str">
        <f>""</f>
        <v/>
      </c>
    </row>
    <row r="385" spans="1:85" x14ac:dyDescent="0.25">
      <c r="A385" t="str">
        <f>"BDH snapshot header1"</f>
        <v>BDH snapshot header1</v>
      </c>
      <c r="B385">
        <f>IF(OR(ISERROR($C$385),ISBLANK($C$385),ISNUMBER(SEARCH("N/A",$C$385) ),ISERROR($C$386),ISBLANK($C$386)),0,1)</f>
        <v>0</v>
      </c>
      <c r="C385" t="str">
        <f>_xll.BDH($B$177,$C$177,$B$292,$B$381,"PER=CM","Dts=S","DtFmt=FI","rows=2","Dir=H","Points=40","Sort=R","Days=A","Fill=B","FX=USD","cols=40;rows=2")</f>
        <v>#N/A N/A</v>
      </c>
      <c r="D385" t="s">
        <v>28</v>
      </c>
      <c r="E385" t="s">
        <v>28</v>
      </c>
      <c r="F385" t="s">
        <v>28</v>
      </c>
      <c r="G385" t="s">
        <v>28</v>
      </c>
      <c r="H385" t="s">
        <v>28</v>
      </c>
      <c r="I385" t="s">
        <v>28</v>
      </c>
      <c r="J385" t="s">
        <v>28</v>
      </c>
      <c r="K385" t="s">
        <v>28</v>
      </c>
      <c r="L385" t="s">
        <v>28</v>
      </c>
      <c r="M385" t="s">
        <v>28</v>
      </c>
      <c r="N385" t="s">
        <v>28</v>
      </c>
      <c r="O385" t="s">
        <v>28</v>
      </c>
      <c r="P385" t="s">
        <v>28</v>
      </c>
      <c r="Q385" t="s">
        <v>28</v>
      </c>
      <c r="R385" t="s">
        <v>28</v>
      </c>
      <c r="S385" t="s">
        <v>28</v>
      </c>
      <c r="T385" t="s">
        <v>28</v>
      </c>
      <c r="U385" t="s">
        <v>28</v>
      </c>
      <c r="V385" t="s">
        <v>28</v>
      </c>
      <c r="W385" t="s">
        <v>28</v>
      </c>
      <c r="X385" t="s">
        <v>28</v>
      </c>
      <c r="Y385" t="s">
        <v>28</v>
      </c>
      <c r="Z385" t="s">
        <v>28</v>
      </c>
      <c r="AA385" t="s">
        <v>28</v>
      </c>
      <c r="AB385" t="s">
        <v>28</v>
      </c>
      <c r="AC385" t="s">
        <v>28</v>
      </c>
      <c r="AD385" t="s">
        <v>28</v>
      </c>
      <c r="AE385" t="s">
        <v>28</v>
      </c>
      <c r="AF385" t="s">
        <v>28</v>
      </c>
      <c r="AG385" t="s">
        <v>28</v>
      </c>
      <c r="AH385" t="s">
        <v>28</v>
      </c>
      <c r="AI385" t="s">
        <v>28</v>
      </c>
      <c r="AJ385" t="s">
        <v>28</v>
      </c>
      <c r="AK385" t="s">
        <v>28</v>
      </c>
      <c r="AL385" t="s">
        <v>28</v>
      </c>
      <c r="AM385" t="s">
        <v>28</v>
      </c>
      <c r="AN385" t="s">
        <v>28</v>
      </c>
      <c r="AO385" t="s">
        <v>28</v>
      </c>
      <c r="AP385" t="s">
        <v>28</v>
      </c>
      <c r="AT385" t="str">
        <f>""</f>
        <v/>
      </c>
      <c r="AU385" t="str">
        <f>""</f>
        <v/>
      </c>
      <c r="AV385" t="str">
        <f>""</f>
        <v/>
      </c>
      <c r="AW385" t="str">
        <f>""</f>
        <v/>
      </c>
      <c r="AX385" t="str">
        <f>""</f>
        <v/>
      </c>
      <c r="AY385" t="str">
        <f>""</f>
        <v/>
      </c>
      <c r="AZ385" t="str">
        <f>""</f>
        <v/>
      </c>
      <c r="BA385" t="str">
        <f>""</f>
        <v/>
      </c>
      <c r="BB385" t="str">
        <f>""</f>
        <v/>
      </c>
      <c r="BC385" t="str">
        <f>""</f>
        <v/>
      </c>
      <c r="BD385" t="str">
        <f>""</f>
        <v/>
      </c>
      <c r="BE385" t="str">
        <f>""</f>
        <v/>
      </c>
      <c r="BF385" t="str">
        <f>""</f>
        <v/>
      </c>
      <c r="BG385" t="str">
        <f>""</f>
        <v/>
      </c>
      <c r="BH385" t="str">
        <f>""</f>
        <v/>
      </c>
      <c r="BI385" t="str">
        <f>""</f>
        <v/>
      </c>
      <c r="BJ385" t="str">
        <f>""</f>
        <v/>
      </c>
      <c r="BK385" t="str">
        <f>""</f>
        <v/>
      </c>
      <c r="BL385" t="str">
        <f>""</f>
        <v/>
      </c>
      <c r="BM385" t="str">
        <f>""</f>
        <v/>
      </c>
      <c r="BN385" t="str">
        <f>""</f>
        <v/>
      </c>
      <c r="BO385" t="str">
        <f>""</f>
        <v/>
      </c>
      <c r="BP385" t="str">
        <f>""</f>
        <v/>
      </c>
      <c r="BQ385" t="str">
        <f>""</f>
        <v/>
      </c>
      <c r="BR385" t="str">
        <f>""</f>
        <v/>
      </c>
      <c r="BS385" t="str">
        <f>""</f>
        <v/>
      </c>
      <c r="BT385" t="str">
        <f>""</f>
        <v/>
      </c>
      <c r="BU385" t="str">
        <f>""</f>
        <v/>
      </c>
      <c r="BV385" t="str">
        <f>""</f>
        <v/>
      </c>
      <c r="BW385" t="str">
        <f>""</f>
        <v/>
      </c>
      <c r="BX385" t="str">
        <f>""</f>
        <v/>
      </c>
      <c r="BY385" t="str">
        <f>""</f>
        <v/>
      </c>
      <c r="BZ385" t="str">
        <f>""</f>
        <v/>
      </c>
      <c r="CA385" t="str">
        <f>""</f>
        <v/>
      </c>
      <c r="CB385" t="str">
        <f>""</f>
        <v/>
      </c>
      <c r="CC385" t="str">
        <f>""</f>
        <v/>
      </c>
      <c r="CD385" t="str">
        <f>""</f>
        <v/>
      </c>
      <c r="CE385" t="str">
        <f>""</f>
        <v/>
      </c>
      <c r="CF385" t="str">
        <f>""</f>
        <v/>
      </c>
      <c r="CG385" t="str">
        <f>""</f>
        <v/>
      </c>
    </row>
    <row r="386" spans="1:85" x14ac:dyDescent="0.25">
      <c r="A386" t="str">
        <f>"BDH snapshot result1"</f>
        <v>BDH snapshot result1</v>
      </c>
      <c r="E386">
        <v>17928</v>
      </c>
      <c r="F386">
        <v>17667</v>
      </c>
      <c r="G386">
        <v>17166</v>
      </c>
      <c r="H386">
        <v>15317</v>
      </c>
      <c r="I386">
        <v>17310</v>
      </c>
      <c r="J386">
        <v>16248</v>
      </c>
      <c r="K386">
        <v>13836</v>
      </c>
      <c r="L386">
        <v>14793</v>
      </c>
      <c r="M386">
        <v>11200</v>
      </c>
      <c r="N386">
        <v>10944</v>
      </c>
      <c r="O386">
        <v>15629</v>
      </c>
      <c r="P386">
        <v>13943</v>
      </c>
      <c r="Q386">
        <v>13618</v>
      </c>
      <c r="R386">
        <v>14968</v>
      </c>
      <c r="S386">
        <v>16262</v>
      </c>
      <c r="T386">
        <v>14085</v>
      </c>
      <c r="U386">
        <v>18354</v>
      </c>
      <c r="V386">
        <v>17312</v>
      </c>
      <c r="W386">
        <v>16633</v>
      </c>
      <c r="X386">
        <v>20034</v>
      </c>
      <c r="Y386">
        <v>15876</v>
      </c>
      <c r="Z386">
        <v>15949</v>
      </c>
      <c r="AA386">
        <v>20773</v>
      </c>
      <c r="AB386">
        <v>19204</v>
      </c>
      <c r="AC386">
        <v>19256</v>
      </c>
      <c r="AD386">
        <v>20978</v>
      </c>
      <c r="AE386">
        <v>21999</v>
      </c>
      <c r="AF386">
        <v>23392</v>
      </c>
      <c r="AG386">
        <v>25366</v>
      </c>
      <c r="AH386">
        <v>21506</v>
      </c>
      <c r="AI386">
        <v>20509</v>
      </c>
      <c r="AJ386">
        <v>20628</v>
      </c>
      <c r="AK386">
        <v>17820</v>
      </c>
      <c r="AL386">
        <v>17373</v>
      </c>
      <c r="AM386">
        <v>23379</v>
      </c>
      <c r="AN386">
        <v>16706</v>
      </c>
      <c r="AO386">
        <v>22032</v>
      </c>
      <c r="AP386">
        <v>20078</v>
      </c>
      <c r="AT386" t="str">
        <f>""</f>
        <v/>
      </c>
      <c r="AU386" t="str">
        <f>""</f>
        <v/>
      </c>
      <c r="AV386" t="str">
        <f>""</f>
        <v/>
      </c>
      <c r="AW386" t="str">
        <f>""</f>
        <v/>
      </c>
      <c r="AX386" t="str">
        <f>""</f>
        <v/>
      </c>
      <c r="AY386" t="str">
        <f>""</f>
        <v/>
      </c>
      <c r="AZ386" t="str">
        <f>""</f>
        <v/>
      </c>
      <c r="BA386" t="str">
        <f>""</f>
        <v/>
      </c>
      <c r="BB386" t="str">
        <f>""</f>
        <v/>
      </c>
      <c r="BC386" t="str">
        <f>""</f>
        <v/>
      </c>
      <c r="BD386" t="str">
        <f>""</f>
        <v/>
      </c>
      <c r="BE386" t="str">
        <f>""</f>
        <v/>
      </c>
      <c r="BF386" t="str">
        <f>""</f>
        <v/>
      </c>
      <c r="BG386" t="str">
        <f>""</f>
        <v/>
      </c>
      <c r="BH386" t="str">
        <f>""</f>
        <v/>
      </c>
      <c r="BI386" t="str">
        <f>""</f>
        <v/>
      </c>
      <c r="BJ386" t="str">
        <f>""</f>
        <v/>
      </c>
      <c r="BK386" t="str">
        <f>""</f>
        <v/>
      </c>
      <c r="BL386" t="str">
        <f>""</f>
        <v/>
      </c>
      <c r="BM386" t="str">
        <f>""</f>
        <v/>
      </c>
      <c r="BN386" t="str">
        <f>""</f>
        <v/>
      </c>
      <c r="BO386" t="str">
        <f>""</f>
        <v/>
      </c>
      <c r="BP386" t="str">
        <f>""</f>
        <v/>
      </c>
      <c r="BQ386" t="str">
        <f>""</f>
        <v/>
      </c>
      <c r="BR386" t="str">
        <f>""</f>
        <v/>
      </c>
      <c r="BS386" t="str">
        <f>""</f>
        <v/>
      </c>
      <c r="BT386" t="str">
        <f>""</f>
        <v/>
      </c>
      <c r="BU386" t="str">
        <f>""</f>
        <v/>
      </c>
      <c r="BV386" t="str">
        <f>""</f>
        <v/>
      </c>
      <c r="BW386" t="str">
        <f>""</f>
        <v/>
      </c>
      <c r="BX386" t="str">
        <f>""</f>
        <v/>
      </c>
      <c r="BY386" t="str">
        <f>""</f>
        <v/>
      </c>
      <c r="BZ386" t="str">
        <f>""</f>
        <v/>
      </c>
      <c r="CA386" t="str">
        <f>""</f>
        <v/>
      </c>
      <c r="CB386" t="str">
        <f>""</f>
        <v/>
      </c>
      <c r="CC386" t="str">
        <f>""</f>
        <v/>
      </c>
      <c r="CD386" t="str">
        <f>""</f>
        <v/>
      </c>
      <c r="CE386" t="str">
        <f>""</f>
        <v/>
      </c>
      <c r="CF386" t="str">
        <f>""</f>
        <v/>
      </c>
      <c r="CG386" t="str">
        <f>""</f>
        <v/>
      </c>
    </row>
    <row r="387" spans="1:85" x14ac:dyDescent="0.25">
      <c r="A387" t="str">
        <f>"BDH snapshot header2"</f>
        <v>BDH snapshot header2</v>
      </c>
      <c r="B387">
        <f>IF(OR(ISERROR($C$387),ISBLANK($C$387),ISNUMBER(SEARCH("N/A",$C$387) ),ISERROR($C$388),ISBLANK($C$388)),0,1)</f>
        <v>0</v>
      </c>
      <c r="C387" t="str">
        <f>_xll.BDH($B$178,$C$178,$B$292,$B$381,"PER=CM","Dts=S","DtFmt=FI","rows=2","Dir=H","Points=40","Sort=R","Days=A","Fill=B","DZ665=16578413","X0012=Class 8","X0001=NAUS","FX=USD","cols=40;rows=2")</f>
        <v>#N/A N/A</v>
      </c>
      <c r="D387" t="s">
        <v>28</v>
      </c>
      <c r="E387" t="s">
        <v>28</v>
      </c>
      <c r="F387" t="s">
        <v>28</v>
      </c>
      <c r="G387" t="s">
        <v>28</v>
      </c>
      <c r="H387" t="s">
        <v>28</v>
      </c>
      <c r="I387" t="s">
        <v>28</v>
      </c>
      <c r="J387" t="s">
        <v>28</v>
      </c>
      <c r="K387" t="s">
        <v>28</v>
      </c>
      <c r="L387" t="s">
        <v>28</v>
      </c>
      <c r="M387" t="s">
        <v>28</v>
      </c>
      <c r="N387" t="s">
        <v>28</v>
      </c>
      <c r="O387" t="s">
        <v>28</v>
      </c>
      <c r="P387" t="s">
        <v>28</v>
      </c>
      <c r="Q387" t="s">
        <v>28</v>
      </c>
      <c r="R387" t="s">
        <v>28</v>
      </c>
      <c r="S387" t="s">
        <v>28</v>
      </c>
      <c r="T387" t="s">
        <v>28</v>
      </c>
      <c r="U387" t="s">
        <v>28</v>
      </c>
      <c r="V387" t="s">
        <v>28</v>
      </c>
      <c r="W387" t="s">
        <v>28</v>
      </c>
      <c r="X387" t="s">
        <v>28</v>
      </c>
      <c r="Y387" t="s">
        <v>28</v>
      </c>
      <c r="Z387" t="s">
        <v>28</v>
      </c>
      <c r="AA387" t="s">
        <v>28</v>
      </c>
      <c r="AB387" t="s">
        <v>28</v>
      </c>
      <c r="AC387" t="s">
        <v>28</v>
      </c>
      <c r="AD387" t="s">
        <v>28</v>
      </c>
      <c r="AE387" t="s">
        <v>28</v>
      </c>
      <c r="AF387" t="s">
        <v>28</v>
      </c>
      <c r="AG387" t="s">
        <v>28</v>
      </c>
      <c r="AH387" t="s">
        <v>28</v>
      </c>
      <c r="AI387" t="s">
        <v>28</v>
      </c>
      <c r="AJ387" t="s">
        <v>28</v>
      </c>
      <c r="AK387" t="s">
        <v>28</v>
      </c>
      <c r="AL387" t="s">
        <v>28</v>
      </c>
      <c r="AM387" t="s">
        <v>28</v>
      </c>
      <c r="AN387" t="s">
        <v>28</v>
      </c>
      <c r="AO387" t="s">
        <v>28</v>
      </c>
      <c r="AP387" t="s">
        <v>28</v>
      </c>
      <c r="AT387" t="str">
        <f>""</f>
        <v/>
      </c>
      <c r="AU387" t="str">
        <f>""</f>
        <v/>
      </c>
      <c r="AV387" t="str">
        <f>""</f>
        <v/>
      </c>
      <c r="AW387" t="str">
        <f>""</f>
        <v/>
      </c>
      <c r="AX387" t="str">
        <f>""</f>
        <v/>
      </c>
      <c r="AY387" t="str">
        <f>""</f>
        <v/>
      </c>
      <c r="AZ387" t="str">
        <f>""</f>
        <v/>
      </c>
      <c r="BA387" t="str">
        <f>""</f>
        <v/>
      </c>
      <c r="BB387" t="str">
        <f>""</f>
        <v/>
      </c>
      <c r="BC387" t="str">
        <f>""</f>
        <v/>
      </c>
      <c r="BD387" t="str">
        <f>""</f>
        <v/>
      </c>
      <c r="BE387" t="str">
        <f>""</f>
        <v/>
      </c>
      <c r="BF387" t="str">
        <f>""</f>
        <v/>
      </c>
      <c r="BG387" t="str">
        <f>""</f>
        <v/>
      </c>
      <c r="BH387" t="str">
        <f>""</f>
        <v/>
      </c>
      <c r="BI387" t="str">
        <f>""</f>
        <v/>
      </c>
      <c r="BJ387" t="str">
        <f>""</f>
        <v/>
      </c>
      <c r="BK387" t="str">
        <f>""</f>
        <v/>
      </c>
      <c r="BL387" t="str">
        <f>""</f>
        <v/>
      </c>
      <c r="BM387" t="str">
        <f>""</f>
        <v/>
      </c>
      <c r="BN387" t="str">
        <f>""</f>
        <v/>
      </c>
      <c r="BO387" t="str">
        <f>""</f>
        <v/>
      </c>
      <c r="BP387" t="str">
        <f>""</f>
        <v/>
      </c>
      <c r="BQ387" t="str">
        <f>""</f>
        <v/>
      </c>
      <c r="BR387" t="str">
        <f>""</f>
        <v/>
      </c>
      <c r="BS387" t="str">
        <f>""</f>
        <v/>
      </c>
      <c r="BT387" t="str">
        <f>""</f>
        <v/>
      </c>
      <c r="BU387" t="str">
        <f>""</f>
        <v/>
      </c>
      <c r="BV387" t="str">
        <f>""</f>
        <v/>
      </c>
      <c r="BW387" t="str">
        <f>""</f>
        <v/>
      </c>
      <c r="BX387" t="str">
        <f>""</f>
        <v/>
      </c>
      <c r="BY387" t="str">
        <f>""</f>
        <v/>
      </c>
      <c r="BZ387" t="str">
        <f>""</f>
        <v/>
      </c>
      <c r="CA387" t="str">
        <f>""</f>
        <v/>
      </c>
      <c r="CB387" t="str">
        <f>""</f>
        <v/>
      </c>
      <c r="CC387" t="str">
        <f>""</f>
        <v/>
      </c>
      <c r="CD387" t="str">
        <f>""</f>
        <v/>
      </c>
      <c r="CE387" t="str">
        <f>""</f>
        <v/>
      </c>
      <c r="CF387" t="str">
        <f>""</f>
        <v/>
      </c>
      <c r="CG387" t="str">
        <f>""</f>
        <v/>
      </c>
    </row>
    <row r="388" spans="1:85" x14ac:dyDescent="0.25">
      <c r="A388" t="str">
        <f>"BDH snapshot result2"</f>
        <v>BDH snapshot result2</v>
      </c>
      <c r="D388">
        <v>6334</v>
      </c>
      <c r="E388">
        <v>7252</v>
      </c>
      <c r="F388">
        <v>5848</v>
      </c>
      <c r="G388">
        <v>5787</v>
      </c>
      <c r="H388">
        <v>6313</v>
      </c>
      <c r="I388">
        <v>6900</v>
      </c>
      <c r="J388">
        <v>4965</v>
      </c>
      <c r="K388">
        <v>5322</v>
      </c>
      <c r="L388">
        <v>4310</v>
      </c>
      <c r="M388">
        <v>4077</v>
      </c>
      <c r="N388">
        <v>4375</v>
      </c>
      <c r="O388">
        <v>5538</v>
      </c>
      <c r="P388">
        <v>4371</v>
      </c>
      <c r="Q388">
        <v>5131</v>
      </c>
      <c r="R388">
        <v>6127</v>
      </c>
      <c r="S388">
        <v>4912</v>
      </c>
      <c r="T388">
        <v>6725</v>
      </c>
      <c r="U388">
        <v>7012</v>
      </c>
      <c r="V388">
        <v>6358</v>
      </c>
      <c r="W388">
        <v>8562</v>
      </c>
      <c r="X388">
        <v>6487</v>
      </c>
      <c r="Y388">
        <v>6915</v>
      </c>
      <c r="Z388">
        <v>6846</v>
      </c>
      <c r="AA388">
        <v>9208</v>
      </c>
      <c r="AB388">
        <v>8033</v>
      </c>
      <c r="AC388">
        <v>8025</v>
      </c>
      <c r="AD388">
        <v>8272</v>
      </c>
      <c r="AE388">
        <v>9114</v>
      </c>
      <c r="AF388">
        <v>9386</v>
      </c>
      <c r="AG388">
        <v>8254</v>
      </c>
      <c r="AH388">
        <v>6689</v>
      </c>
      <c r="AI388">
        <v>6776</v>
      </c>
      <c r="AJ388">
        <v>7002</v>
      </c>
      <c r="AK388">
        <v>7755</v>
      </c>
      <c r="AL388">
        <v>8187</v>
      </c>
      <c r="AM388">
        <v>5691</v>
      </c>
      <c r="AN388">
        <v>8153</v>
      </c>
      <c r="AO388">
        <v>7226</v>
      </c>
      <c r="AP388">
        <v>7027</v>
      </c>
      <c r="AT388" t="str">
        <f>""</f>
        <v/>
      </c>
      <c r="AU388" t="str">
        <f>""</f>
        <v/>
      </c>
      <c r="AV388" t="str">
        <f>""</f>
        <v/>
      </c>
      <c r="AW388" t="str">
        <f>""</f>
        <v/>
      </c>
      <c r="AX388" t="str">
        <f>""</f>
        <v/>
      </c>
      <c r="AY388" t="str">
        <f>""</f>
        <v/>
      </c>
      <c r="AZ388" t="str">
        <f>""</f>
        <v/>
      </c>
      <c r="BA388" t="str">
        <f>""</f>
        <v/>
      </c>
      <c r="BB388" t="str">
        <f>""</f>
        <v/>
      </c>
      <c r="BC388" t="str">
        <f>""</f>
        <v/>
      </c>
      <c r="BD388" t="str">
        <f>""</f>
        <v/>
      </c>
      <c r="BE388" t="str">
        <f>""</f>
        <v/>
      </c>
      <c r="BF388" t="str">
        <f>""</f>
        <v/>
      </c>
      <c r="BG388" t="str">
        <f>""</f>
        <v/>
      </c>
      <c r="BH388" t="str">
        <f>""</f>
        <v/>
      </c>
      <c r="BI388" t="str">
        <f>""</f>
        <v/>
      </c>
      <c r="BJ388" t="str">
        <f>""</f>
        <v/>
      </c>
      <c r="BK388" t="str">
        <f>""</f>
        <v/>
      </c>
      <c r="BL388" t="str">
        <f>""</f>
        <v/>
      </c>
      <c r="BM388" t="str">
        <f>""</f>
        <v/>
      </c>
      <c r="BN388" t="str">
        <f>""</f>
        <v/>
      </c>
      <c r="BO388" t="str">
        <f>""</f>
        <v/>
      </c>
      <c r="BP388" t="str">
        <f>""</f>
        <v/>
      </c>
      <c r="BQ388" t="str">
        <f>""</f>
        <v/>
      </c>
      <c r="BR388" t="str">
        <f>""</f>
        <v/>
      </c>
      <c r="BS388" t="str">
        <f>""</f>
        <v/>
      </c>
      <c r="BT388" t="str">
        <f>""</f>
        <v/>
      </c>
      <c r="BU388" t="str">
        <f>""</f>
        <v/>
      </c>
      <c r="BV388" t="str">
        <f>""</f>
        <v/>
      </c>
      <c r="BW388" t="str">
        <f>""</f>
        <v/>
      </c>
      <c r="BX388" t="str">
        <f>""</f>
        <v/>
      </c>
      <c r="BY388" t="str">
        <f>""</f>
        <v/>
      </c>
      <c r="BZ388" t="str">
        <f>""</f>
        <v/>
      </c>
      <c r="CA388" t="str">
        <f>""</f>
        <v/>
      </c>
      <c r="CB388" t="str">
        <f>""</f>
        <v/>
      </c>
      <c r="CC388" t="str">
        <f>""</f>
        <v/>
      </c>
      <c r="CD388" t="str">
        <f>""</f>
        <v/>
      </c>
      <c r="CE388" t="str">
        <f>""</f>
        <v/>
      </c>
      <c r="CF388" t="str">
        <f>""</f>
        <v/>
      </c>
      <c r="CG388" t="str">
        <f>""</f>
        <v/>
      </c>
    </row>
    <row r="389" spans="1:85" x14ac:dyDescent="0.25">
      <c r="A389" t="str">
        <f>"BDH snapshot"</f>
        <v>BDH snapshot</v>
      </c>
      <c r="B389">
        <f>IF($B$383&gt;=1,$B$383,IF($B$385&gt;=1,$B$385,IF($B$387&gt;=1,$B$387,$B$382)))</f>
        <v>2</v>
      </c>
      <c r="C389" t="str">
        <f>IF($B$383&gt;=1,$C$383,IF($B$385&gt;=1,$C$385,IF($B$387&gt;=1,$C$387,$C$382)))</f>
        <v>10/2017</v>
      </c>
      <c r="D389" t="str">
        <f>IF($B$383&gt;=1,$D$383,IF($B$385&gt;=1,$D$385,IF($B$387&gt;=1,$D$387,$D$382)))</f>
        <v>9/2017</v>
      </c>
      <c r="E389" t="str">
        <f>IF($B$383&gt;=1,$E$383,IF($B$385&gt;=1,$E$385,IF($B$387&gt;=1,$E$387,$E$382)))</f>
        <v>8/2017</v>
      </c>
      <c r="F389" t="str">
        <f>IF($B$383&gt;=1,$F$383,IF($B$385&gt;=1,$F$385,IF($B$387&gt;=1,$F$387,$F$382)))</f>
        <v>7/2017</v>
      </c>
      <c r="G389" t="str">
        <f>IF($B$383&gt;=1,$G$383,IF($B$385&gt;=1,$G$385,IF($B$387&gt;=1,$G$387,$G$382)))</f>
        <v>6/2017</v>
      </c>
      <c r="H389" t="str">
        <f>IF($B$383&gt;=1,$H$383,IF($B$385&gt;=1,$H$385,IF($B$387&gt;=1,$H$387,$H$382)))</f>
        <v>5/2017</v>
      </c>
      <c r="I389" t="str">
        <f>IF($B$383&gt;=1,$I$383,IF($B$385&gt;=1,$I$385,IF($B$387&gt;=1,$I$387,$I$382)))</f>
        <v>4/2017</v>
      </c>
      <c r="J389" t="str">
        <f>IF($B$383&gt;=1,$J$383,IF($B$385&gt;=1,$J$385,IF($B$387&gt;=1,$J$387,$J$382)))</f>
        <v>3/2017</v>
      </c>
      <c r="K389" t="str">
        <f>IF($B$383&gt;=1,$K$383,IF($B$385&gt;=1,$K$385,IF($B$387&gt;=1,$K$387,$K$382)))</f>
        <v>2/2017</v>
      </c>
      <c r="L389" t="str">
        <f>IF($B$383&gt;=1,$L$383,IF($B$385&gt;=1,$L$385,IF($B$387&gt;=1,$L$387,$L$382)))</f>
        <v>1/2017</v>
      </c>
      <c r="M389" t="str">
        <f>IF($B$383&gt;=1,$M$383,IF($B$385&gt;=1,$M$385,IF($B$387&gt;=1,$M$387,$M$382)))</f>
        <v>12/2016</v>
      </c>
      <c r="N389" t="str">
        <f>IF($B$383&gt;=1,$N$383,IF($B$385&gt;=1,$N$385,IF($B$387&gt;=1,$N$387,$N$382)))</f>
        <v>11/2016</v>
      </c>
      <c r="O389" t="str">
        <f>IF($B$383&gt;=1,$O$383,IF($B$385&gt;=1,$O$385,IF($B$387&gt;=1,$O$387,$O$382)))</f>
        <v>10/2016</v>
      </c>
      <c r="P389" t="str">
        <f>IF($B$383&gt;=1,$P$383,IF($B$385&gt;=1,$P$385,IF($B$387&gt;=1,$P$387,$P$382)))</f>
        <v>9/2016</v>
      </c>
      <c r="Q389" t="str">
        <f>IF($B$383&gt;=1,$Q$383,IF($B$385&gt;=1,$Q$385,IF($B$387&gt;=1,$Q$387,$Q$382)))</f>
        <v>8/2016</v>
      </c>
      <c r="R389" t="str">
        <f>IF($B$383&gt;=1,$R$383,IF($B$385&gt;=1,$R$385,IF($B$387&gt;=1,$R$387,$R$382)))</f>
        <v>7/2016</v>
      </c>
      <c r="S389" t="str">
        <f>IF($B$383&gt;=1,$S$383,IF($B$385&gt;=1,$S$385,IF($B$387&gt;=1,$S$387,$S$382)))</f>
        <v>6/2016</v>
      </c>
      <c r="T389" t="str">
        <f>IF($B$383&gt;=1,$T$383,IF($B$385&gt;=1,$T$385,IF($B$387&gt;=1,$T$387,$T$382)))</f>
        <v>5/2016</v>
      </c>
      <c r="U389" t="str">
        <f>IF($B$383&gt;=1,$U$383,IF($B$385&gt;=1,$U$385,IF($B$387&gt;=1,$U$387,$U$382)))</f>
        <v>4/2016</v>
      </c>
      <c r="V389" t="str">
        <f>IF($B$383&gt;=1,$V$383,IF($B$385&gt;=1,$V$385,IF($B$387&gt;=1,$V$387,$V$382)))</f>
        <v>3/2016</v>
      </c>
      <c r="W389" t="str">
        <f>IF($B$383&gt;=1,$W$383,IF($B$385&gt;=1,$W$385,IF($B$387&gt;=1,$W$387,$W$382)))</f>
        <v>2/2016</v>
      </c>
      <c r="X389" t="str">
        <f>IF($B$383&gt;=1,$X$383,IF($B$385&gt;=1,$X$385,IF($B$387&gt;=1,$X$387,$X$382)))</f>
        <v>1/2016</v>
      </c>
      <c r="Y389" t="str">
        <f>IF($B$383&gt;=1,$Y$383,IF($B$385&gt;=1,$Y$385,IF($B$387&gt;=1,$Y$387,$Y$382)))</f>
        <v>12/2015</v>
      </c>
      <c r="Z389" t="str">
        <f>IF($B$383&gt;=1,$Z$383,IF($B$385&gt;=1,$Z$385,IF($B$387&gt;=1,$Z$387,$Z$382)))</f>
        <v>11/2015</v>
      </c>
      <c r="AA389" t="str">
        <f>IF($B$383&gt;=1,$AA$383,IF($B$385&gt;=1,$AA$385,IF($B$387&gt;=1,$AA$387,$AA$382)))</f>
        <v>10/2015</v>
      </c>
      <c r="AB389" t="str">
        <f>IF($B$383&gt;=1,$AB$383,IF($B$385&gt;=1,$AB$385,IF($B$387&gt;=1,$AB$387,$AB$382)))</f>
        <v>9/2015</v>
      </c>
      <c r="AC389" t="str">
        <f>IF($B$383&gt;=1,$AC$383,IF($B$385&gt;=1,$AC$385,IF($B$387&gt;=1,$AC$387,$AC$382)))</f>
        <v>8/2015</v>
      </c>
      <c r="AD389" t="str">
        <f>IF($B$383&gt;=1,$AD$383,IF($B$385&gt;=1,$AD$385,IF($B$387&gt;=1,$AD$387,$AD$382)))</f>
        <v>7/2015</v>
      </c>
      <c r="AE389" t="str">
        <f>IF($B$383&gt;=1,$AE$383,IF($B$385&gt;=1,$AE$385,IF($B$387&gt;=1,$AE$387,$AE$382)))</f>
        <v>6/2015</v>
      </c>
      <c r="AF389" t="str">
        <f>IF($B$383&gt;=1,$AF$383,IF($B$385&gt;=1,$AF$385,IF($B$387&gt;=1,$AF$387,$AF$382)))</f>
        <v>5/2015</v>
      </c>
      <c r="AG389" t="str">
        <f>IF($B$383&gt;=1,$AG$383,IF($B$385&gt;=1,$AG$385,IF($B$387&gt;=1,$AG$387,$AG$382)))</f>
        <v>4/2015</v>
      </c>
      <c r="AH389" t="str">
        <f>IF($B$383&gt;=1,$AH$383,IF($B$385&gt;=1,$AH$385,IF($B$387&gt;=1,$AH$387,$AH$382)))</f>
        <v>3/2015</v>
      </c>
      <c r="AI389" t="str">
        <f>IF($B$383&gt;=1,$AI$383,IF($B$385&gt;=1,$AI$385,IF($B$387&gt;=1,$AI$387,$AI$382)))</f>
        <v>2/2015</v>
      </c>
      <c r="AJ389" t="str">
        <f>IF($B$383&gt;=1,$AJ$383,IF($B$385&gt;=1,$AJ$385,IF($B$387&gt;=1,$AJ$387,$AJ$382)))</f>
        <v>1/2015</v>
      </c>
      <c r="AK389" t="str">
        <f>IF($B$383&gt;=1,$AK$383,IF($B$385&gt;=1,$AK$385,IF($B$387&gt;=1,$AK$387,$AK$382)))</f>
        <v>12/2014</v>
      </c>
      <c r="AL389" t="str">
        <f>IF($B$383&gt;=1,$AL$383,IF($B$385&gt;=1,$AL$385,IF($B$387&gt;=1,$AL$387,$AL$382)))</f>
        <v>11/2014</v>
      </c>
      <c r="AM389" t="str">
        <f>IF($B$383&gt;=1,$AM$383,IF($B$385&gt;=1,$AM$385,IF($B$387&gt;=1,$AM$387,$AM$382)))</f>
        <v>10/2014</v>
      </c>
      <c r="AN389" t="str">
        <f>IF($B$383&gt;=1,$AN$383,IF($B$385&gt;=1,$AN$385,IF($B$387&gt;=1,$AN$387,$AN$382)))</f>
        <v>9/2014</v>
      </c>
      <c r="AO389" t="str">
        <f>IF($B$383&gt;=1,$AO$383,IF($B$385&gt;=1,$AO$385,IF($B$387&gt;=1,$AO$387,$AO$382)))</f>
        <v>8/2014</v>
      </c>
      <c r="AP389" t="str">
        <f>IF($B$383&gt;=1,$AP$383,IF($B$385&gt;=1,$AP$385,IF($B$387&gt;=1,$AP$387,$AP$382)))</f>
        <v>7/2014</v>
      </c>
      <c r="AT389" t="str">
        <f>""</f>
        <v/>
      </c>
      <c r="AU389" t="str">
        <f>""</f>
        <v/>
      </c>
      <c r="AV389" t="str">
        <f>""</f>
        <v/>
      </c>
      <c r="AW389" t="str">
        <f>""</f>
        <v/>
      </c>
      <c r="AX389" t="str">
        <f>""</f>
        <v/>
      </c>
      <c r="AY389" t="str">
        <f>""</f>
        <v/>
      </c>
      <c r="AZ389" t="str">
        <f>""</f>
        <v/>
      </c>
      <c r="BA389" t="str">
        <f>""</f>
        <v/>
      </c>
      <c r="BB389" t="str">
        <f>""</f>
        <v/>
      </c>
      <c r="BC389" t="str">
        <f>""</f>
        <v/>
      </c>
      <c r="BD389" t="str">
        <f>""</f>
        <v/>
      </c>
      <c r="BE389" t="str">
        <f>""</f>
        <v/>
      </c>
      <c r="BF389" t="str">
        <f>""</f>
        <v/>
      </c>
      <c r="BG389" t="str">
        <f>""</f>
        <v/>
      </c>
      <c r="BH389" t="str">
        <f>""</f>
        <v/>
      </c>
      <c r="BI389" t="str">
        <f>""</f>
        <v/>
      </c>
      <c r="BJ389" t="str">
        <f>""</f>
        <v/>
      </c>
      <c r="BK389" t="str">
        <f>""</f>
        <v/>
      </c>
      <c r="BL389" t="str">
        <f>""</f>
        <v/>
      </c>
      <c r="BM389" t="str">
        <f>""</f>
        <v/>
      </c>
      <c r="BN389" t="str">
        <f>""</f>
        <v/>
      </c>
      <c r="BO389" t="str">
        <f>""</f>
        <v/>
      </c>
      <c r="BP389" t="str">
        <f>""</f>
        <v/>
      </c>
      <c r="BQ389" t="str">
        <f>""</f>
        <v/>
      </c>
      <c r="BR389" t="str">
        <f>""</f>
        <v/>
      </c>
      <c r="BS389" t="str">
        <f>""</f>
        <v/>
      </c>
      <c r="BT389" t="str">
        <f>""</f>
        <v/>
      </c>
      <c r="BU389" t="str">
        <f>""</f>
        <v/>
      </c>
      <c r="BV389" t="str">
        <f>""</f>
        <v/>
      </c>
      <c r="BW389" t="str">
        <f>""</f>
        <v/>
      </c>
      <c r="BX389" t="str">
        <f>""</f>
        <v/>
      </c>
      <c r="BY389" t="str">
        <f>""</f>
        <v/>
      </c>
      <c r="BZ389" t="str">
        <f>""</f>
        <v/>
      </c>
      <c r="CA389" t="str">
        <f>""</f>
        <v/>
      </c>
      <c r="CB389" t="str">
        <f>""</f>
        <v/>
      </c>
      <c r="CC389" t="str">
        <f>""</f>
        <v/>
      </c>
      <c r="CD389" t="str">
        <f>""</f>
        <v/>
      </c>
      <c r="CE389" t="str">
        <f>""</f>
        <v/>
      </c>
      <c r="CF389" t="str">
        <f>""</f>
        <v/>
      </c>
      <c r="CG389" t="str">
        <f>""</f>
        <v/>
      </c>
    </row>
    <row r="390" spans="1:85" x14ac:dyDescent="0.25">
      <c r="A390" t="str">
        <f>"BDH snapshot title"</f>
        <v>BDH snapshot title</v>
      </c>
      <c r="B390">
        <f>$B$389</f>
        <v>2</v>
      </c>
      <c r="C390" t="str">
        <f>$C$389</f>
        <v>10/2017</v>
      </c>
      <c r="D390" t="str">
        <f>$D$389</f>
        <v>9/2017</v>
      </c>
      <c r="E390" t="str">
        <f>$E$389</f>
        <v>8/2017</v>
      </c>
      <c r="F390" t="str">
        <f>$F$389</f>
        <v>7/2017</v>
      </c>
      <c r="G390" t="str">
        <f>$G$389</f>
        <v>6/2017</v>
      </c>
      <c r="H390" t="str">
        <f>$H$389</f>
        <v>5/2017</v>
      </c>
      <c r="I390" t="str">
        <f>$I$389</f>
        <v>4/2017</v>
      </c>
      <c r="J390" t="str">
        <f>$J$389</f>
        <v>3/2017</v>
      </c>
      <c r="K390" t="str">
        <f>$K$389</f>
        <v>2/2017</v>
      </c>
      <c r="L390" t="str">
        <f>$L$389</f>
        <v>1/2017</v>
      </c>
      <c r="M390" t="str">
        <f>$M$389</f>
        <v>12/2016</v>
      </c>
      <c r="N390" t="str">
        <f>$N$389</f>
        <v>11/2016</v>
      </c>
      <c r="O390" t="str">
        <f>$O$389</f>
        <v>10/2016</v>
      </c>
      <c r="P390" t="str">
        <f>$P$389</f>
        <v>9/2016</v>
      </c>
      <c r="Q390" t="str">
        <f>$Q$389</f>
        <v>8/2016</v>
      </c>
      <c r="R390" t="str">
        <f>$R$389</f>
        <v>7/2016</v>
      </c>
      <c r="S390" t="str">
        <f>$S$389</f>
        <v>6/2016</v>
      </c>
      <c r="T390" t="str">
        <f>$T$389</f>
        <v>5/2016</v>
      </c>
      <c r="U390" t="str">
        <f>$U$389</f>
        <v>4/2016</v>
      </c>
      <c r="V390" t="str">
        <f>$V$389</f>
        <v>3/2016</v>
      </c>
      <c r="W390" t="str">
        <f>$W$389</f>
        <v>2/2016</v>
      </c>
      <c r="X390" t="str">
        <f>$X$389</f>
        <v>1/2016</v>
      </c>
      <c r="Y390" t="str">
        <f>$Y$389</f>
        <v>12/2015</v>
      </c>
      <c r="Z390" t="str">
        <f>$Z$389</f>
        <v>11/2015</v>
      </c>
      <c r="AA390" t="str">
        <f>$AA$389</f>
        <v>10/2015</v>
      </c>
      <c r="AB390" t="str">
        <f>$AB$389</f>
        <v>9/2015</v>
      </c>
      <c r="AC390" t="str">
        <f>$AC$389</f>
        <v>8/2015</v>
      </c>
      <c r="AD390" t="str">
        <f>$AD$389</f>
        <v>7/2015</v>
      </c>
      <c r="AE390" t="str">
        <f>$AE$389</f>
        <v>6/2015</v>
      </c>
      <c r="AF390" t="str">
        <f>$AF$389</f>
        <v>5/2015</v>
      </c>
      <c r="AG390" t="str">
        <f>$AG$389</f>
        <v>4/2015</v>
      </c>
      <c r="AH390" t="str">
        <f>$AH$389</f>
        <v>3/2015</v>
      </c>
      <c r="AI390" t="str">
        <f>$AI$389</f>
        <v>2/2015</v>
      </c>
      <c r="AJ390" t="str">
        <f>$AJ$389</f>
        <v>1/2015</v>
      </c>
      <c r="AK390" t="str">
        <f>$AK$389</f>
        <v>12/2014</v>
      </c>
      <c r="AL390" t="str">
        <f>$AL$389</f>
        <v>11/2014</v>
      </c>
      <c r="AM390" t="str">
        <f>$AM$389</f>
        <v>10/2014</v>
      </c>
      <c r="AN390" t="str">
        <f>$AN$389</f>
        <v>9/2014</v>
      </c>
      <c r="AO390" t="str">
        <f>$AO$389</f>
        <v>8/2014</v>
      </c>
      <c r="AP390" t="str">
        <f>$AP$389</f>
        <v>7/2014</v>
      </c>
      <c r="AT390" t="str">
        <f>""</f>
        <v/>
      </c>
      <c r="AU390" t="str">
        <f>""</f>
        <v/>
      </c>
      <c r="AV390" t="str">
        <f>""</f>
        <v/>
      </c>
      <c r="AW390" t="str">
        <f>""</f>
        <v/>
      </c>
      <c r="AX390" t="str">
        <f>""</f>
        <v/>
      </c>
      <c r="AY390" t="str">
        <f>""</f>
        <v/>
      </c>
      <c r="AZ390" t="str">
        <f>""</f>
        <v/>
      </c>
      <c r="BA390" t="str">
        <f>""</f>
        <v/>
      </c>
      <c r="BB390" t="str">
        <f>""</f>
        <v/>
      </c>
      <c r="BC390" t="str">
        <f>""</f>
        <v/>
      </c>
      <c r="BD390" t="str">
        <f>""</f>
        <v/>
      </c>
      <c r="BE390" t="str">
        <f>""</f>
        <v/>
      </c>
      <c r="BF390" t="str">
        <f>""</f>
        <v/>
      </c>
      <c r="BG390" t="str">
        <f>""</f>
        <v/>
      </c>
      <c r="BH390" t="str">
        <f>""</f>
        <v/>
      </c>
      <c r="BI390" t="str">
        <f>""</f>
        <v/>
      </c>
      <c r="BJ390" t="str">
        <f>""</f>
        <v/>
      </c>
      <c r="BK390" t="str">
        <f>""</f>
        <v/>
      </c>
      <c r="BL390" t="str">
        <f>""</f>
        <v/>
      </c>
      <c r="BM390" t="str">
        <f>""</f>
        <v/>
      </c>
      <c r="BN390" t="str">
        <f>""</f>
        <v/>
      </c>
      <c r="BO390" t="str">
        <f>""</f>
        <v/>
      </c>
      <c r="BP390" t="str">
        <f>""</f>
        <v/>
      </c>
      <c r="BQ390" t="str">
        <f>""</f>
        <v/>
      </c>
      <c r="BR390" t="str">
        <f>""</f>
        <v/>
      </c>
      <c r="BS390" t="str">
        <f>""</f>
        <v/>
      </c>
      <c r="BT390" t="str">
        <f>""</f>
        <v/>
      </c>
      <c r="BU390" t="str">
        <f>""</f>
        <v/>
      </c>
      <c r="BV390" t="str">
        <f>""</f>
        <v/>
      </c>
      <c r="BW390" t="str">
        <f>""</f>
        <v/>
      </c>
      <c r="BX390" t="str">
        <f>""</f>
        <v/>
      </c>
      <c r="BY390" t="str">
        <f>""</f>
        <v/>
      </c>
      <c r="BZ390" t="str">
        <f>""</f>
        <v/>
      </c>
      <c r="CA390" t="str">
        <f>""</f>
        <v/>
      </c>
      <c r="CB390" t="str">
        <f>""</f>
        <v/>
      </c>
      <c r="CC390" t="str">
        <f>""</f>
        <v/>
      </c>
      <c r="CD390" t="str">
        <f>""</f>
        <v/>
      </c>
      <c r="CE390" t="str">
        <f>""</f>
        <v/>
      </c>
      <c r="CF390" t="str">
        <f>""</f>
        <v/>
      </c>
      <c r="CG390" t="str">
        <f>""</f>
        <v/>
      </c>
    </row>
    <row r="391" spans="1:85" x14ac:dyDescent="0.25">
      <c r="A391" t="str">
        <f>"BDH dynamic header0"</f>
        <v>BDH dynamic header0</v>
      </c>
      <c r="B391">
        <f ca="1">IF(OR(ISERROR($C$391),ISBLANK($C$391),ISNUMBER(SEARCH("N/A",$C$391) ),ISERROR($C$392),ISBLANK($C$392)),0,1)</f>
        <v>0</v>
      </c>
      <c r="C391" t="str">
        <f ca="1">_xll.BDH($B$162,$C$162,$B$292,$B$293,"PER=CM","Dts=S","DtFmt=FI","rows=2","Dir=H","Points=40","Sort=R","Days=A","Fill=B","FX=USD","cols=40;rows=2")</f>
        <v>#N/A N/A</v>
      </c>
      <c r="D391" t="s">
        <v>28</v>
      </c>
      <c r="E391" t="s">
        <v>28</v>
      </c>
      <c r="F391" t="s">
        <v>28</v>
      </c>
      <c r="G391" t="s">
        <v>28</v>
      </c>
      <c r="H391" t="s">
        <v>28</v>
      </c>
      <c r="I391" t="s">
        <v>28</v>
      </c>
      <c r="J391" t="s">
        <v>28</v>
      </c>
      <c r="K391" t="s">
        <v>28</v>
      </c>
      <c r="L391" t="s">
        <v>28</v>
      </c>
      <c r="M391" t="s">
        <v>28</v>
      </c>
      <c r="N391" t="s">
        <v>28</v>
      </c>
      <c r="O391" t="s">
        <v>28</v>
      </c>
      <c r="P391" t="s">
        <v>28</v>
      </c>
      <c r="Q391" t="s">
        <v>28</v>
      </c>
      <c r="R391" t="s">
        <v>28</v>
      </c>
      <c r="S391" t="s">
        <v>28</v>
      </c>
      <c r="T391" t="s">
        <v>28</v>
      </c>
      <c r="U391" t="s">
        <v>28</v>
      </c>
      <c r="V391" t="s">
        <v>28</v>
      </c>
      <c r="W391" t="s">
        <v>28</v>
      </c>
      <c r="X391" t="s">
        <v>28</v>
      </c>
      <c r="Y391" t="s">
        <v>28</v>
      </c>
      <c r="Z391" t="s">
        <v>28</v>
      </c>
      <c r="AA391" t="s">
        <v>28</v>
      </c>
      <c r="AB391" t="s">
        <v>28</v>
      </c>
      <c r="AC391" t="s">
        <v>28</v>
      </c>
      <c r="AD391" t="s">
        <v>28</v>
      </c>
      <c r="AE391" t="s">
        <v>28</v>
      </c>
      <c r="AF391" t="s">
        <v>28</v>
      </c>
      <c r="AG391" t="s">
        <v>28</v>
      </c>
      <c r="AH391" t="s">
        <v>28</v>
      </c>
      <c r="AI391" t="s">
        <v>28</v>
      </c>
      <c r="AJ391" t="s">
        <v>28</v>
      </c>
      <c r="AK391" t="s">
        <v>28</v>
      </c>
      <c r="AL391" t="s">
        <v>28</v>
      </c>
      <c r="AM391" t="s">
        <v>28</v>
      </c>
      <c r="AN391" t="s">
        <v>28</v>
      </c>
      <c r="AO391" t="s">
        <v>28</v>
      </c>
      <c r="AP391" t="s">
        <v>28</v>
      </c>
      <c r="AT391" t="str">
        <f>""</f>
        <v/>
      </c>
      <c r="AU391" t="str">
        <f>""</f>
        <v/>
      </c>
      <c r="AV391" t="str">
        <f>""</f>
        <v/>
      </c>
      <c r="AW391" t="str">
        <f>""</f>
        <v/>
      </c>
      <c r="AX391" t="str">
        <f>""</f>
        <v/>
      </c>
      <c r="AY391" t="str">
        <f>""</f>
        <v/>
      </c>
      <c r="AZ391" t="str">
        <f>""</f>
        <v/>
      </c>
      <c r="BA391" t="str">
        <f>""</f>
        <v/>
      </c>
      <c r="BB391" t="str">
        <f>""</f>
        <v/>
      </c>
      <c r="BC391" t="str">
        <f>""</f>
        <v/>
      </c>
      <c r="BD391" t="str">
        <f>""</f>
        <v/>
      </c>
      <c r="BE391" t="str">
        <f>""</f>
        <v/>
      </c>
      <c r="BF391" t="str">
        <f>""</f>
        <v/>
      </c>
      <c r="BG391" t="str">
        <f>""</f>
        <v/>
      </c>
      <c r="BH391" t="str">
        <f>""</f>
        <v/>
      </c>
      <c r="BI391" t="str">
        <f>""</f>
        <v/>
      </c>
      <c r="BJ391" t="str">
        <f>""</f>
        <v/>
      </c>
      <c r="BK391" t="str">
        <f>""</f>
        <v/>
      </c>
      <c r="BL391" t="str">
        <f>""</f>
        <v/>
      </c>
      <c r="BM391" t="str">
        <f>""</f>
        <v/>
      </c>
      <c r="BN391" t="str">
        <f>""</f>
        <v/>
      </c>
      <c r="BO391" t="str">
        <f>""</f>
        <v/>
      </c>
      <c r="BP391" t="str">
        <f>""</f>
        <v/>
      </c>
      <c r="BQ391" t="str">
        <f>""</f>
        <v/>
      </c>
      <c r="BR391" t="str">
        <f>""</f>
        <v/>
      </c>
      <c r="BS391" t="str">
        <f>""</f>
        <v/>
      </c>
      <c r="BT391" t="str">
        <f>""</f>
        <v/>
      </c>
      <c r="BU391" t="str">
        <f>""</f>
        <v/>
      </c>
      <c r="BV391" t="str">
        <f>""</f>
        <v/>
      </c>
      <c r="BW391" t="str">
        <f>""</f>
        <v/>
      </c>
      <c r="BX391" t="str">
        <f>""</f>
        <v/>
      </c>
      <c r="BY391" t="str">
        <f>""</f>
        <v/>
      </c>
      <c r="BZ391" t="str">
        <f>""</f>
        <v/>
      </c>
      <c r="CA391" t="str">
        <f>""</f>
        <v/>
      </c>
      <c r="CB391" t="str">
        <f>""</f>
        <v/>
      </c>
      <c r="CC391" t="str">
        <f>""</f>
        <v/>
      </c>
      <c r="CD391" t="str">
        <f>""</f>
        <v/>
      </c>
      <c r="CE391" t="str">
        <f>""</f>
        <v/>
      </c>
      <c r="CF391" t="str">
        <f>""</f>
        <v/>
      </c>
      <c r="CG391" t="str">
        <f>""</f>
        <v/>
      </c>
    </row>
    <row r="392" spans="1:85" x14ac:dyDescent="0.25">
      <c r="A392" t="str">
        <f>"BDH dynamic result0"</f>
        <v>BDH dynamic result0</v>
      </c>
      <c r="E392">
        <v>23156</v>
      </c>
      <c r="F392">
        <v>22487</v>
      </c>
      <c r="G392">
        <v>21659</v>
      </c>
      <c r="H392">
        <v>19665</v>
      </c>
      <c r="I392">
        <v>22164</v>
      </c>
      <c r="J392">
        <v>20944</v>
      </c>
      <c r="K392">
        <v>17952</v>
      </c>
      <c r="L392">
        <v>19393</v>
      </c>
      <c r="M392">
        <v>14629</v>
      </c>
      <c r="N392">
        <v>14271</v>
      </c>
      <c r="O392">
        <v>21679</v>
      </c>
      <c r="P392">
        <v>19143</v>
      </c>
      <c r="Q392">
        <v>18449</v>
      </c>
      <c r="R392">
        <v>19789</v>
      </c>
      <c r="S392">
        <v>20439</v>
      </c>
      <c r="T392">
        <v>17631</v>
      </c>
      <c r="U392">
        <v>22619</v>
      </c>
      <c r="V392">
        <v>21848</v>
      </c>
      <c r="W392">
        <v>20898</v>
      </c>
      <c r="X392">
        <v>24108</v>
      </c>
      <c r="Y392">
        <v>19685</v>
      </c>
      <c r="Z392">
        <v>19395</v>
      </c>
      <c r="AA392">
        <v>25767</v>
      </c>
      <c r="AB392">
        <v>23362</v>
      </c>
      <c r="AC392">
        <v>24031</v>
      </c>
      <c r="AD392">
        <v>25808</v>
      </c>
      <c r="AE392">
        <v>26349</v>
      </c>
      <c r="AF392">
        <v>28082</v>
      </c>
      <c r="AG392">
        <v>29906</v>
      </c>
      <c r="AH392">
        <v>25874</v>
      </c>
      <c r="AI392">
        <v>25050</v>
      </c>
      <c r="AJ392">
        <v>25206</v>
      </c>
      <c r="AK392">
        <v>21673</v>
      </c>
      <c r="AL392">
        <v>21180</v>
      </c>
      <c r="AM392">
        <v>28502</v>
      </c>
      <c r="AN392">
        <v>21371</v>
      </c>
      <c r="AO392">
        <v>27237</v>
      </c>
      <c r="AP392">
        <v>24427</v>
      </c>
      <c r="AT392" t="str">
        <f>""</f>
        <v/>
      </c>
      <c r="AU392" t="str">
        <f>""</f>
        <v/>
      </c>
      <c r="AV392" t="str">
        <f>""</f>
        <v/>
      </c>
      <c r="AW392" t="str">
        <f>""</f>
        <v/>
      </c>
      <c r="AX392" t="str">
        <f>""</f>
        <v/>
      </c>
      <c r="AY392" t="str">
        <f>""</f>
        <v/>
      </c>
      <c r="AZ392" t="str">
        <f>""</f>
        <v/>
      </c>
      <c r="BA392" t="str">
        <f>""</f>
        <v/>
      </c>
      <c r="BB392" t="str">
        <f>""</f>
        <v/>
      </c>
      <c r="BC392" t="str">
        <f>""</f>
        <v/>
      </c>
      <c r="BD392" t="str">
        <f>""</f>
        <v/>
      </c>
      <c r="BE392" t="str">
        <f>""</f>
        <v/>
      </c>
      <c r="BF392" t="str">
        <f>""</f>
        <v/>
      </c>
      <c r="BG392" t="str">
        <f>""</f>
        <v/>
      </c>
      <c r="BH392" t="str">
        <f>""</f>
        <v/>
      </c>
      <c r="BI392" t="str">
        <f>""</f>
        <v/>
      </c>
      <c r="BJ392" t="str">
        <f>""</f>
        <v/>
      </c>
      <c r="BK392" t="str">
        <f>""</f>
        <v/>
      </c>
      <c r="BL392" t="str">
        <f>""</f>
        <v/>
      </c>
      <c r="BM392" t="str">
        <f>""</f>
        <v/>
      </c>
      <c r="BN392" t="str">
        <f>""</f>
        <v/>
      </c>
      <c r="BO392" t="str">
        <f>""</f>
        <v/>
      </c>
      <c r="BP392" t="str">
        <f>""</f>
        <v/>
      </c>
      <c r="BQ392" t="str">
        <f>""</f>
        <v/>
      </c>
      <c r="BR392" t="str">
        <f>""</f>
        <v/>
      </c>
      <c r="BS392" t="str">
        <f>""</f>
        <v/>
      </c>
      <c r="BT392" t="str">
        <f>""</f>
        <v/>
      </c>
      <c r="BU392" t="str">
        <f>""</f>
        <v/>
      </c>
      <c r="BV392" t="str">
        <f>""</f>
        <v/>
      </c>
      <c r="BW392" t="str">
        <f>""</f>
        <v/>
      </c>
      <c r="BX392" t="str">
        <f>""</f>
        <v/>
      </c>
      <c r="BY392" t="str">
        <f>""</f>
        <v/>
      </c>
      <c r="BZ392" t="str">
        <f>""</f>
        <v/>
      </c>
      <c r="CA392" t="str">
        <f>""</f>
        <v/>
      </c>
      <c r="CB392" t="str">
        <f>""</f>
        <v/>
      </c>
      <c r="CC392" t="str">
        <f>""</f>
        <v/>
      </c>
      <c r="CD392" t="str">
        <f>""</f>
        <v/>
      </c>
      <c r="CE392" t="str">
        <f>""</f>
        <v/>
      </c>
      <c r="CF392" t="str">
        <f>""</f>
        <v/>
      </c>
      <c r="CG392" t="str">
        <f>""</f>
        <v/>
      </c>
    </row>
    <row r="393" spans="1:85" x14ac:dyDescent="0.25">
      <c r="A393" t="str">
        <f>"BDH dynamic header1"</f>
        <v>BDH dynamic header1</v>
      </c>
      <c r="B393">
        <f ca="1">IF(OR(ISERROR($C$393),ISBLANK($C$393),ISNUMBER(SEARCH("N/A",$C$393) ),ISERROR($C$394),ISBLANK($C$394)),0,1)</f>
        <v>0</v>
      </c>
      <c r="C393" t="str">
        <f ca="1">_xll.BDH($B$177,$C$177,$B$292,$B$293,"PER=CM","Dts=S","DtFmt=FI","rows=2","Dir=H","Points=40","Sort=R","Days=A","Fill=B","FX=USD","cols=40;rows=2")</f>
        <v>#N/A N/A</v>
      </c>
      <c r="D393" t="s">
        <v>28</v>
      </c>
      <c r="E393" t="s">
        <v>28</v>
      </c>
      <c r="F393" t="s">
        <v>28</v>
      </c>
      <c r="G393" t="s">
        <v>28</v>
      </c>
      <c r="H393" t="s">
        <v>28</v>
      </c>
      <c r="I393" t="s">
        <v>28</v>
      </c>
      <c r="J393" t="s">
        <v>28</v>
      </c>
      <c r="K393" t="s">
        <v>28</v>
      </c>
      <c r="L393" t="s">
        <v>28</v>
      </c>
      <c r="M393" t="s">
        <v>28</v>
      </c>
      <c r="N393" t="s">
        <v>28</v>
      </c>
      <c r="O393" t="s">
        <v>28</v>
      </c>
      <c r="P393" t="s">
        <v>28</v>
      </c>
      <c r="Q393" t="s">
        <v>28</v>
      </c>
      <c r="R393" t="s">
        <v>28</v>
      </c>
      <c r="S393" t="s">
        <v>28</v>
      </c>
      <c r="T393" t="s">
        <v>28</v>
      </c>
      <c r="U393" t="s">
        <v>28</v>
      </c>
      <c r="V393" t="s">
        <v>28</v>
      </c>
      <c r="W393" t="s">
        <v>28</v>
      </c>
      <c r="X393" t="s">
        <v>28</v>
      </c>
      <c r="Y393" t="s">
        <v>28</v>
      </c>
      <c r="Z393" t="s">
        <v>28</v>
      </c>
      <c r="AA393" t="s">
        <v>28</v>
      </c>
      <c r="AB393" t="s">
        <v>28</v>
      </c>
      <c r="AC393" t="s">
        <v>28</v>
      </c>
      <c r="AD393" t="s">
        <v>28</v>
      </c>
      <c r="AE393" t="s">
        <v>28</v>
      </c>
      <c r="AF393" t="s">
        <v>28</v>
      </c>
      <c r="AG393" t="s">
        <v>28</v>
      </c>
      <c r="AH393" t="s">
        <v>28</v>
      </c>
      <c r="AI393" t="s">
        <v>28</v>
      </c>
      <c r="AJ393" t="s">
        <v>28</v>
      </c>
      <c r="AK393" t="s">
        <v>28</v>
      </c>
      <c r="AL393" t="s">
        <v>28</v>
      </c>
      <c r="AM393" t="s">
        <v>28</v>
      </c>
      <c r="AN393" t="s">
        <v>28</v>
      </c>
      <c r="AO393" t="s">
        <v>28</v>
      </c>
      <c r="AP393" t="s">
        <v>28</v>
      </c>
      <c r="AT393" t="str">
        <f>""</f>
        <v/>
      </c>
      <c r="AU393" t="str">
        <f>""</f>
        <v/>
      </c>
      <c r="AV393" t="str">
        <f>""</f>
        <v/>
      </c>
      <c r="AW393" t="str">
        <f>""</f>
        <v/>
      </c>
      <c r="AX393" t="str">
        <f>""</f>
        <v/>
      </c>
      <c r="AY393" t="str">
        <f>""</f>
        <v/>
      </c>
      <c r="AZ393" t="str">
        <f>""</f>
        <v/>
      </c>
      <c r="BA393" t="str">
        <f>""</f>
        <v/>
      </c>
      <c r="BB393" t="str">
        <f>""</f>
        <v/>
      </c>
      <c r="BC393" t="str">
        <f>""</f>
        <v/>
      </c>
      <c r="BD393" t="str">
        <f>""</f>
        <v/>
      </c>
      <c r="BE393" t="str">
        <f>""</f>
        <v/>
      </c>
      <c r="BF393" t="str">
        <f>""</f>
        <v/>
      </c>
      <c r="BG393" t="str">
        <f>""</f>
        <v/>
      </c>
      <c r="BH393" t="str">
        <f>""</f>
        <v/>
      </c>
      <c r="BI393" t="str">
        <f>""</f>
        <v/>
      </c>
      <c r="BJ393" t="str">
        <f>""</f>
        <v/>
      </c>
      <c r="BK393" t="str">
        <f>""</f>
        <v/>
      </c>
      <c r="BL393" t="str">
        <f>""</f>
        <v/>
      </c>
      <c r="BM393" t="str">
        <f>""</f>
        <v/>
      </c>
      <c r="BN393" t="str">
        <f>""</f>
        <v/>
      </c>
      <c r="BO393" t="str">
        <f>""</f>
        <v/>
      </c>
      <c r="BP393" t="str">
        <f>""</f>
        <v/>
      </c>
      <c r="BQ393" t="str">
        <f>""</f>
        <v/>
      </c>
      <c r="BR393" t="str">
        <f>""</f>
        <v/>
      </c>
      <c r="BS393" t="str">
        <f>""</f>
        <v/>
      </c>
      <c r="BT393" t="str">
        <f>""</f>
        <v/>
      </c>
      <c r="BU393" t="str">
        <f>""</f>
        <v/>
      </c>
      <c r="BV393" t="str">
        <f>""</f>
        <v/>
      </c>
      <c r="BW393" t="str">
        <f>""</f>
        <v/>
      </c>
      <c r="BX393" t="str">
        <f>""</f>
        <v/>
      </c>
      <c r="BY393" t="str">
        <f>""</f>
        <v/>
      </c>
      <c r="BZ393" t="str">
        <f>""</f>
        <v/>
      </c>
      <c r="CA393" t="str">
        <f>""</f>
        <v/>
      </c>
      <c r="CB393" t="str">
        <f>""</f>
        <v/>
      </c>
      <c r="CC393" t="str">
        <f>""</f>
        <v/>
      </c>
      <c r="CD393" t="str">
        <f>""</f>
        <v/>
      </c>
      <c r="CE393" t="str">
        <f>""</f>
        <v/>
      </c>
      <c r="CF393" t="str">
        <f>""</f>
        <v/>
      </c>
      <c r="CG393" t="str">
        <f>""</f>
        <v/>
      </c>
    </row>
    <row r="394" spans="1:85" x14ac:dyDescent="0.25">
      <c r="A394" t="str">
        <f>"BDH dynamic result1"</f>
        <v>BDH dynamic result1</v>
      </c>
      <c r="E394">
        <v>17928</v>
      </c>
      <c r="F394">
        <v>17667</v>
      </c>
      <c r="G394">
        <v>17166</v>
      </c>
      <c r="H394">
        <v>15317</v>
      </c>
      <c r="I394">
        <v>17310</v>
      </c>
      <c r="J394">
        <v>16248</v>
      </c>
      <c r="K394">
        <v>13836</v>
      </c>
      <c r="L394">
        <v>14793</v>
      </c>
      <c r="M394">
        <v>11200</v>
      </c>
      <c r="N394">
        <v>10944</v>
      </c>
      <c r="O394">
        <v>15629</v>
      </c>
      <c r="P394">
        <v>13943</v>
      </c>
      <c r="Q394">
        <v>13618</v>
      </c>
      <c r="R394">
        <v>14968</v>
      </c>
      <c r="S394">
        <v>16262</v>
      </c>
      <c r="T394">
        <v>14085</v>
      </c>
      <c r="U394">
        <v>18354</v>
      </c>
      <c r="V394">
        <v>17312</v>
      </c>
      <c r="W394">
        <v>16633</v>
      </c>
      <c r="X394">
        <v>20034</v>
      </c>
      <c r="Y394">
        <v>15876</v>
      </c>
      <c r="Z394">
        <v>15949</v>
      </c>
      <c r="AA394">
        <v>20773</v>
      </c>
      <c r="AB394">
        <v>19204</v>
      </c>
      <c r="AC394">
        <v>19256</v>
      </c>
      <c r="AD394">
        <v>20978</v>
      </c>
      <c r="AE394">
        <v>21999</v>
      </c>
      <c r="AF394">
        <v>23392</v>
      </c>
      <c r="AG394">
        <v>25366</v>
      </c>
      <c r="AH394">
        <v>21506</v>
      </c>
      <c r="AI394">
        <v>20509</v>
      </c>
      <c r="AJ394">
        <v>20628</v>
      </c>
      <c r="AK394">
        <v>17820</v>
      </c>
      <c r="AL394">
        <v>17373</v>
      </c>
      <c r="AM394">
        <v>23379</v>
      </c>
      <c r="AN394">
        <v>16706</v>
      </c>
      <c r="AO394">
        <v>22032</v>
      </c>
      <c r="AP394">
        <v>20078</v>
      </c>
      <c r="AT394" t="str">
        <f>""</f>
        <v/>
      </c>
      <c r="AU394" t="str">
        <f>""</f>
        <v/>
      </c>
      <c r="AV394" t="str">
        <f>""</f>
        <v/>
      </c>
      <c r="AW394" t="str">
        <f>""</f>
        <v/>
      </c>
      <c r="AX394" t="str">
        <f>""</f>
        <v/>
      </c>
      <c r="AY394" t="str">
        <f>""</f>
        <v/>
      </c>
      <c r="AZ394" t="str">
        <f>""</f>
        <v/>
      </c>
      <c r="BA394" t="str">
        <f>""</f>
        <v/>
      </c>
      <c r="BB394" t="str">
        <f>""</f>
        <v/>
      </c>
      <c r="BC394" t="str">
        <f>""</f>
        <v/>
      </c>
      <c r="BD394" t="str">
        <f>""</f>
        <v/>
      </c>
      <c r="BE394" t="str">
        <f>""</f>
        <v/>
      </c>
      <c r="BF394" t="str">
        <f>""</f>
        <v/>
      </c>
      <c r="BG394" t="str">
        <f>""</f>
        <v/>
      </c>
      <c r="BH394" t="str">
        <f>""</f>
        <v/>
      </c>
      <c r="BI394" t="str">
        <f>""</f>
        <v/>
      </c>
      <c r="BJ394" t="str">
        <f>""</f>
        <v/>
      </c>
      <c r="BK394" t="str">
        <f>""</f>
        <v/>
      </c>
      <c r="BL394" t="str">
        <f>""</f>
        <v/>
      </c>
      <c r="BM394" t="str">
        <f>""</f>
        <v/>
      </c>
      <c r="BN394" t="str">
        <f>""</f>
        <v/>
      </c>
      <c r="BO394" t="str">
        <f>""</f>
        <v/>
      </c>
      <c r="BP394" t="str">
        <f>""</f>
        <v/>
      </c>
      <c r="BQ394" t="str">
        <f>""</f>
        <v/>
      </c>
      <c r="BR394" t="str">
        <f>""</f>
        <v/>
      </c>
      <c r="BS394" t="str">
        <f>""</f>
        <v/>
      </c>
      <c r="BT394" t="str">
        <f>""</f>
        <v/>
      </c>
      <c r="BU394" t="str">
        <f>""</f>
        <v/>
      </c>
      <c r="BV394" t="str">
        <f>""</f>
        <v/>
      </c>
      <c r="BW394" t="str">
        <f>""</f>
        <v/>
      </c>
      <c r="BX394" t="str">
        <f>""</f>
        <v/>
      </c>
      <c r="BY394" t="str">
        <f>""</f>
        <v/>
      </c>
      <c r="BZ394" t="str">
        <f>""</f>
        <v/>
      </c>
      <c r="CA394" t="str">
        <f>""</f>
        <v/>
      </c>
      <c r="CB394" t="str">
        <f>""</f>
        <v/>
      </c>
      <c r="CC394" t="str">
        <f>""</f>
        <v/>
      </c>
      <c r="CD394" t="str">
        <f>""</f>
        <v/>
      </c>
      <c r="CE394" t="str">
        <f>""</f>
        <v/>
      </c>
      <c r="CF394" t="str">
        <f>""</f>
        <v/>
      </c>
      <c r="CG394" t="str">
        <f>""</f>
        <v/>
      </c>
    </row>
    <row r="395" spans="1:85" x14ac:dyDescent="0.25">
      <c r="A395" t="str">
        <f>"BDH dynamic header2"</f>
        <v>BDH dynamic header2</v>
      </c>
      <c r="B395">
        <f ca="1">IF(OR(ISERROR($C$395),ISBLANK($C$395),ISNUMBER(SEARCH("N/A",$C$395) ),ISERROR($C$396),ISBLANK($C$396)),0,1)</f>
        <v>0</v>
      </c>
      <c r="C395" t="str">
        <f ca="1">_xll.BDH($B$178,$C$178,$B$292,$B$293,"PER=CM","Dts=S","DtFmt=FI","rows=2","Dir=H","Points=40","Sort=R","Days=A","Fill=B","DZ665=16578413","X0012=Class 8","X0001=NAUS","FX=USD","cols=40;rows=2")</f>
        <v>#N/A N/A</v>
      </c>
      <c r="D395" t="s">
        <v>28</v>
      </c>
      <c r="E395" t="s">
        <v>28</v>
      </c>
      <c r="F395" t="s">
        <v>28</v>
      </c>
      <c r="G395" t="s">
        <v>28</v>
      </c>
      <c r="H395" t="s">
        <v>28</v>
      </c>
      <c r="I395" t="s">
        <v>28</v>
      </c>
      <c r="J395" t="s">
        <v>28</v>
      </c>
      <c r="K395" t="s">
        <v>28</v>
      </c>
      <c r="L395" t="s">
        <v>28</v>
      </c>
      <c r="M395" t="s">
        <v>28</v>
      </c>
      <c r="N395" t="s">
        <v>28</v>
      </c>
      <c r="O395" t="s">
        <v>28</v>
      </c>
      <c r="P395" t="s">
        <v>28</v>
      </c>
      <c r="Q395" t="s">
        <v>28</v>
      </c>
      <c r="R395" t="s">
        <v>28</v>
      </c>
      <c r="S395" t="s">
        <v>28</v>
      </c>
      <c r="T395" t="s">
        <v>28</v>
      </c>
      <c r="U395" t="s">
        <v>28</v>
      </c>
      <c r="V395" t="s">
        <v>28</v>
      </c>
      <c r="W395" t="s">
        <v>28</v>
      </c>
      <c r="X395" t="s">
        <v>28</v>
      </c>
      <c r="Y395" t="s">
        <v>28</v>
      </c>
      <c r="Z395" t="s">
        <v>28</v>
      </c>
      <c r="AA395" t="s">
        <v>28</v>
      </c>
      <c r="AB395" t="s">
        <v>28</v>
      </c>
      <c r="AC395" t="s">
        <v>28</v>
      </c>
      <c r="AD395" t="s">
        <v>28</v>
      </c>
      <c r="AE395" t="s">
        <v>28</v>
      </c>
      <c r="AF395" t="s">
        <v>28</v>
      </c>
      <c r="AG395" t="s">
        <v>28</v>
      </c>
      <c r="AH395" t="s">
        <v>28</v>
      </c>
      <c r="AI395" t="s">
        <v>28</v>
      </c>
      <c r="AJ395" t="s">
        <v>28</v>
      </c>
      <c r="AK395" t="s">
        <v>28</v>
      </c>
      <c r="AL395" t="s">
        <v>28</v>
      </c>
      <c r="AM395" t="s">
        <v>28</v>
      </c>
      <c r="AN395" t="s">
        <v>28</v>
      </c>
      <c r="AO395" t="s">
        <v>28</v>
      </c>
      <c r="AP395" t="s">
        <v>28</v>
      </c>
      <c r="AT395" t="str">
        <f>""</f>
        <v/>
      </c>
      <c r="AU395" t="str">
        <f>""</f>
        <v/>
      </c>
      <c r="AV395" t="str">
        <f>""</f>
        <v/>
      </c>
      <c r="AW395" t="str">
        <f>""</f>
        <v/>
      </c>
      <c r="AX395" t="str">
        <f>""</f>
        <v/>
      </c>
      <c r="AY395" t="str">
        <f>""</f>
        <v/>
      </c>
      <c r="AZ395" t="str">
        <f>""</f>
        <v/>
      </c>
      <c r="BA395" t="str">
        <f>""</f>
        <v/>
      </c>
      <c r="BB395" t="str">
        <f>""</f>
        <v/>
      </c>
      <c r="BC395" t="str">
        <f>""</f>
        <v/>
      </c>
      <c r="BD395" t="str">
        <f>""</f>
        <v/>
      </c>
      <c r="BE395" t="str">
        <f>""</f>
        <v/>
      </c>
      <c r="BF395" t="str">
        <f>""</f>
        <v/>
      </c>
      <c r="BG395" t="str">
        <f>""</f>
        <v/>
      </c>
      <c r="BH395" t="str">
        <f>""</f>
        <v/>
      </c>
      <c r="BI395" t="str">
        <f>""</f>
        <v/>
      </c>
      <c r="BJ395" t="str">
        <f>""</f>
        <v/>
      </c>
      <c r="BK395" t="str">
        <f>""</f>
        <v/>
      </c>
      <c r="BL395" t="str">
        <f>""</f>
        <v/>
      </c>
      <c r="BM395" t="str">
        <f>""</f>
        <v/>
      </c>
      <c r="BN395" t="str">
        <f>""</f>
        <v/>
      </c>
      <c r="BO395" t="str">
        <f>""</f>
        <v/>
      </c>
      <c r="BP395" t="str">
        <f>""</f>
        <v/>
      </c>
      <c r="BQ395" t="str">
        <f>""</f>
        <v/>
      </c>
      <c r="BR395" t="str">
        <f>""</f>
        <v/>
      </c>
      <c r="BS395" t="str">
        <f>""</f>
        <v/>
      </c>
      <c r="BT395" t="str">
        <f>""</f>
        <v/>
      </c>
      <c r="BU395" t="str">
        <f>""</f>
        <v/>
      </c>
      <c r="BV395" t="str">
        <f>""</f>
        <v/>
      </c>
      <c r="BW395" t="str">
        <f>""</f>
        <v/>
      </c>
      <c r="BX395" t="str">
        <f>""</f>
        <v/>
      </c>
      <c r="BY395" t="str">
        <f>""</f>
        <v/>
      </c>
      <c r="BZ395" t="str">
        <f>""</f>
        <v/>
      </c>
      <c r="CA395" t="str">
        <f>""</f>
        <v/>
      </c>
      <c r="CB395" t="str">
        <f>""</f>
        <v/>
      </c>
      <c r="CC395" t="str">
        <f>""</f>
        <v/>
      </c>
      <c r="CD395" t="str">
        <f>""</f>
        <v/>
      </c>
      <c r="CE395" t="str">
        <f>""</f>
        <v/>
      </c>
      <c r="CF395" t="str">
        <f>""</f>
        <v/>
      </c>
      <c r="CG395" t="str">
        <f>""</f>
        <v/>
      </c>
    </row>
    <row r="396" spans="1:85" x14ac:dyDescent="0.25">
      <c r="A396" t="str">
        <f>"BDH dynamic result2"</f>
        <v>BDH dynamic result2</v>
      </c>
      <c r="D396">
        <v>6334</v>
      </c>
      <c r="E396">
        <v>7252</v>
      </c>
      <c r="F396">
        <v>5848</v>
      </c>
      <c r="G396">
        <v>5787</v>
      </c>
      <c r="H396">
        <v>6313</v>
      </c>
      <c r="I396">
        <v>6900</v>
      </c>
      <c r="J396">
        <v>4965</v>
      </c>
      <c r="K396">
        <v>5322</v>
      </c>
      <c r="L396">
        <v>4310</v>
      </c>
      <c r="M396">
        <v>4077</v>
      </c>
      <c r="N396">
        <v>4375</v>
      </c>
      <c r="O396">
        <v>5538</v>
      </c>
      <c r="P396">
        <v>4371</v>
      </c>
      <c r="Q396">
        <v>5131</v>
      </c>
      <c r="R396">
        <v>6127</v>
      </c>
      <c r="S396">
        <v>4912</v>
      </c>
      <c r="T396">
        <v>6725</v>
      </c>
      <c r="U396">
        <v>7012</v>
      </c>
      <c r="V396">
        <v>6358</v>
      </c>
      <c r="W396">
        <v>8562</v>
      </c>
      <c r="X396">
        <v>6487</v>
      </c>
      <c r="Y396">
        <v>6915</v>
      </c>
      <c r="Z396">
        <v>6846</v>
      </c>
      <c r="AA396">
        <v>9208</v>
      </c>
      <c r="AB396">
        <v>8033</v>
      </c>
      <c r="AC396">
        <v>8025</v>
      </c>
      <c r="AD396">
        <v>8272</v>
      </c>
      <c r="AE396">
        <v>9114</v>
      </c>
      <c r="AF396">
        <v>9386</v>
      </c>
      <c r="AG396">
        <v>8254</v>
      </c>
      <c r="AH396">
        <v>6689</v>
      </c>
      <c r="AI396">
        <v>6776</v>
      </c>
      <c r="AJ396">
        <v>7002</v>
      </c>
      <c r="AK396">
        <v>7755</v>
      </c>
      <c r="AL396">
        <v>8187</v>
      </c>
      <c r="AM396">
        <v>5691</v>
      </c>
      <c r="AN396">
        <v>8153</v>
      </c>
      <c r="AO396">
        <v>7226</v>
      </c>
      <c r="AP396">
        <v>7027</v>
      </c>
      <c r="AT396" t="str">
        <f>""</f>
        <v/>
      </c>
      <c r="AU396" t="str">
        <f>""</f>
        <v/>
      </c>
      <c r="AV396" t="str">
        <f>""</f>
        <v/>
      </c>
      <c r="AW396" t="str">
        <f>""</f>
        <v/>
      </c>
      <c r="AX396" t="str">
        <f>""</f>
        <v/>
      </c>
      <c r="AY396" t="str">
        <f>""</f>
        <v/>
      </c>
      <c r="AZ396" t="str">
        <f>""</f>
        <v/>
      </c>
      <c r="BA396" t="str">
        <f>""</f>
        <v/>
      </c>
      <c r="BB396" t="str">
        <f>""</f>
        <v/>
      </c>
      <c r="BC396" t="str">
        <f>""</f>
        <v/>
      </c>
      <c r="BD396" t="str">
        <f>""</f>
        <v/>
      </c>
      <c r="BE396" t="str">
        <f>""</f>
        <v/>
      </c>
      <c r="BF396" t="str">
        <f>""</f>
        <v/>
      </c>
      <c r="BG396" t="str">
        <f>""</f>
        <v/>
      </c>
      <c r="BH396" t="str">
        <f>""</f>
        <v/>
      </c>
      <c r="BI396" t="str">
        <f>""</f>
        <v/>
      </c>
      <c r="BJ396" t="str">
        <f>""</f>
        <v/>
      </c>
      <c r="BK396" t="str">
        <f>""</f>
        <v/>
      </c>
      <c r="BL396" t="str">
        <f>""</f>
        <v/>
      </c>
      <c r="BM396" t="str">
        <f>""</f>
        <v/>
      </c>
      <c r="BN396" t="str">
        <f>""</f>
        <v/>
      </c>
      <c r="BO396" t="str">
        <f>""</f>
        <v/>
      </c>
      <c r="BP396" t="str">
        <f>""</f>
        <v/>
      </c>
      <c r="BQ396" t="str">
        <f>""</f>
        <v/>
      </c>
      <c r="BR396" t="str">
        <f>""</f>
        <v/>
      </c>
      <c r="BS396" t="str">
        <f>""</f>
        <v/>
      </c>
      <c r="BT396" t="str">
        <f>""</f>
        <v/>
      </c>
      <c r="BU396" t="str">
        <f>""</f>
        <v/>
      </c>
      <c r="BV396" t="str">
        <f>""</f>
        <v/>
      </c>
      <c r="BW396" t="str">
        <f>""</f>
        <v/>
      </c>
      <c r="BX396" t="str">
        <f>""</f>
        <v/>
      </c>
      <c r="BY396" t="str">
        <f>""</f>
        <v/>
      </c>
      <c r="BZ396" t="str">
        <f>""</f>
        <v/>
      </c>
      <c r="CA396" t="str">
        <f>""</f>
        <v/>
      </c>
      <c r="CB396" t="str">
        <f>""</f>
        <v/>
      </c>
      <c r="CC396" t="str">
        <f>""</f>
        <v/>
      </c>
      <c r="CD396" t="str">
        <f>""</f>
        <v/>
      </c>
      <c r="CE396" t="str">
        <f>""</f>
        <v/>
      </c>
      <c r="CF396" t="str">
        <f>""</f>
        <v/>
      </c>
      <c r="CG396" t="str">
        <f>""</f>
        <v/>
      </c>
    </row>
    <row r="397" spans="1:85" x14ac:dyDescent="0.25">
      <c r="A397" t="str">
        <f>"BDH dynamic"</f>
        <v>BDH dynamic</v>
      </c>
      <c r="B397">
        <f ca="1">IF($B$391&gt;=1,$B$391,IF($B$393&gt;=1,$B$393,IF($B$395&gt;=1,$B$395,$B$382)))</f>
        <v>2</v>
      </c>
      <c r="C397" t="str">
        <f ca="1">IF($B$391&gt;=1,$C$391,IF($B$393&gt;=1,$C$393,IF($B$395&gt;=1,$C$395,$C$382)))</f>
        <v>10/2017</v>
      </c>
      <c r="D397" t="str">
        <f ca="1">IF($B$391&gt;=1,$D$391,IF($B$393&gt;=1,$D$393,IF($B$395&gt;=1,$D$395,$D$382)))</f>
        <v>9/2017</v>
      </c>
      <c r="E397" t="str">
        <f ca="1">IF($B$391&gt;=1,$E$391,IF($B$393&gt;=1,$E$393,IF($B$395&gt;=1,$E$395,$E$382)))</f>
        <v>8/2017</v>
      </c>
      <c r="F397" t="str">
        <f ca="1">IF($B$391&gt;=1,$F$391,IF($B$393&gt;=1,$F$393,IF($B$395&gt;=1,$F$395,$F$382)))</f>
        <v>7/2017</v>
      </c>
      <c r="G397" t="str">
        <f ca="1">IF($B$391&gt;=1,$G$391,IF($B$393&gt;=1,$G$393,IF($B$395&gt;=1,$G$395,$G$382)))</f>
        <v>6/2017</v>
      </c>
      <c r="H397" t="str">
        <f ca="1">IF($B$391&gt;=1,$H$391,IF($B$393&gt;=1,$H$393,IF($B$395&gt;=1,$H$395,$H$382)))</f>
        <v>5/2017</v>
      </c>
      <c r="I397" t="str">
        <f ca="1">IF($B$391&gt;=1,$I$391,IF($B$393&gt;=1,$I$393,IF($B$395&gt;=1,$I$395,$I$382)))</f>
        <v>4/2017</v>
      </c>
      <c r="J397" t="str">
        <f ca="1">IF($B$391&gt;=1,$J$391,IF($B$393&gt;=1,$J$393,IF($B$395&gt;=1,$J$395,$J$382)))</f>
        <v>3/2017</v>
      </c>
      <c r="K397" t="str">
        <f ca="1">IF($B$391&gt;=1,$K$391,IF($B$393&gt;=1,$K$393,IF($B$395&gt;=1,$K$395,$K$382)))</f>
        <v>2/2017</v>
      </c>
      <c r="L397" t="str">
        <f ca="1">IF($B$391&gt;=1,$L$391,IF($B$393&gt;=1,$L$393,IF($B$395&gt;=1,$L$395,$L$382)))</f>
        <v>1/2017</v>
      </c>
      <c r="M397" t="str">
        <f ca="1">IF($B$391&gt;=1,$M$391,IF($B$393&gt;=1,$M$393,IF($B$395&gt;=1,$M$395,$M$382)))</f>
        <v>12/2016</v>
      </c>
      <c r="N397" t="str">
        <f ca="1">IF($B$391&gt;=1,$N$391,IF($B$393&gt;=1,$N$393,IF($B$395&gt;=1,$N$395,$N$382)))</f>
        <v>11/2016</v>
      </c>
      <c r="O397" t="str">
        <f ca="1">IF($B$391&gt;=1,$O$391,IF($B$393&gt;=1,$O$393,IF($B$395&gt;=1,$O$395,$O$382)))</f>
        <v>10/2016</v>
      </c>
      <c r="P397" t="str">
        <f ca="1">IF($B$391&gt;=1,$P$391,IF($B$393&gt;=1,$P$393,IF($B$395&gt;=1,$P$395,$P$382)))</f>
        <v>9/2016</v>
      </c>
      <c r="Q397" t="str">
        <f ca="1">IF($B$391&gt;=1,$Q$391,IF($B$393&gt;=1,$Q$393,IF($B$395&gt;=1,$Q$395,$Q$382)))</f>
        <v>8/2016</v>
      </c>
      <c r="R397" t="str">
        <f ca="1">IF($B$391&gt;=1,$R$391,IF($B$393&gt;=1,$R$393,IF($B$395&gt;=1,$R$395,$R$382)))</f>
        <v>7/2016</v>
      </c>
      <c r="S397" t="str">
        <f ca="1">IF($B$391&gt;=1,$S$391,IF($B$393&gt;=1,$S$393,IF($B$395&gt;=1,$S$395,$S$382)))</f>
        <v>6/2016</v>
      </c>
      <c r="T397" t="str">
        <f ca="1">IF($B$391&gt;=1,$T$391,IF($B$393&gt;=1,$T$393,IF($B$395&gt;=1,$T$395,$T$382)))</f>
        <v>5/2016</v>
      </c>
      <c r="U397" t="str">
        <f ca="1">IF($B$391&gt;=1,$U$391,IF($B$393&gt;=1,$U$393,IF($B$395&gt;=1,$U$395,$U$382)))</f>
        <v>4/2016</v>
      </c>
      <c r="V397" t="str">
        <f ca="1">IF($B$391&gt;=1,$V$391,IF($B$393&gt;=1,$V$393,IF($B$395&gt;=1,$V$395,$V$382)))</f>
        <v>3/2016</v>
      </c>
      <c r="W397" t="str">
        <f ca="1">IF($B$391&gt;=1,$W$391,IF($B$393&gt;=1,$W$393,IF($B$395&gt;=1,$W$395,$W$382)))</f>
        <v>2/2016</v>
      </c>
      <c r="X397" t="str">
        <f ca="1">IF($B$391&gt;=1,$X$391,IF($B$393&gt;=1,$X$393,IF($B$395&gt;=1,$X$395,$X$382)))</f>
        <v>1/2016</v>
      </c>
      <c r="Y397" t="str">
        <f ca="1">IF($B$391&gt;=1,$Y$391,IF($B$393&gt;=1,$Y$393,IF($B$395&gt;=1,$Y$395,$Y$382)))</f>
        <v>12/2015</v>
      </c>
      <c r="Z397" t="str">
        <f ca="1">IF($B$391&gt;=1,$Z$391,IF($B$393&gt;=1,$Z$393,IF($B$395&gt;=1,$Z$395,$Z$382)))</f>
        <v>11/2015</v>
      </c>
      <c r="AA397" t="str">
        <f ca="1">IF($B$391&gt;=1,$AA$391,IF($B$393&gt;=1,$AA$393,IF($B$395&gt;=1,$AA$395,$AA$382)))</f>
        <v>10/2015</v>
      </c>
      <c r="AB397" t="str">
        <f ca="1">IF($B$391&gt;=1,$AB$391,IF($B$393&gt;=1,$AB$393,IF($B$395&gt;=1,$AB$395,$AB$382)))</f>
        <v>9/2015</v>
      </c>
      <c r="AC397" t="str">
        <f ca="1">IF($B$391&gt;=1,$AC$391,IF($B$393&gt;=1,$AC$393,IF($B$395&gt;=1,$AC$395,$AC$382)))</f>
        <v>8/2015</v>
      </c>
      <c r="AD397" t="str">
        <f ca="1">IF($B$391&gt;=1,$AD$391,IF($B$393&gt;=1,$AD$393,IF($B$395&gt;=1,$AD$395,$AD$382)))</f>
        <v>7/2015</v>
      </c>
      <c r="AE397" t="str">
        <f ca="1">IF($B$391&gt;=1,$AE$391,IF($B$393&gt;=1,$AE$393,IF($B$395&gt;=1,$AE$395,$AE$382)))</f>
        <v>6/2015</v>
      </c>
      <c r="AF397" t="str">
        <f ca="1">IF($B$391&gt;=1,$AF$391,IF($B$393&gt;=1,$AF$393,IF($B$395&gt;=1,$AF$395,$AF$382)))</f>
        <v>5/2015</v>
      </c>
      <c r="AG397" t="str">
        <f ca="1">IF($B$391&gt;=1,$AG$391,IF($B$393&gt;=1,$AG$393,IF($B$395&gt;=1,$AG$395,$AG$382)))</f>
        <v>4/2015</v>
      </c>
      <c r="AH397" t="str">
        <f ca="1">IF($B$391&gt;=1,$AH$391,IF($B$393&gt;=1,$AH$393,IF($B$395&gt;=1,$AH$395,$AH$382)))</f>
        <v>3/2015</v>
      </c>
      <c r="AI397" t="str">
        <f ca="1">IF($B$391&gt;=1,$AI$391,IF($B$393&gt;=1,$AI$393,IF($B$395&gt;=1,$AI$395,$AI$382)))</f>
        <v>2/2015</v>
      </c>
      <c r="AJ397" t="str">
        <f ca="1">IF($B$391&gt;=1,$AJ$391,IF($B$393&gt;=1,$AJ$393,IF($B$395&gt;=1,$AJ$395,$AJ$382)))</f>
        <v>1/2015</v>
      </c>
      <c r="AK397" t="str">
        <f ca="1">IF($B$391&gt;=1,$AK$391,IF($B$393&gt;=1,$AK$393,IF($B$395&gt;=1,$AK$395,$AK$382)))</f>
        <v>12/2014</v>
      </c>
      <c r="AL397" t="str">
        <f ca="1">IF($B$391&gt;=1,$AL$391,IF($B$393&gt;=1,$AL$393,IF($B$395&gt;=1,$AL$395,$AL$382)))</f>
        <v>11/2014</v>
      </c>
      <c r="AM397" t="str">
        <f ca="1">IF($B$391&gt;=1,$AM$391,IF($B$393&gt;=1,$AM$393,IF($B$395&gt;=1,$AM$395,$AM$382)))</f>
        <v>10/2014</v>
      </c>
      <c r="AN397" t="str">
        <f ca="1">IF($B$391&gt;=1,$AN$391,IF($B$393&gt;=1,$AN$393,IF($B$395&gt;=1,$AN$395,$AN$382)))</f>
        <v>9/2014</v>
      </c>
      <c r="AO397" t="str">
        <f ca="1">IF($B$391&gt;=1,$AO$391,IF($B$393&gt;=1,$AO$393,IF($B$395&gt;=1,$AO$395,$AO$382)))</f>
        <v>8/2014</v>
      </c>
      <c r="AP397" t="str">
        <f ca="1">IF($B$391&gt;=1,$AP$391,IF($B$393&gt;=1,$AP$393,IF($B$395&gt;=1,$AP$395,$AP$382)))</f>
        <v>7/2014</v>
      </c>
      <c r="AT397" t="str">
        <f>""</f>
        <v/>
      </c>
      <c r="AU397" t="str">
        <f>""</f>
        <v/>
      </c>
      <c r="AV397" t="str">
        <f>""</f>
        <v/>
      </c>
      <c r="AW397" t="str">
        <f>""</f>
        <v/>
      </c>
      <c r="AX397" t="str">
        <f>""</f>
        <v/>
      </c>
      <c r="AY397" t="str">
        <f>""</f>
        <v/>
      </c>
      <c r="AZ397" t="str">
        <f>""</f>
        <v/>
      </c>
      <c r="BA397" t="str">
        <f>""</f>
        <v/>
      </c>
      <c r="BB397" t="str">
        <f>""</f>
        <v/>
      </c>
      <c r="BC397" t="str">
        <f>""</f>
        <v/>
      </c>
      <c r="BD397" t="str">
        <f>""</f>
        <v/>
      </c>
      <c r="BE397" t="str">
        <f>""</f>
        <v/>
      </c>
      <c r="BF397" t="str">
        <f>""</f>
        <v/>
      </c>
      <c r="BG397" t="str">
        <f>""</f>
        <v/>
      </c>
      <c r="BH397" t="str">
        <f>""</f>
        <v/>
      </c>
      <c r="BI397" t="str">
        <f>""</f>
        <v/>
      </c>
      <c r="BJ397" t="str">
        <f>""</f>
        <v/>
      </c>
      <c r="BK397" t="str">
        <f>""</f>
        <v/>
      </c>
      <c r="BL397" t="str">
        <f>""</f>
        <v/>
      </c>
      <c r="BM397" t="str">
        <f>""</f>
        <v/>
      </c>
      <c r="BN397" t="str">
        <f>""</f>
        <v/>
      </c>
      <c r="BO397" t="str">
        <f>""</f>
        <v/>
      </c>
      <c r="BP397" t="str">
        <f>""</f>
        <v/>
      </c>
      <c r="BQ397" t="str">
        <f>""</f>
        <v/>
      </c>
      <c r="BR397" t="str">
        <f>""</f>
        <v/>
      </c>
      <c r="BS397" t="str">
        <f>""</f>
        <v/>
      </c>
      <c r="BT397" t="str">
        <f>""</f>
        <v/>
      </c>
      <c r="BU397" t="str">
        <f>""</f>
        <v/>
      </c>
      <c r="BV397" t="str">
        <f>""</f>
        <v/>
      </c>
      <c r="BW397" t="str">
        <f>""</f>
        <v/>
      </c>
      <c r="BX397" t="str">
        <f>""</f>
        <v/>
      </c>
      <c r="BY397" t="str">
        <f>""</f>
        <v/>
      </c>
      <c r="BZ397" t="str">
        <f>""</f>
        <v/>
      </c>
      <c r="CA397" t="str">
        <f>""</f>
        <v/>
      </c>
      <c r="CB397" t="str">
        <f>""</f>
        <v/>
      </c>
      <c r="CC397" t="str">
        <f>""</f>
        <v/>
      </c>
      <c r="CD397" t="str">
        <f>""</f>
        <v/>
      </c>
      <c r="CE397" t="str">
        <f>""</f>
        <v/>
      </c>
      <c r="CF397" t="str">
        <f>""</f>
        <v/>
      </c>
      <c r="CG397" t="str">
        <f>""</f>
        <v/>
      </c>
    </row>
    <row r="398" spans="1:85" x14ac:dyDescent="0.25">
      <c r="A398" t="str">
        <f>"BDH dynamic title"</f>
        <v>BDH dynamic title</v>
      </c>
      <c r="B398">
        <f ca="1">$B$397</f>
        <v>2</v>
      </c>
      <c r="C398" t="str">
        <f ca="1">$C$397</f>
        <v>10/2017</v>
      </c>
      <c r="D398" t="str">
        <f ca="1">$D$397</f>
        <v>9/2017</v>
      </c>
      <c r="E398" t="str">
        <f ca="1">$E$397</f>
        <v>8/2017</v>
      </c>
      <c r="F398" t="str">
        <f ca="1">$F$397</f>
        <v>7/2017</v>
      </c>
      <c r="G398" t="str">
        <f ca="1">$G$397</f>
        <v>6/2017</v>
      </c>
      <c r="H398" t="str">
        <f ca="1">$H$397</f>
        <v>5/2017</v>
      </c>
      <c r="I398" t="str">
        <f ca="1">$I$397</f>
        <v>4/2017</v>
      </c>
      <c r="J398" t="str">
        <f ca="1">$J$397</f>
        <v>3/2017</v>
      </c>
      <c r="K398" t="str">
        <f ca="1">$K$397</f>
        <v>2/2017</v>
      </c>
      <c r="L398" t="str">
        <f ca="1">$L$397</f>
        <v>1/2017</v>
      </c>
      <c r="M398" t="str">
        <f ca="1">$M$397</f>
        <v>12/2016</v>
      </c>
      <c r="N398" t="str">
        <f ca="1">$N$397</f>
        <v>11/2016</v>
      </c>
      <c r="O398" t="str">
        <f ca="1">$O$397</f>
        <v>10/2016</v>
      </c>
      <c r="P398" t="str">
        <f ca="1">$P$397</f>
        <v>9/2016</v>
      </c>
      <c r="Q398" t="str">
        <f ca="1">$Q$397</f>
        <v>8/2016</v>
      </c>
      <c r="R398" t="str">
        <f ca="1">$R$397</f>
        <v>7/2016</v>
      </c>
      <c r="S398" t="str">
        <f ca="1">$S$397</f>
        <v>6/2016</v>
      </c>
      <c r="T398" t="str">
        <f ca="1">$T$397</f>
        <v>5/2016</v>
      </c>
      <c r="U398" t="str">
        <f ca="1">$U$397</f>
        <v>4/2016</v>
      </c>
      <c r="V398" t="str">
        <f ca="1">$V$397</f>
        <v>3/2016</v>
      </c>
      <c r="W398" t="str">
        <f ca="1">$W$397</f>
        <v>2/2016</v>
      </c>
      <c r="X398" t="str">
        <f ca="1">$X$397</f>
        <v>1/2016</v>
      </c>
      <c r="Y398" t="str">
        <f ca="1">$Y$397</f>
        <v>12/2015</v>
      </c>
      <c r="Z398" t="str">
        <f ca="1">$Z$397</f>
        <v>11/2015</v>
      </c>
      <c r="AA398" t="str">
        <f ca="1">$AA$397</f>
        <v>10/2015</v>
      </c>
      <c r="AB398" t="str">
        <f ca="1">$AB$397</f>
        <v>9/2015</v>
      </c>
      <c r="AC398" t="str">
        <f ca="1">$AC$397</f>
        <v>8/2015</v>
      </c>
      <c r="AD398" t="str">
        <f ca="1">$AD$397</f>
        <v>7/2015</v>
      </c>
      <c r="AE398" t="str">
        <f ca="1">$AE$397</f>
        <v>6/2015</v>
      </c>
      <c r="AF398" t="str">
        <f ca="1">$AF$397</f>
        <v>5/2015</v>
      </c>
      <c r="AG398" t="str">
        <f ca="1">$AG$397</f>
        <v>4/2015</v>
      </c>
      <c r="AH398" t="str">
        <f ca="1">$AH$397</f>
        <v>3/2015</v>
      </c>
      <c r="AI398" t="str">
        <f ca="1">$AI$397</f>
        <v>2/2015</v>
      </c>
      <c r="AJ398" t="str">
        <f ca="1">$AJ$397</f>
        <v>1/2015</v>
      </c>
      <c r="AK398" t="str">
        <f ca="1">$AK$397</f>
        <v>12/2014</v>
      </c>
      <c r="AL398" t="str">
        <f ca="1">$AL$397</f>
        <v>11/2014</v>
      </c>
      <c r="AM398" t="str">
        <f ca="1">$AM$397</f>
        <v>10/2014</v>
      </c>
      <c r="AN398" t="str">
        <f ca="1">$AN$397</f>
        <v>9/2014</v>
      </c>
      <c r="AO398" t="str">
        <f ca="1">$AO$397</f>
        <v>8/2014</v>
      </c>
      <c r="AP398" t="str">
        <f ca="1">$AP$397</f>
        <v>7/2014</v>
      </c>
      <c r="AT398" t="str">
        <f>""</f>
        <v/>
      </c>
      <c r="AU398" t="str">
        <f>""</f>
        <v/>
      </c>
      <c r="AV398" t="str">
        <f>""</f>
        <v/>
      </c>
      <c r="AW398" t="str">
        <f>""</f>
        <v/>
      </c>
      <c r="AX398" t="str">
        <f>""</f>
        <v/>
      </c>
      <c r="AY398" t="str">
        <f>""</f>
        <v/>
      </c>
      <c r="AZ398" t="str">
        <f>""</f>
        <v/>
      </c>
      <c r="BA398" t="str">
        <f>""</f>
        <v/>
      </c>
      <c r="BB398" t="str">
        <f>""</f>
        <v/>
      </c>
      <c r="BC398" t="str">
        <f>""</f>
        <v/>
      </c>
      <c r="BD398" t="str">
        <f>""</f>
        <v/>
      </c>
      <c r="BE398" t="str">
        <f>""</f>
        <v/>
      </c>
      <c r="BF398" t="str">
        <f>""</f>
        <v/>
      </c>
      <c r="BG398" t="str">
        <f>""</f>
        <v/>
      </c>
      <c r="BH398" t="str">
        <f>""</f>
        <v/>
      </c>
      <c r="BI398" t="str">
        <f>""</f>
        <v/>
      </c>
      <c r="BJ398" t="str">
        <f>""</f>
        <v/>
      </c>
      <c r="BK398" t="str">
        <f>""</f>
        <v/>
      </c>
      <c r="BL398" t="str">
        <f>""</f>
        <v/>
      </c>
      <c r="BM398" t="str">
        <f>""</f>
        <v/>
      </c>
      <c r="BN398" t="str">
        <f>""</f>
        <v/>
      </c>
      <c r="BO398" t="str">
        <f>""</f>
        <v/>
      </c>
      <c r="BP398" t="str">
        <f>""</f>
        <v/>
      </c>
      <c r="BQ398" t="str">
        <f>""</f>
        <v/>
      </c>
      <c r="BR398" t="str">
        <f>""</f>
        <v/>
      </c>
      <c r="BS398" t="str">
        <f>""</f>
        <v/>
      </c>
      <c r="BT398" t="str">
        <f>""</f>
        <v/>
      </c>
      <c r="BU398" t="str">
        <f>""</f>
        <v/>
      </c>
      <c r="BV398" t="str">
        <f>""</f>
        <v/>
      </c>
      <c r="BW398" t="str">
        <f>""</f>
        <v/>
      </c>
      <c r="BX398" t="str">
        <f>""</f>
        <v/>
      </c>
      <c r="BY398" t="str">
        <f>""</f>
        <v/>
      </c>
      <c r="BZ398" t="str">
        <f>""</f>
        <v/>
      </c>
      <c r="CA398" t="str">
        <f>""</f>
        <v/>
      </c>
      <c r="CB398" t="str">
        <f>""</f>
        <v/>
      </c>
      <c r="CC398" t="str">
        <f>""</f>
        <v/>
      </c>
      <c r="CD398" t="str">
        <f>""</f>
        <v/>
      </c>
      <c r="CE398" t="str">
        <f>""</f>
        <v/>
      </c>
      <c r="CF398" t="str">
        <f>""</f>
        <v/>
      </c>
      <c r="CG398" t="str">
        <f>""</f>
        <v/>
      </c>
    </row>
    <row r="399" spans="1:85" x14ac:dyDescent="0.25">
      <c r="A399" t="str">
        <f>"Errors:"</f>
        <v>Errors:</v>
      </c>
      <c r="B399" t="str">
        <f>""</f>
        <v/>
      </c>
      <c r="C399" t="str">
        <f>""</f>
        <v/>
      </c>
      <c r="D399" t="str">
        <f>""</f>
        <v/>
      </c>
      <c r="E399" t="str">
        <f>""</f>
        <v/>
      </c>
      <c r="AT399" t="str">
        <f>""</f>
        <v/>
      </c>
      <c r="AU399" t="str">
        <f>""</f>
        <v/>
      </c>
      <c r="AV399" t="str">
        <f>""</f>
        <v/>
      </c>
      <c r="AW399" t="str">
        <f>""</f>
        <v/>
      </c>
      <c r="AX399" t="str">
        <f>""</f>
        <v/>
      </c>
      <c r="AY399" t="str">
        <f>""</f>
        <v/>
      </c>
      <c r="AZ399" t="str">
        <f>""</f>
        <v/>
      </c>
      <c r="BA399" t="str">
        <f>""</f>
        <v/>
      </c>
      <c r="BB399" t="str">
        <f>""</f>
        <v/>
      </c>
      <c r="BC399" t="str">
        <f>""</f>
        <v/>
      </c>
      <c r="BD399" t="str">
        <f>""</f>
        <v/>
      </c>
      <c r="BE399" t="str">
        <f>""</f>
        <v/>
      </c>
      <c r="BF399" t="str">
        <f>""</f>
        <v/>
      </c>
      <c r="BG399" t="str">
        <f>""</f>
        <v/>
      </c>
      <c r="BH399" t="str">
        <f>""</f>
        <v/>
      </c>
      <c r="BI399" t="str">
        <f>""</f>
        <v/>
      </c>
      <c r="BJ399" t="str">
        <f>""</f>
        <v/>
      </c>
      <c r="BK399" t="str">
        <f>""</f>
        <v/>
      </c>
      <c r="BL399" t="str">
        <f>""</f>
        <v/>
      </c>
      <c r="BM399" t="str">
        <f>""</f>
        <v/>
      </c>
      <c r="BN399" t="str">
        <f>""</f>
        <v/>
      </c>
      <c r="BO399" t="str">
        <f>""</f>
        <v/>
      </c>
      <c r="BP399" t="str">
        <f>""</f>
        <v/>
      </c>
      <c r="BQ399" t="str">
        <f>""</f>
        <v/>
      </c>
      <c r="BR399" t="str">
        <f>""</f>
        <v/>
      </c>
      <c r="BS399" t="str">
        <f>""</f>
        <v/>
      </c>
      <c r="BT399" t="str">
        <f>""</f>
        <v/>
      </c>
      <c r="BU399" t="str">
        <f>""</f>
        <v/>
      </c>
      <c r="BV399" t="str">
        <f>""</f>
        <v/>
      </c>
      <c r="BW399" t="str">
        <f>""</f>
        <v/>
      </c>
      <c r="BX399" t="str">
        <f>""</f>
        <v/>
      </c>
      <c r="BY399" t="str">
        <f>""</f>
        <v/>
      </c>
      <c r="BZ399" t="str">
        <f>""</f>
        <v/>
      </c>
      <c r="CA399" t="str">
        <f>""</f>
        <v/>
      </c>
      <c r="CB399" t="str">
        <f>""</f>
        <v/>
      </c>
      <c r="CC399" t="str">
        <f>""</f>
        <v/>
      </c>
      <c r="CD399" t="str">
        <f>""</f>
        <v/>
      </c>
      <c r="CE399" t="str">
        <f>""</f>
        <v/>
      </c>
      <c r="CF399" t="str">
        <f>""</f>
        <v/>
      </c>
      <c r="CG399" t="str">
        <f>""</f>
        <v/>
      </c>
    </row>
    <row r="400" spans="1:85" x14ac:dyDescent="0.25">
      <c r="A400" t="str">
        <f>" rowId=197 rowKey=2616 rowType=Formula field=F2613/F15*100 formulaReferences.nref =1"</f>
        <v xml:space="preserve"> rowId=197 rowKey=2616 rowType=Formula field=F2613/F15*100 formulaReferences.nref =1</v>
      </c>
      <c r="B400" t="str">
        <f>""</f>
        <v/>
      </c>
      <c r="C400" t="str">
        <f>""</f>
        <v/>
      </c>
      <c r="D400" t="str">
        <f>""</f>
        <v/>
      </c>
      <c r="E400" t="str">
        <f>""</f>
        <v/>
      </c>
      <c r="AT400" t="str">
        <f>""</f>
        <v/>
      </c>
      <c r="AU400" t="str">
        <f>""</f>
        <v/>
      </c>
      <c r="AV400" t="str">
        <f>""</f>
        <v/>
      </c>
      <c r="AW400" t="str">
        <f>""</f>
        <v/>
      </c>
      <c r="AX400" t="str">
        <f>""</f>
        <v/>
      </c>
      <c r="AY400" t="str">
        <f>""</f>
        <v/>
      </c>
      <c r="AZ400" t="str">
        <f>""</f>
        <v/>
      </c>
      <c r="BA400" t="str">
        <f>""</f>
        <v/>
      </c>
      <c r="BB400" t="str">
        <f>""</f>
        <v/>
      </c>
      <c r="BC400" t="str">
        <f>""</f>
        <v/>
      </c>
      <c r="BD400" t="str">
        <f>""</f>
        <v/>
      </c>
      <c r="BE400" t="str">
        <f>""</f>
        <v/>
      </c>
      <c r="BF400" t="str">
        <f>""</f>
        <v/>
      </c>
      <c r="BG400" t="str">
        <f>""</f>
        <v/>
      </c>
      <c r="BH400" t="str">
        <f>""</f>
        <v/>
      </c>
      <c r="BI400" t="str">
        <f>""</f>
        <v/>
      </c>
      <c r="BJ400" t="str">
        <f>""</f>
        <v/>
      </c>
      <c r="BK400" t="str">
        <f>""</f>
        <v/>
      </c>
      <c r="BL400" t="str">
        <f>""</f>
        <v/>
      </c>
      <c r="BM400" t="str">
        <f>""</f>
        <v/>
      </c>
      <c r="BN400" t="str">
        <f>""</f>
        <v/>
      </c>
      <c r="BO400" t="str">
        <f>""</f>
        <v/>
      </c>
      <c r="BP400" t="str">
        <f>""</f>
        <v/>
      </c>
      <c r="BQ400" t="str">
        <f>""</f>
        <v/>
      </c>
      <c r="BR400" t="str">
        <f>""</f>
        <v/>
      </c>
      <c r="BS400" t="str">
        <f>""</f>
        <v/>
      </c>
      <c r="BT400" t="str">
        <f>""</f>
        <v/>
      </c>
      <c r="BU400" t="str">
        <f>""</f>
        <v/>
      </c>
      <c r="BV400" t="str">
        <f>""</f>
        <v/>
      </c>
      <c r="BW400" t="str">
        <f>""</f>
        <v/>
      </c>
      <c r="BX400" t="str">
        <f>""</f>
        <v/>
      </c>
      <c r="BY400" t="str">
        <f>""</f>
        <v/>
      </c>
      <c r="BZ400" t="str">
        <f>""</f>
        <v/>
      </c>
      <c r="CA400" t="str">
        <f>""</f>
        <v/>
      </c>
      <c r="CB400" t="str">
        <f>""</f>
        <v/>
      </c>
      <c r="CC400" t="str">
        <f>""</f>
        <v/>
      </c>
      <c r="CD400" t="str">
        <f>""</f>
        <v/>
      </c>
      <c r="CE400" t="str">
        <f>""</f>
        <v/>
      </c>
      <c r="CF400" t="str">
        <f>""</f>
        <v/>
      </c>
      <c r="CG400" t="str">
        <f>""</f>
        <v/>
      </c>
    </row>
    <row r="401" spans="1:85" x14ac:dyDescent="0.25">
      <c r="A401" t="str">
        <f>" rowId=288 rowKey=35 rowType=Formula field=F7-F31-F32-F33-F34 formulaReferences.nref =1"</f>
        <v xml:space="preserve"> rowId=288 rowKey=35 rowType=Formula field=F7-F31-F32-F33-F34 formulaReferences.nref =1</v>
      </c>
      <c r="B401" t="str">
        <f>""</f>
        <v/>
      </c>
      <c r="C401" t="str">
        <f>""</f>
        <v/>
      </c>
      <c r="D401" t="str">
        <f>""</f>
        <v/>
      </c>
      <c r="E401" t="str">
        <f>""</f>
        <v/>
      </c>
      <c r="AT401" t="str">
        <f>""</f>
        <v/>
      </c>
      <c r="AU401" t="str">
        <f>""</f>
        <v/>
      </c>
      <c r="AV401" t="str">
        <f>""</f>
        <v/>
      </c>
      <c r="AW401" t="str">
        <f>""</f>
        <v/>
      </c>
      <c r="AX401" t="str">
        <f>""</f>
        <v/>
      </c>
      <c r="AY401" t="str">
        <f>""</f>
        <v/>
      </c>
      <c r="AZ401" t="str">
        <f>""</f>
        <v/>
      </c>
      <c r="BA401" t="str">
        <f>""</f>
        <v/>
      </c>
      <c r="BB401" t="str">
        <f>""</f>
        <v/>
      </c>
      <c r="BC401" t="str">
        <f>""</f>
        <v/>
      </c>
      <c r="BD401" t="str">
        <f>""</f>
        <v/>
      </c>
      <c r="BE401" t="str">
        <f>""</f>
        <v/>
      </c>
      <c r="BF401" t="str">
        <f>""</f>
        <v/>
      </c>
      <c r="BG401" t="str">
        <f>""</f>
        <v/>
      </c>
      <c r="BH401" t="str">
        <f>""</f>
        <v/>
      </c>
      <c r="BI401" t="str">
        <f>""</f>
        <v/>
      </c>
      <c r="BJ401" t="str">
        <f>""</f>
        <v/>
      </c>
      <c r="BK401" t="str">
        <f>""</f>
        <v/>
      </c>
      <c r="BL401" t="str">
        <f>""</f>
        <v/>
      </c>
      <c r="BM401" t="str">
        <f>""</f>
        <v/>
      </c>
      <c r="BN401" t="str">
        <f>""</f>
        <v/>
      </c>
      <c r="BO401" t="str">
        <f>""</f>
        <v/>
      </c>
      <c r="BP401" t="str">
        <f>""</f>
        <v/>
      </c>
      <c r="BQ401" t="str">
        <f>""</f>
        <v/>
      </c>
      <c r="BR401" t="str">
        <f>""</f>
        <v/>
      </c>
      <c r="BS401" t="str">
        <f>""</f>
        <v/>
      </c>
      <c r="BT401" t="str">
        <f>""</f>
        <v/>
      </c>
      <c r="BU401" t="str">
        <f>""</f>
        <v/>
      </c>
      <c r="BV401" t="str">
        <f>""</f>
        <v/>
      </c>
      <c r="BW401" t="str">
        <f>""</f>
        <v/>
      </c>
      <c r="BX401" t="str">
        <f>""</f>
        <v/>
      </c>
      <c r="BY401" t="str">
        <f>""</f>
        <v/>
      </c>
      <c r="BZ401" t="str">
        <f>""</f>
        <v/>
      </c>
      <c r="CA401" t="str">
        <f>""</f>
        <v/>
      </c>
      <c r="CB401" t="str">
        <f>""</f>
        <v/>
      </c>
      <c r="CC401" t="str">
        <f>""</f>
        <v/>
      </c>
      <c r="CD401" t="str">
        <f>""</f>
        <v/>
      </c>
      <c r="CE401" t="str">
        <f>""</f>
        <v/>
      </c>
      <c r="CF401" t="str">
        <f>""</f>
        <v/>
      </c>
      <c r="CG401" t="str">
        <f>""</f>
        <v/>
      </c>
    </row>
    <row r="402" spans="1:85" x14ac:dyDescent="0.25">
      <c r="A402" t="str">
        <f>" rowId=317 rowKey=2618 rowType=Formula field=F9-F2640 formulaReferences.nref =1"</f>
        <v xml:space="preserve"> rowId=317 rowKey=2618 rowType=Formula field=F9-F2640 formulaReferences.nref =1</v>
      </c>
      <c r="B402" t="str">
        <f>""</f>
        <v/>
      </c>
      <c r="C402" t="str">
        <f>""</f>
        <v/>
      </c>
      <c r="D402" t="str">
        <f>""</f>
        <v/>
      </c>
      <c r="E402" t="str">
        <f>""</f>
        <v/>
      </c>
      <c r="AT402" t="str">
        <f>""</f>
        <v/>
      </c>
      <c r="AU402" t="str">
        <f>""</f>
        <v/>
      </c>
      <c r="AV402" t="str">
        <f>""</f>
        <v/>
      </c>
      <c r="AW402" t="str">
        <f>""</f>
        <v/>
      </c>
      <c r="AX402" t="str">
        <f>""</f>
        <v/>
      </c>
      <c r="AY402" t="str">
        <f>""</f>
        <v/>
      </c>
      <c r="AZ402" t="str">
        <f>""</f>
        <v/>
      </c>
      <c r="BA402" t="str">
        <f>""</f>
        <v/>
      </c>
      <c r="BB402" t="str">
        <f>""</f>
        <v/>
      </c>
      <c r="BC402" t="str">
        <f>""</f>
        <v/>
      </c>
      <c r="BD402" t="str">
        <f>""</f>
        <v/>
      </c>
      <c r="BE402" t="str">
        <f>""</f>
        <v/>
      </c>
      <c r="BF402" t="str">
        <f>""</f>
        <v/>
      </c>
      <c r="BG402" t="str">
        <f>""</f>
        <v/>
      </c>
      <c r="BH402" t="str">
        <f>""</f>
        <v/>
      </c>
      <c r="BI402" t="str">
        <f>""</f>
        <v/>
      </c>
      <c r="BJ402" t="str">
        <f>""</f>
        <v/>
      </c>
      <c r="BK402" t="str">
        <f>""</f>
        <v/>
      </c>
      <c r="BL402" t="str">
        <f>""</f>
        <v/>
      </c>
      <c r="BM402" t="str">
        <f>""</f>
        <v/>
      </c>
      <c r="BN402" t="str">
        <f>""</f>
        <v/>
      </c>
      <c r="BO402" t="str">
        <f>""</f>
        <v/>
      </c>
      <c r="BP402" t="str">
        <f>""</f>
        <v/>
      </c>
      <c r="BQ402" t="str">
        <f>""</f>
        <v/>
      </c>
      <c r="BR402" t="str">
        <f>""</f>
        <v/>
      </c>
      <c r="BS402" t="str">
        <f>""</f>
        <v/>
      </c>
      <c r="BT402" t="str">
        <f>""</f>
        <v/>
      </c>
      <c r="BU402" t="str">
        <f>""</f>
        <v/>
      </c>
      <c r="BV402" t="str">
        <f>""</f>
        <v/>
      </c>
      <c r="BW402" t="str">
        <f>""</f>
        <v/>
      </c>
      <c r="BX402" t="str">
        <f>""</f>
        <v/>
      </c>
      <c r="BY402" t="str">
        <f>""</f>
        <v/>
      </c>
      <c r="BZ402" t="str">
        <f>""</f>
        <v/>
      </c>
      <c r="CA402" t="str">
        <f>""</f>
        <v/>
      </c>
      <c r="CB402" t="str">
        <f>""</f>
        <v/>
      </c>
      <c r="CC402" t="str">
        <f>""</f>
        <v/>
      </c>
      <c r="CD402" t="str">
        <f>""</f>
        <v/>
      </c>
      <c r="CE402" t="str">
        <f>""</f>
        <v/>
      </c>
      <c r="CF402" t="str">
        <f>""</f>
        <v/>
      </c>
      <c r="CG402" t="str">
        <f>""</f>
        <v/>
      </c>
    </row>
    <row r="403" spans="1:85" x14ac:dyDescent="0.25">
      <c r="A403" t="str">
        <f>" rowId=383 rowKey=67 rowType=Formula field=F13-F2700 formulaReferences.nref =1"</f>
        <v xml:space="preserve"> rowId=383 rowKey=67 rowType=Formula field=F13-F2700 formulaReferences.nref =1</v>
      </c>
      <c r="B403" t="str">
        <f>""</f>
        <v/>
      </c>
      <c r="C403" t="str">
        <f>""</f>
        <v/>
      </c>
      <c r="D403" t="str">
        <f>""</f>
        <v/>
      </c>
      <c r="E403" t="str">
        <f>""</f>
        <v/>
      </c>
      <c r="AT403" t="str">
        <f>""</f>
        <v/>
      </c>
      <c r="AU403" t="str">
        <f>""</f>
        <v/>
      </c>
      <c r="AV403" t="str">
        <f>""</f>
        <v/>
      </c>
      <c r="AW403" t="str">
        <f>""</f>
        <v/>
      </c>
      <c r="AX403" t="str">
        <f>""</f>
        <v/>
      </c>
      <c r="AY403" t="str">
        <f>""</f>
        <v/>
      </c>
      <c r="AZ403" t="str">
        <f>""</f>
        <v/>
      </c>
      <c r="BA403" t="str">
        <f>""</f>
        <v/>
      </c>
      <c r="BB403" t="str">
        <f>""</f>
        <v/>
      </c>
      <c r="BC403" t="str">
        <f>""</f>
        <v/>
      </c>
      <c r="BD403" t="str">
        <f>""</f>
        <v/>
      </c>
      <c r="BE403" t="str">
        <f>""</f>
        <v/>
      </c>
      <c r="BF403" t="str">
        <f>""</f>
        <v/>
      </c>
      <c r="BG403" t="str">
        <f>""</f>
        <v/>
      </c>
      <c r="BH403" t="str">
        <f>""</f>
        <v/>
      </c>
      <c r="BI403" t="str">
        <f>""</f>
        <v/>
      </c>
      <c r="BJ403" t="str">
        <f>""</f>
        <v/>
      </c>
      <c r="BK403" t="str">
        <f>""</f>
        <v/>
      </c>
      <c r="BL403" t="str">
        <f>""</f>
        <v/>
      </c>
      <c r="BM403" t="str">
        <f>""</f>
        <v/>
      </c>
      <c r="BN403" t="str">
        <f>""</f>
        <v/>
      </c>
      <c r="BO403" t="str">
        <f>""</f>
        <v/>
      </c>
      <c r="BP403" t="str">
        <f>""</f>
        <v/>
      </c>
      <c r="BQ403" t="str">
        <f>""</f>
        <v/>
      </c>
      <c r="BR403" t="str">
        <f>""</f>
        <v/>
      </c>
      <c r="BS403" t="str">
        <f>""</f>
        <v/>
      </c>
      <c r="BT403" t="str">
        <f>""</f>
        <v/>
      </c>
      <c r="BU403" t="str">
        <f>""</f>
        <v/>
      </c>
      <c r="BV403" t="str">
        <f>""</f>
        <v/>
      </c>
      <c r="BW403" t="str">
        <f>""</f>
        <v/>
      </c>
      <c r="BX403" t="str">
        <f>""</f>
        <v/>
      </c>
      <c r="BY403" t="str">
        <f>""</f>
        <v/>
      </c>
      <c r="BZ403" t="str">
        <f>""</f>
        <v/>
      </c>
      <c r="CA403" t="str">
        <f>""</f>
        <v/>
      </c>
      <c r="CB403" t="str">
        <f>""</f>
        <v/>
      </c>
      <c r="CC403" t="str">
        <f>""</f>
        <v/>
      </c>
      <c r="CD403" t="str">
        <f>""</f>
        <v/>
      </c>
      <c r="CE403" t="str">
        <f>""</f>
        <v/>
      </c>
      <c r="CF403" t="str">
        <f>""</f>
        <v/>
      </c>
      <c r="CG403" t="str">
        <f>""</f>
        <v/>
      </c>
    </row>
    <row r="404" spans="1:85" x14ac:dyDescent="0.25">
      <c r="A404" t="str">
        <f>" rowId=441 rowKey=2619 rowType=Formula field=F15-F2641 formulaReferences.nref =1"</f>
        <v xml:space="preserve"> rowId=441 rowKey=2619 rowType=Formula field=F15-F2641 formulaReferences.nref =1</v>
      </c>
      <c r="B404" t="str">
        <f>""</f>
        <v/>
      </c>
      <c r="C404" t="str">
        <f>""</f>
        <v/>
      </c>
      <c r="D404" t="str">
        <f>""</f>
        <v/>
      </c>
      <c r="E404" t="str">
        <f>""</f>
        <v/>
      </c>
      <c r="AT404" t="str">
        <f>""</f>
        <v/>
      </c>
      <c r="AU404" t="str">
        <f>""</f>
        <v/>
      </c>
      <c r="AV404" t="str">
        <f>""</f>
        <v/>
      </c>
      <c r="AW404" t="str">
        <f>""</f>
        <v/>
      </c>
      <c r="AX404" t="str">
        <f>""</f>
        <v/>
      </c>
      <c r="AY404" t="str">
        <f>""</f>
        <v/>
      </c>
      <c r="AZ404" t="str">
        <f>""</f>
        <v/>
      </c>
      <c r="BA404" t="str">
        <f>""</f>
        <v/>
      </c>
      <c r="BB404" t="str">
        <f>""</f>
        <v/>
      </c>
      <c r="BC404" t="str">
        <f>""</f>
        <v/>
      </c>
      <c r="BD404" t="str">
        <f>""</f>
        <v/>
      </c>
      <c r="BE404" t="str">
        <f>""</f>
        <v/>
      </c>
      <c r="BF404" t="str">
        <f>""</f>
        <v/>
      </c>
      <c r="BG404" t="str">
        <f>""</f>
        <v/>
      </c>
      <c r="BH404" t="str">
        <f>""</f>
        <v/>
      </c>
      <c r="BI404" t="str">
        <f>""</f>
        <v/>
      </c>
      <c r="BJ404" t="str">
        <f>""</f>
        <v/>
      </c>
      <c r="BK404" t="str">
        <f>""</f>
        <v/>
      </c>
      <c r="BL404" t="str">
        <f>""</f>
        <v/>
      </c>
      <c r="BM404" t="str">
        <f>""</f>
        <v/>
      </c>
      <c r="BN404" t="str">
        <f>""</f>
        <v/>
      </c>
      <c r="BO404" t="str">
        <f>""</f>
        <v/>
      </c>
      <c r="BP404" t="str">
        <f>""</f>
        <v/>
      </c>
      <c r="BQ404" t="str">
        <f>""</f>
        <v/>
      </c>
      <c r="BR404" t="str">
        <f>""</f>
        <v/>
      </c>
      <c r="BS404" t="str">
        <f>""</f>
        <v/>
      </c>
      <c r="BT404" t="str">
        <f>""</f>
        <v/>
      </c>
      <c r="BU404" t="str">
        <f>""</f>
        <v/>
      </c>
      <c r="BV404" t="str">
        <f>""</f>
        <v/>
      </c>
      <c r="BW404" t="str">
        <f>""</f>
        <v/>
      </c>
      <c r="BX404" t="str">
        <f>""</f>
        <v/>
      </c>
      <c r="BY404" t="str">
        <f>""</f>
        <v/>
      </c>
      <c r="BZ404" t="str">
        <f>""</f>
        <v/>
      </c>
      <c r="CA404" t="str">
        <f>""</f>
        <v/>
      </c>
      <c r="CB404" t="str">
        <f>""</f>
        <v/>
      </c>
      <c r="CC404" t="str">
        <f>""</f>
        <v/>
      </c>
      <c r="CD404" t="str">
        <f>""</f>
        <v/>
      </c>
      <c r="CE404" t="str">
        <f>""</f>
        <v/>
      </c>
      <c r="CF404" t="str">
        <f>""</f>
        <v/>
      </c>
      <c r="CG404" t="str">
        <f>""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/>
  </sheetViews>
  <sheetFormatPr defaultRowHeight="15" x14ac:dyDescent="0.25"/>
  <cols>
    <col min="1" max="1" width="9.140625" bestFit="1" customWidth="1"/>
  </cols>
  <sheetData>
    <row r="1" spans="1:1" x14ac:dyDescent="0.25">
      <c r="A1" s="1"/>
    </row>
    <row r="2" spans="1:1" x14ac:dyDescent="0.25">
      <c r="A2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</v>
      </c>
    </row>
    <row r="32" spans="1:1" x14ac:dyDescent="0.25">
      <c r="A32" t="s">
        <v>26</v>
      </c>
    </row>
    <row r="33" spans="1:1" x14ac:dyDescent="0.25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BIData</vt:lpstr>
      <vt:lpstr>ReferenceData</vt:lpstr>
      <vt:lpstr>Help-Reference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Kyle A. Finley</cp:lastModifiedBy>
  <dcterms:created xsi:type="dcterms:W3CDTF">2013-04-03T15:49:21Z</dcterms:created>
  <dcterms:modified xsi:type="dcterms:W3CDTF">2017-12-04T19:55:16Z</dcterms:modified>
</cp:coreProperties>
</file>