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uler x64\Euler Files\"/>
    </mc:Choice>
  </mc:AlternateContent>
  <bookViews>
    <workbookView xWindow="0" yWindow="0" windowWidth="24390" windowHeight="13155" activeTab="1"/>
  </bookViews>
  <sheets>
    <sheet name="Tabelle1" sheetId="1" r:id="rId1"/>
    <sheet name="L+K" sheetId="2" r:id="rId2"/>
    <sheet name="konst" sheetId="3" r:id="rId3"/>
  </sheets>
  <definedNames>
    <definedName name="A">konst!$B$2:$D$4</definedName>
    <definedName name="Def">konst!$B$8:$D$13</definedName>
    <definedName name="Df">'L+K'!$B$2:$G$2</definedName>
    <definedName name="Pdef">'L+K'!$B$11:$G$13</definedName>
    <definedName name="Poff">'L+K'!$B$7:$G$9</definedName>
    <definedName name="Q">Tabelle1!$O$18:$Q$20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" l="1"/>
  <c r="G11" i="2"/>
  <c r="B12" i="2"/>
  <c r="E9" i="2" l="1"/>
  <c r="D9" i="2"/>
  <c r="C8" i="2"/>
  <c r="B8" i="2"/>
  <c r="G7" i="2"/>
  <c r="F7" i="2"/>
  <c r="D15" i="2"/>
  <c r="E15" i="2"/>
  <c r="B16" i="2"/>
  <c r="C16" i="2"/>
  <c r="F16" i="2"/>
  <c r="G16" i="2"/>
  <c r="D17" i="2"/>
  <c r="E17" i="2"/>
  <c r="B15" i="2" a="1"/>
  <c r="B15" i="2" s="1"/>
  <c r="G17" i="2"/>
  <c r="H7" i="2" a="1"/>
  <c r="H7" i="2" s="1"/>
  <c r="H11" i="2" a="1"/>
  <c r="H11" i="2" s="1"/>
  <c r="L3" i="2" a="1"/>
  <c r="L2" i="2" a="1"/>
  <c r="L2" i="2" s="1"/>
  <c r="C11" i="1" a="1"/>
  <c r="C11" i="1" s="1"/>
  <c r="C9" i="1" a="1"/>
  <c r="C9" i="1" s="1"/>
  <c r="C8" i="1" a="1"/>
  <c r="D8" i="1" s="1"/>
  <c r="C6" i="1" a="1"/>
  <c r="C6" i="1" s="1"/>
  <c r="C5" i="1" a="1"/>
  <c r="C5" i="1" s="1"/>
  <c r="C3" i="1" a="1"/>
  <c r="D3" i="1" s="1"/>
  <c r="B11" i="1"/>
  <c r="B9" i="1"/>
  <c r="B8" i="1"/>
  <c r="B6" i="1"/>
  <c r="B5" i="1"/>
  <c r="B3" i="1"/>
  <c r="C18" i="1" a="1"/>
  <c r="C18" i="1" s="1"/>
  <c r="C17" i="2" l="1"/>
  <c r="E16" i="2"/>
  <c r="G15" i="2"/>
  <c r="C15" i="2"/>
  <c r="F17" i="2"/>
  <c r="B17" i="2"/>
  <c r="D16" i="2"/>
  <c r="F15" i="2"/>
  <c r="H9" i="2"/>
  <c r="H8" i="2"/>
  <c r="H13" i="2"/>
  <c r="H12" i="2"/>
  <c r="N2" i="2"/>
  <c r="M2" i="2"/>
  <c r="E11" i="1"/>
  <c r="D11" i="1"/>
  <c r="E9" i="1"/>
  <c r="D9" i="1"/>
  <c r="C8" i="1"/>
  <c r="E8" i="1"/>
  <c r="E6" i="1"/>
  <c r="D6" i="1"/>
  <c r="E5" i="1"/>
  <c r="D5" i="1"/>
  <c r="C3" i="1"/>
  <c r="E3" i="1"/>
  <c r="D20" i="1"/>
  <c r="C19" i="1"/>
  <c r="C20" i="1"/>
  <c r="E18" i="1"/>
  <c r="E19" i="1"/>
  <c r="D18" i="1"/>
  <c r="E20" i="1"/>
  <c r="D19" i="1"/>
  <c r="O18" i="1" a="1"/>
  <c r="O18" i="1" s="1"/>
  <c r="E13" i="2"/>
  <c r="D13" i="2"/>
  <c r="C12" i="2"/>
  <c r="H15" i="2" l="1" a="1"/>
  <c r="H15" i="2" s="1"/>
  <c r="L12" i="2" a="1"/>
  <c r="L8" i="2" a="1"/>
  <c r="I11" i="2"/>
  <c r="P20" i="1"/>
  <c r="O19" i="1"/>
  <c r="O20" i="1"/>
  <c r="Q18" i="1"/>
  <c r="Q19" i="1"/>
  <c r="P18" i="1"/>
  <c r="Q20" i="1"/>
  <c r="P19" i="1"/>
  <c r="I12" i="2"/>
  <c r="I9" i="2"/>
  <c r="I13" i="2"/>
  <c r="I8" i="2"/>
  <c r="I7" i="2"/>
  <c r="H17" i="2" l="1"/>
  <c r="H16" i="2"/>
  <c r="L8" i="2"/>
  <c r="N8" i="2"/>
  <c r="M8" i="2"/>
  <c r="N12" i="2"/>
  <c r="L12" i="2"/>
  <c r="L13" i="2" s="1"/>
  <c r="M12" i="2"/>
  <c r="M13" i="2" s="1"/>
  <c r="N3" i="2" l="1"/>
  <c r="N4" i="2" s="1"/>
  <c r="N9" i="2"/>
  <c r="L3" i="2"/>
  <c r="L4" i="2" s="1"/>
  <c r="L9" i="2"/>
  <c r="N11" i="2"/>
  <c r="N13" i="2"/>
  <c r="M7" i="2"/>
  <c r="M9" i="2"/>
  <c r="M3" i="2"/>
  <c r="M4" i="2" s="1"/>
  <c r="N7" i="2"/>
  <c r="M11" i="2"/>
  <c r="L11" i="2"/>
  <c r="L7" i="2"/>
  <c r="J3" i="2" a="1"/>
  <c r="H3" i="2" a="1"/>
  <c r="H3" i="2" s="1"/>
  <c r="J3" i="2" l="1"/>
  <c r="H5" i="2"/>
  <c r="J5" i="2" s="1"/>
  <c r="H4" i="2"/>
  <c r="J4" i="2" s="1"/>
  <c r="K5" i="2" l="1"/>
  <c r="K4" i="2"/>
  <c r="K3" i="2"/>
  <c r="B12" i="1"/>
  <c r="F5" i="1" l="1" a="1"/>
  <c r="F5" i="1" s="1"/>
  <c r="F6" i="1" a="1"/>
  <c r="F6" i="1" s="1"/>
  <c r="F8" i="1" a="1"/>
  <c r="F8" i="1" s="1"/>
  <c r="F9" i="1" a="1"/>
  <c r="F9" i="1" s="1"/>
  <c r="F11" i="1" a="1"/>
  <c r="F11" i="1" s="1"/>
  <c r="F3" i="1" a="1"/>
  <c r="G3" i="1" s="1"/>
  <c r="H11" i="1" l="1"/>
  <c r="H8" i="1"/>
  <c r="H5" i="1"/>
  <c r="G11" i="1"/>
  <c r="G9" i="1"/>
  <c r="G8" i="1"/>
  <c r="G6" i="1"/>
  <c r="G5" i="1"/>
  <c r="H9" i="1"/>
  <c r="H6" i="1"/>
  <c r="F3" i="1"/>
  <c r="H3" i="1"/>
  <c r="K7" i="1" l="1" a="1"/>
  <c r="L7" i="1" s="1"/>
  <c r="K10" i="1" a="1"/>
  <c r="L10" i="1" s="1"/>
  <c r="K4" i="1" a="1"/>
  <c r="F20" i="1" l="1"/>
  <c r="K7" i="1"/>
  <c r="M7" i="1"/>
  <c r="K10" i="1"/>
  <c r="K11" i="1" s="1" a="1"/>
  <c r="L11" i="1" s="1"/>
  <c r="M10" i="1"/>
  <c r="K4" i="1"/>
  <c r="L4" i="1"/>
  <c r="M4" i="1"/>
  <c r="K13" i="1" l="1" a="1"/>
  <c r="K5" i="1" a="1"/>
  <c r="M5" i="1" s="1"/>
  <c r="K8" i="1" a="1"/>
  <c r="L8" i="1" s="1"/>
  <c r="L9" i="1"/>
  <c r="K9" i="1"/>
  <c r="K11" i="1"/>
  <c r="M9" i="1"/>
  <c r="M11" i="1"/>
  <c r="K6" i="1"/>
  <c r="G20" i="1"/>
  <c r="M6" i="1"/>
  <c r="L6" i="1"/>
  <c r="M3" i="1"/>
  <c r="G19" i="1"/>
  <c r="L3" i="1"/>
  <c r="L5" i="1"/>
  <c r="B22" i="1"/>
  <c r="K3" i="1"/>
  <c r="K5" i="1"/>
  <c r="F18" i="1"/>
  <c r="N7" i="1"/>
  <c r="G18" i="1"/>
  <c r="N10" i="1"/>
  <c r="F19" i="1"/>
  <c r="N4" i="1"/>
  <c r="K13" i="1" l="1"/>
  <c r="M13" i="1"/>
  <c r="L13" i="1"/>
  <c r="K8" i="1"/>
  <c r="M8" i="1"/>
  <c r="K20" i="1" a="1"/>
  <c r="M20" i="1" s="1"/>
  <c r="K19" i="1" a="1"/>
  <c r="M19" i="1" s="1"/>
  <c r="K18" i="1" a="1"/>
  <c r="R18" i="1" l="1" a="1"/>
  <c r="R18" i="1" s="1"/>
  <c r="L19" i="1"/>
  <c r="L20" i="1"/>
  <c r="K19" i="1"/>
  <c r="K20" i="1"/>
  <c r="R20" i="1" l="1"/>
  <c r="R19" i="1"/>
  <c r="S18" i="1" a="1"/>
  <c r="R22" i="1"/>
  <c r="N19" i="1"/>
  <c r="N20" i="1"/>
  <c r="H20" i="1"/>
  <c r="H18" i="1"/>
  <c r="H19" i="1"/>
  <c r="L18" i="1"/>
  <c r="M18" i="1"/>
  <c r="K18" i="1"/>
  <c r="S20" i="1" l="1"/>
  <c r="S18" i="1"/>
  <c r="S19" i="1"/>
  <c r="K23" i="1" a="1"/>
  <c r="K23" i="1" s="1"/>
  <c r="K24" i="1" s="1"/>
  <c r="N18" i="1"/>
  <c r="L23" i="1" l="1"/>
  <c r="L24" i="1" s="1"/>
  <c r="M23" i="1"/>
  <c r="M24" i="1" s="1"/>
</calcChain>
</file>

<file path=xl/sharedStrings.xml><?xml version="1.0" encoding="utf-8"?>
<sst xmlns="http://schemas.openxmlformats.org/spreadsheetml/2006/main" count="90" uniqueCount="30">
  <si>
    <t>ST</t>
  </si>
  <si>
    <t>SK</t>
  </si>
  <si>
    <t>BS</t>
  </si>
  <si>
    <t>AS</t>
  </si>
  <si>
    <t>PR</t>
  </si>
  <si>
    <t>LR</t>
  </si>
  <si>
    <t>dI</t>
  </si>
  <si>
    <t>dA</t>
  </si>
  <si>
    <t>dK</t>
  </si>
  <si>
    <t>#</t>
  </si>
  <si>
    <t>I</t>
  </si>
  <si>
    <t>A</t>
  </si>
  <si>
    <t>K</t>
  </si>
  <si>
    <t>oA</t>
  </si>
  <si>
    <t>oI</t>
  </si>
  <si>
    <t>oK</t>
  </si>
  <si>
    <t>Off</t>
  </si>
  <si>
    <t>EV</t>
  </si>
  <si>
    <t>Sch</t>
  </si>
  <si>
    <t>Quotienten</t>
  </si>
  <si>
    <t>Deff</t>
  </si>
  <si>
    <t>Einheit</t>
  </si>
  <si>
    <t>Gruppe</t>
  </si>
  <si>
    <t>k0</t>
  </si>
  <si>
    <t>x</t>
  </si>
  <si>
    <t>Df</t>
  </si>
  <si>
    <t>rA</t>
  </si>
  <si>
    <t>Poff</t>
  </si>
  <si>
    <t>Pdef</t>
  </si>
  <si>
    <t>Poff+Pdef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</si>
</sst>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64" formatCode="0.0000"/>
    <numFmt numFmtId="165" formatCode="0.0%"/>
    <numFmt numFmtId="166" formatCode="#,##0.0"/>
    <numFmt numFmtId="167" formatCode="0.00000"/>
  </numFmts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8"/>
      <name val="Arial"/>
      <family val="2"/>
    </font>
    <font>
      <sz val="10"/>
      <color rgb="FFC00000"/>
      <name val="Arial"/>
      <family val="2"/>
    </font>
    <font>
      <sz val="10"/>
      <color rgb="FF0070C0"/>
      <name val="Arial"/>
      <family val="2"/>
    </font>
    <font>
      <sz val="8"/>
      <color theme="1"/>
      <name val="Arial"/>
      <family val="2"/>
    </font>
    <font>
      <sz val="10"/>
      <color theme="5"/>
      <name val="Arial"/>
      <family val="2"/>
    </font>
    <font>
      <sz val="10"/>
      <color rgb="FFFF0000"/>
      <name val="Arial"/>
      <family val="2"/>
    </font>
    <font>
      <b/>
      <i/>
      <sz val="10"/>
      <color theme="8"/>
      <name val="Arial"/>
      <family val="2"/>
    </font>
    <font>
      <b/>
      <i/>
      <sz val="10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9" xfId="0" applyFont="1" applyBorder="1"/>
    <xf numFmtId="3" fontId="0" fillId="0" borderId="10" xfId="0" applyNumberFormat="1" applyBorder="1"/>
    <xf numFmtId="3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2" fontId="0" fillId="0" borderId="0" xfId="0" applyNumberFormat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3" fontId="0" fillId="0" borderId="18" xfId="0" applyNumberFormat="1" applyBorder="1"/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3" fontId="1" fillId="0" borderId="21" xfId="0" applyNumberFormat="1" applyFont="1" applyBorder="1" applyAlignment="1">
      <alignment horizontal="center" vertical="center" wrapText="1"/>
    </xf>
    <xf numFmtId="3" fontId="1" fillId="0" borderId="17" xfId="0" applyNumberFormat="1" applyFont="1" applyBorder="1" applyAlignment="1">
      <alignment horizontal="center" vertical="center" wrapText="1"/>
    </xf>
    <xf numFmtId="3" fontId="1" fillId="0" borderId="2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3" fontId="0" fillId="0" borderId="5" xfId="0" applyNumberFormat="1" applyBorder="1"/>
    <xf numFmtId="0" fontId="0" fillId="0" borderId="0" xfId="0" applyAlignment="1">
      <alignment vertical="center"/>
    </xf>
    <xf numFmtId="0" fontId="0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Font="1" applyBorder="1"/>
    <xf numFmtId="2" fontId="1" fillId="0" borderId="0" xfId="0" applyNumberFormat="1" applyFont="1"/>
    <xf numFmtId="3" fontId="1" fillId="0" borderId="0" xfId="0" applyNumberFormat="1" applyFont="1"/>
    <xf numFmtId="0" fontId="3" fillId="0" borderId="16" xfId="0" applyFont="1" applyBorder="1"/>
    <xf numFmtId="3" fontId="1" fillId="0" borderId="25" xfId="0" applyNumberFormat="1" applyFont="1" applyBorder="1" applyAlignment="1">
      <alignment horizontal="center" vertical="center" wrapText="1"/>
    </xf>
    <xf numFmtId="3" fontId="0" fillId="0" borderId="4" xfId="0" applyNumberFormat="1" applyBorder="1"/>
    <xf numFmtId="3" fontId="0" fillId="0" borderId="26" xfId="0" applyNumberFormat="1" applyBorder="1"/>
    <xf numFmtId="3" fontId="0" fillId="0" borderId="27" xfId="0" applyNumberFormat="1" applyBorder="1"/>
    <xf numFmtId="3" fontId="0" fillId="2" borderId="3" xfId="0" applyNumberFormat="1" applyFont="1" applyFill="1" applyBorder="1"/>
    <xf numFmtId="3" fontId="0" fillId="3" borderId="9" xfId="0" applyNumberFormat="1" applyFont="1" applyFill="1" applyBorder="1"/>
    <xf numFmtId="3" fontId="0" fillId="3" borderId="3" xfId="0" applyNumberFormat="1" applyFont="1" applyFill="1" applyBorder="1"/>
    <xf numFmtId="3" fontId="1" fillId="0" borderId="5" xfId="0" applyNumberFormat="1" applyFont="1" applyBorder="1"/>
    <xf numFmtId="3" fontId="0" fillId="0" borderId="8" xfId="0" applyNumberFormat="1" applyFont="1" applyBorder="1" applyAlignment="1">
      <alignment horizontal="center"/>
    </xf>
    <xf numFmtId="3" fontId="0" fillId="0" borderId="10" xfId="0" applyNumberFormat="1" applyFont="1" applyBorder="1"/>
    <xf numFmtId="3" fontId="0" fillId="0" borderId="11" xfId="0" applyNumberFormat="1" applyFont="1" applyBorder="1"/>
    <xf numFmtId="3" fontId="0" fillId="0" borderId="5" xfId="0" applyNumberFormat="1" applyFont="1" applyBorder="1"/>
    <xf numFmtId="3" fontId="0" fillId="0" borderId="18" xfId="0" applyNumberFormat="1" applyFont="1" applyBorder="1"/>
    <xf numFmtId="3" fontId="0" fillId="2" borderId="9" xfId="0" applyNumberFormat="1" applyFont="1" applyFill="1" applyBorder="1"/>
    <xf numFmtId="165" fontId="0" fillId="0" borderId="0" xfId="0" applyNumberFormat="1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3" fontId="0" fillId="0" borderId="0" xfId="0" applyNumberFormat="1" applyBorder="1"/>
    <xf numFmtId="3" fontId="0" fillId="0" borderId="0" xfId="0" applyNumberFormat="1" applyFont="1" applyBorder="1"/>
    <xf numFmtId="2" fontId="0" fillId="0" borderId="0" xfId="0" applyNumberFormat="1" applyFont="1" applyBorder="1"/>
    <xf numFmtId="3" fontId="0" fillId="0" borderId="9" xfId="0" applyNumberFormat="1" applyFont="1" applyFill="1" applyBorder="1"/>
    <xf numFmtId="3" fontId="0" fillId="0" borderId="3" xfId="0" applyNumberFormat="1" applyFont="1" applyFill="1" applyBorder="1"/>
    <xf numFmtId="0" fontId="1" fillId="0" borderId="2" xfId="0" applyFont="1" applyBorder="1" applyAlignment="1">
      <alignment horizontal="center" vertical="center" wrapText="1"/>
    </xf>
    <xf numFmtId="1" fontId="0" fillId="0" borderId="0" xfId="0" applyNumberFormat="1" applyFont="1" applyBorder="1"/>
    <xf numFmtId="3" fontId="1" fillId="0" borderId="28" xfId="0" applyNumberFormat="1" applyFont="1" applyBorder="1" applyAlignment="1">
      <alignment horizontal="center" vertical="center" wrapText="1"/>
    </xf>
    <xf numFmtId="3" fontId="0" fillId="0" borderId="29" xfId="0" applyNumberFormat="1" applyBorder="1"/>
    <xf numFmtId="0" fontId="3" fillId="0" borderId="30" xfId="0" applyFont="1" applyBorder="1"/>
    <xf numFmtId="3" fontId="0" fillId="0" borderId="31" xfId="0" applyNumberFormat="1" applyBorder="1"/>
    <xf numFmtId="3" fontId="0" fillId="0" borderId="32" xfId="0" applyNumberFormat="1" applyBorder="1"/>
    <xf numFmtId="0" fontId="5" fillId="0" borderId="18" xfId="0" applyFont="1" applyBorder="1" applyAlignment="1"/>
    <xf numFmtId="0" fontId="4" fillId="0" borderId="20" xfId="0" applyFont="1" applyBorder="1" applyAlignment="1"/>
    <xf numFmtId="0" fontId="0" fillId="0" borderId="19" xfId="0" applyBorder="1" applyAlignment="1"/>
    <xf numFmtId="0" fontId="3" fillId="0" borderId="8" xfId="0" applyFont="1" applyBorder="1" applyAlignment="1"/>
    <xf numFmtId="0" fontId="3" fillId="0" borderId="3" xfId="0" applyFont="1" applyBorder="1" applyAlignment="1"/>
    <xf numFmtId="0" fontId="3" fillId="0" borderId="9" xfId="0" applyFont="1" applyBorder="1" applyAlignment="1"/>
    <xf numFmtId="0" fontId="5" fillId="0" borderId="10" xfId="0" applyFont="1" applyBorder="1" applyAlignment="1"/>
    <xf numFmtId="0" fontId="4" fillId="0" borderId="11" xfId="0" applyFont="1" applyBorder="1" applyAlignment="1"/>
    <xf numFmtId="0" fontId="0" fillId="0" borderId="12" xfId="0" applyBorder="1" applyAlignment="1"/>
    <xf numFmtId="0" fontId="0" fillId="0" borderId="5" xfId="0" applyBorder="1" applyAlignment="1"/>
    <xf numFmtId="0" fontId="5" fillId="0" borderId="6" xfId="0" applyFont="1" applyBorder="1" applyAlignment="1"/>
    <xf numFmtId="0" fontId="4" fillId="0" borderId="7" xfId="0" applyFont="1" applyBorder="1" applyAlignment="1"/>
    <xf numFmtId="0" fontId="0" fillId="0" borderId="10" xfId="0" applyBorder="1" applyAlignment="1"/>
    <xf numFmtId="0" fontId="5" fillId="0" borderId="11" xfId="0" applyFont="1" applyBorder="1" applyAlignment="1"/>
    <xf numFmtId="0" fontId="4" fillId="0" borderId="12" xfId="0" applyFont="1" applyBorder="1" applyAlignment="1"/>
    <xf numFmtId="0" fontId="4" fillId="0" borderId="18" xfId="0" applyFont="1" applyBorder="1" applyAlignment="1"/>
    <xf numFmtId="0" fontId="0" fillId="0" borderId="20" xfId="0" applyBorder="1" applyAlignment="1"/>
    <xf numFmtId="0" fontId="5" fillId="0" borderId="19" xfId="0" applyFont="1" applyBorder="1" applyAlignment="1"/>
    <xf numFmtId="0" fontId="4" fillId="0" borderId="10" xfId="0" applyFont="1" applyBorder="1" applyAlignment="1"/>
    <xf numFmtId="0" fontId="0" fillId="0" borderId="11" xfId="0" applyBorder="1" applyAlignment="1"/>
    <xf numFmtId="0" fontId="5" fillId="0" borderId="12" xfId="0" applyFont="1" applyBorder="1" applyAlignment="1"/>
    <xf numFmtId="0" fontId="0" fillId="0" borderId="14" xfId="0" applyFont="1" applyBorder="1" applyAlignment="1">
      <alignment horizontal="center" vertical="center" wrapText="1"/>
    </xf>
    <xf numFmtId="2" fontId="0" fillId="0" borderId="5" xfId="0" applyNumberFormat="1" applyFont="1" applyBorder="1"/>
    <xf numFmtId="2" fontId="0" fillId="0" borderId="27" xfId="0" applyNumberFormat="1" applyFont="1" applyBorder="1"/>
    <xf numFmtId="2" fontId="0" fillId="0" borderId="10" xfId="0" applyNumberFormat="1" applyFont="1" applyBorder="1"/>
    <xf numFmtId="2" fontId="0" fillId="0" borderId="26" xfId="0" applyNumberFormat="1" applyFont="1" applyBorder="1"/>
    <xf numFmtId="3" fontId="0" fillId="0" borderId="10" xfId="0" applyNumberFormat="1" applyFont="1" applyBorder="1" applyAlignment="1">
      <alignment horizontal="center"/>
    </xf>
    <xf numFmtId="3" fontId="7" fillId="0" borderId="11" xfId="0" applyNumberFormat="1" applyFont="1" applyBorder="1"/>
    <xf numFmtId="3" fontId="7" fillId="0" borderId="12" xfId="0" applyNumberFormat="1" applyFont="1" applyBorder="1"/>
    <xf numFmtId="165" fontId="7" fillId="0" borderId="6" xfId="0" applyNumberFormat="1" applyFont="1" applyBorder="1"/>
    <xf numFmtId="165" fontId="7" fillId="0" borderId="7" xfId="0" applyNumberFormat="1" applyFont="1" applyBorder="1"/>
    <xf numFmtId="1" fontId="0" fillId="0" borderId="33" xfId="0" applyNumberFormat="1" applyBorder="1"/>
    <xf numFmtId="1" fontId="0" fillId="0" borderId="34" xfId="0" applyNumberFormat="1" applyBorder="1"/>
    <xf numFmtId="1" fontId="0" fillId="0" borderId="0" xfId="0" applyNumberFormat="1"/>
    <xf numFmtId="2" fontId="0" fillId="0" borderId="18" xfId="0" applyNumberFormat="1" applyFont="1" applyBorder="1"/>
    <xf numFmtId="2" fontId="0" fillId="0" borderId="4" xfId="0" applyNumberFormat="1" applyFont="1" applyBorder="1"/>
    <xf numFmtId="2" fontId="0" fillId="0" borderId="5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" fontId="0" fillId="0" borderId="36" xfId="0" applyNumberFormat="1" applyBorder="1"/>
    <xf numFmtId="3" fontId="0" fillId="0" borderId="7" xfId="0" applyNumberFormat="1" applyFont="1" applyBorder="1"/>
    <xf numFmtId="3" fontId="0" fillId="0" borderId="19" xfId="0" applyNumberFormat="1" applyFont="1" applyBorder="1"/>
    <xf numFmtId="3" fontId="0" fillId="0" borderId="12" xfId="0" applyNumberFormat="1" applyFont="1" applyBorder="1"/>
    <xf numFmtId="0" fontId="5" fillId="0" borderId="18" xfId="0" applyNumberFormat="1" applyFont="1" applyFill="1" applyBorder="1" applyAlignment="1"/>
    <xf numFmtId="0" fontId="6" fillId="0" borderId="20" xfId="0" applyNumberFormat="1" applyFont="1" applyBorder="1" applyAlignment="1"/>
    <xf numFmtId="0" fontId="0" fillId="0" borderId="19" xfId="0" applyNumberFormat="1" applyFont="1" applyFill="1" applyBorder="1" applyAlignment="1"/>
    <xf numFmtId="0" fontId="0" fillId="0" borderId="10" xfId="0" applyNumberFormat="1" applyFont="1" applyBorder="1" applyAlignment="1"/>
    <xf numFmtId="0" fontId="5" fillId="0" borderId="11" xfId="0" applyNumberFormat="1" applyFont="1" applyFill="1" applyBorder="1" applyAlignment="1"/>
    <xf numFmtId="0" fontId="6" fillId="0" borderId="12" xfId="0" applyNumberFormat="1" applyFont="1" applyFill="1" applyBorder="1" applyAlignment="1"/>
    <xf numFmtId="3" fontId="0" fillId="0" borderId="18" xfId="0" applyNumberFormat="1" applyFont="1" applyBorder="1" applyAlignment="1">
      <alignment horizontal="center"/>
    </xf>
    <xf numFmtId="3" fontId="0" fillId="2" borderId="20" xfId="0" applyNumberFormat="1" applyFont="1" applyFill="1" applyBorder="1"/>
    <xf numFmtId="3" fontId="0" fillId="3" borderId="20" xfId="0" applyNumberFormat="1" applyFont="1" applyFill="1" applyBorder="1"/>
    <xf numFmtId="3" fontId="0" fillId="0" borderId="5" xfId="0" applyNumberFormat="1" applyFont="1" applyBorder="1" applyAlignment="1">
      <alignment horizontal="center"/>
    </xf>
    <xf numFmtId="3" fontId="0" fillId="3" borderId="6" xfId="0" applyNumberFormat="1" applyFont="1" applyFill="1" applyBorder="1"/>
    <xf numFmtId="3" fontId="0" fillId="0" borderId="6" xfId="0" applyNumberFormat="1" applyFont="1" applyBorder="1"/>
    <xf numFmtId="3" fontId="0" fillId="2" borderId="7" xfId="0" applyNumberFormat="1" applyFont="1" applyFill="1" applyBorder="1"/>
    <xf numFmtId="3" fontId="0" fillId="2" borderId="11" xfId="0" applyNumberFormat="1" applyFont="1" applyFill="1" applyBorder="1"/>
    <xf numFmtId="3" fontId="0" fillId="3" borderId="12" xfId="0" applyNumberFormat="1" applyFont="1" applyFill="1" applyBorder="1"/>
    <xf numFmtId="0" fontId="4" fillId="0" borderId="5" xfId="0" applyNumberFormat="1" applyFont="1" applyFill="1" applyBorder="1" applyAlignment="1"/>
    <xf numFmtId="0" fontId="12" fillId="0" borderId="6" xfId="0" applyNumberFormat="1" applyFont="1" applyBorder="1" applyAlignment="1"/>
    <xf numFmtId="0" fontId="5" fillId="0" borderId="7" xfId="0" applyNumberFormat="1" applyFont="1" applyFill="1" applyBorder="1" applyAlignment="1"/>
    <xf numFmtId="167" fontId="6" fillId="0" borderId="5" xfId="0" applyNumberFormat="1" applyFont="1" applyBorder="1" applyAlignment="1"/>
    <xf numFmtId="167" fontId="0" fillId="0" borderId="6" xfId="0" applyNumberFormat="1" applyFont="1" applyFill="1" applyBorder="1" applyAlignment="1"/>
    <xf numFmtId="167" fontId="5" fillId="0" borderId="7" xfId="0" applyNumberFormat="1" applyFont="1" applyFill="1" applyBorder="1" applyAlignment="1"/>
    <xf numFmtId="167" fontId="5" fillId="0" borderId="18" xfId="0" applyNumberFormat="1" applyFont="1" applyFill="1" applyBorder="1" applyAlignment="1"/>
    <xf numFmtId="167" fontId="6" fillId="0" borderId="20" xfId="0" applyNumberFormat="1" applyFont="1" applyBorder="1" applyAlignment="1"/>
    <xf numFmtId="167" fontId="0" fillId="0" borderId="19" xfId="0" applyNumberFormat="1" applyFont="1" applyFill="1" applyBorder="1" applyAlignment="1"/>
    <xf numFmtId="167" fontId="0" fillId="0" borderId="10" xfId="0" applyNumberFormat="1" applyFont="1" applyBorder="1" applyAlignment="1"/>
    <xf numFmtId="167" fontId="5" fillId="0" borderId="11" xfId="0" applyNumberFormat="1" applyFont="1" applyFill="1" applyBorder="1" applyAlignment="1"/>
    <xf numFmtId="167" fontId="6" fillId="0" borderId="12" xfId="0" applyNumberFormat="1" applyFont="1" applyFill="1" applyBorder="1" applyAlignment="1"/>
    <xf numFmtId="0" fontId="5" fillId="0" borderId="5" xfId="0" applyFont="1" applyBorder="1" applyAlignment="1"/>
    <xf numFmtId="0" fontId="4" fillId="0" borderId="6" xfId="0" applyFont="1" applyBorder="1" applyAlignment="1"/>
    <xf numFmtId="0" fontId="0" fillId="0" borderId="7" xfId="0" applyBorder="1" applyAlignment="1"/>
    <xf numFmtId="0" fontId="5" fillId="0" borderId="8" xfId="0" applyFont="1" applyBorder="1" applyAlignment="1"/>
    <xf numFmtId="0" fontId="4" fillId="0" borderId="3" xfId="0" applyFont="1" applyBorder="1" applyAlignment="1"/>
    <xf numFmtId="0" fontId="0" fillId="0" borderId="9" xfId="0" applyBorder="1" applyAlignment="1"/>
    <xf numFmtId="0" fontId="0" fillId="0" borderId="8" xfId="0" applyBorder="1" applyAlignment="1"/>
    <xf numFmtId="0" fontId="5" fillId="0" borderId="3" xfId="0" applyFont="1" applyBorder="1" applyAlignment="1"/>
    <xf numFmtId="0" fontId="4" fillId="0" borderId="9" xfId="0" applyFont="1" applyBorder="1" applyAlignment="1"/>
    <xf numFmtId="0" fontId="4" fillId="0" borderId="8" xfId="0" applyFont="1" applyBorder="1" applyAlignment="1"/>
    <xf numFmtId="0" fontId="0" fillId="0" borderId="3" xfId="0" applyBorder="1" applyAlignment="1"/>
    <xf numFmtId="0" fontId="5" fillId="0" borderId="9" xfId="0" applyFont="1" applyBorder="1" applyAlignment="1"/>
    <xf numFmtId="41" fontId="0" fillId="0" borderId="19" xfId="0" applyNumberFormat="1" applyBorder="1"/>
    <xf numFmtId="41" fontId="0" fillId="0" borderId="12" xfId="0" applyNumberFormat="1" applyBorder="1"/>
    <xf numFmtId="41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1" fontId="10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37" fontId="10" fillId="0" borderId="0" xfId="0" applyNumberFormat="1" applyFont="1" applyAlignment="1">
      <alignment vertical="center"/>
    </xf>
    <xf numFmtId="0" fontId="0" fillId="0" borderId="5" xfId="0" applyFont="1" applyBorder="1" applyAlignment="1">
      <alignment horizontal="center" vertical="center"/>
    </xf>
    <xf numFmtId="43" fontId="0" fillId="0" borderId="6" xfId="0" applyNumberFormat="1" applyBorder="1" applyAlignment="1">
      <alignment vertical="center"/>
    </xf>
    <xf numFmtId="43" fontId="0" fillId="0" borderId="7" xfId="0" applyNumberFormat="1" applyBorder="1" applyAlignment="1">
      <alignment vertical="center"/>
    </xf>
    <xf numFmtId="166" fontId="8" fillId="0" borderId="0" xfId="0" applyNumberFormat="1" applyFont="1" applyAlignment="1">
      <alignment vertical="center"/>
    </xf>
    <xf numFmtId="166" fontId="11" fillId="0" borderId="0" xfId="0" applyNumberFormat="1" applyFont="1" applyAlignment="1">
      <alignment vertical="center"/>
    </xf>
    <xf numFmtId="10" fontId="9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8" xfId="0" applyFont="1" applyBorder="1" applyAlignment="1">
      <alignment horizontal="center" vertical="center"/>
    </xf>
    <xf numFmtId="43" fontId="0" fillId="0" borderId="3" xfId="0" applyNumberFormat="1" applyBorder="1" applyAlignment="1">
      <alignment vertical="center"/>
    </xf>
    <xf numFmtId="43" fontId="0" fillId="0" borderId="9" xfId="0" applyNumberForma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3" fontId="0" fillId="0" borderId="11" xfId="0" applyNumberFormat="1" applyBorder="1" applyAlignment="1">
      <alignment vertical="center"/>
    </xf>
    <xf numFmtId="43" fontId="0" fillId="0" borderId="12" xfId="0" applyNumberForma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165" fontId="7" fillId="0" borderId="0" xfId="0" applyNumberFormat="1" applyFont="1" applyAlignment="1">
      <alignment vertical="center"/>
    </xf>
    <xf numFmtId="43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workbookViewId="0">
      <selection activeCell="F33" sqref="F33"/>
    </sheetView>
  </sheetViews>
  <sheetFormatPr baseColWidth="10" defaultRowHeight="12.75" x14ac:dyDescent="0.2"/>
  <cols>
    <col min="1" max="1" width="6.42578125" style="1" customWidth="1"/>
    <col min="2" max="2" width="7.85546875" bestFit="1" customWidth="1"/>
    <col min="3" max="5" width="5.5703125" customWidth="1"/>
    <col min="6" max="8" width="8.42578125" style="8" customWidth="1"/>
    <col min="9" max="9" width="8.5703125" customWidth="1"/>
    <col min="10" max="10" width="8.7109375" style="1" customWidth="1"/>
    <col min="11" max="13" width="8.7109375" customWidth="1"/>
    <col min="14" max="14" width="9.7109375" customWidth="1"/>
    <col min="15" max="15" width="9.140625" bestFit="1" customWidth="1"/>
    <col min="16" max="16" width="8.7109375" bestFit="1" customWidth="1"/>
    <col min="17" max="17" width="8.7109375" customWidth="1"/>
    <col min="18" max="19" width="8" customWidth="1"/>
  </cols>
  <sheetData>
    <row r="1" spans="1:14" s="27" customFormat="1" ht="16.5" customHeight="1" x14ac:dyDescent="0.2">
      <c r="A1" s="179" t="s">
        <v>20</v>
      </c>
      <c r="B1" s="180"/>
      <c r="C1" s="179" t="s">
        <v>21</v>
      </c>
      <c r="D1" s="181"/>
      <c r="E1" s="180"/>
      <c r="F1" s="179" t="s">
        <v>22</v>
      </c>
      <c r="G1" s="181"/>
      <c r="H1" s="180"/>
      <c r="J1" s="179" t="s">
        <v>20</v>
      </c>
      <c r="K1" s="181"/>
      <c r="L1" s="181"/>
      <c r="M1" s="180"/>
    </row>
    <row r="2" spans="1:14" s="10" customFormat="1" ht="37.5" customHeight="1" x14ac:dyDescent="0.2">
      <c r="A2" s="28"/>
      <c r="B2" s="20" t="s">
        <v>9</v>
      </c>
      <c r="C2" s="19" t="s">
        <v>6</v>
      </c>
      <c r="D2" s="21" t="s">
        <v>7</v>
      </c>
      <c r="E2" s="20" t="s">
        <v>8</v>
      </c>
      <c r="F2" s="22" t="s">
        <v>6</v>
      </c>
      <c r="G2" s="62" t="s">
        <v>7</v>
      </c>
      <c r="H2" s="35" t="s">
        <v>8</v>
      </c>
      <c r="J2" s="22"/>
      <c r="K2" s="23" t="s">
        <v>6</v>
      </c>
      <c r="L2" s="23" t="s">
        <v>7</v>
      </c>
      <c r="M2" s="24" t="s">
        <v>8</v>
      </c>
    </row>
    <row r="3" spans="1:14" x14ac:dyDescent="0.2">
      <c r="A3" s="17" t="s">
        <v>0</v>
      </c>
      <c r="B3" s="149">
        <f>'L+K'!B2</f>
        <v>0</v>
      </c>
      <c r="C3" s="67">
        <f t="array" ref="C3:E3">konst!B8:D8</f>
        <v>69</v>
      </c>
      <c r="D3" s="68">
        <v>44</v>
      </c>
      <c r="E3" s="69">
        <v>130</v>
      </c>
      <c r="F3" s="18">
        <f t="array" ref="F3:H3">$B3*C3:E3</f>
        <v>0</v>
      </c>
      <c r="G3" s="63">
        <v>0</v>
      </c>
      <c r="H3" s="36">
        <v>0</v>
      </c>
      <c r="J3" s="42"/>
      <c r="K3" s="96">
        <f>K4/SUM($K4:$M4)</f>
        <v>0.33532934131736525</v>
      </c>
      <c r="L3" s="96">
        <f t="shared" ref="L3:M3" si="0">L4/SUM($K4:$M4)</f>
        <v>0.16766467065868262</v>
      </c>
      <c r="M3" s="97">
        <f t="shared" si="0"/>
        <v>0.49700598802395207</v>
      </c>
    </row>
    <row r="4" spans="1:14" s="4" customFormat="1" x14ac:dyDescent="0.2">
      <c r="A4" s="29"/>
      <c r="B4" s="6"/>
      <c r="C4" s="70"/>
      <c r="D4" s="71"/>
      <c r="E4" s="72"/>
      <c r="F4" s="34"/>
      <c r="G4" s="64"/>
      <c r="H4" s="5"/>
      <c r="J4" s="43" t="s">
        <v>10</v>
      </c>
      <c r="K4" s="39">
        <f t="array" ref="K4:M4">F3:H3+F5:H5</f>
        <v>16632</v>
      </c>
      <c r="L4" s="41">
        <v>8316</v>
      </c>
      <c r="M4" s="58">
        <v>24651</v>
      </c>
      <c r="N4" s="33">
        <f>SUM(K4:M4)</f>
        <v>49599</v>
      </c>
    </row>
    <row r="5" spans="1:14" x14ac:dyDescent="0.2">
      <c r="A5" s="16" t="s">
        <v>1</v>
      </c>
      <c r="B5" s="150">
        <f>'L+K'!C2</f>
        <v>297</v>
      </c>
      <c r="C5" s="73">
        <f t="array" ref="C5:E5">konst!B9:D9</f>
        <v>56</v>
      </c>
      <c r="D5" s="74">
        <v>28</v>
      </c>
      <c r="E5" s="75">
        <v>83</v>
      </c>
      <c r="F5" s="7">
        <f t="array" ref="F5:H5">$B5*C5:E5</f>
        <v>16632</v>
      </c>
      <c r="G5" s="65">
        <v>8316</v>
      </c>
      <c r="H5" s="37">
        <v>24651</v>
      </c>
      <c r="J5" s="44"/>
      <c r="K5" s="94">
        <f t="array" ref="K5:M5">K4:M4/C19:E19</f>
        <v>252</v>
      </c>
      <c r="L5" s="94">
        <v>378</v>
      </c>
      <c r="M5" s="95">
        <v>2241</v>
      </c>
      <c r="N5" s="33"/>
    </row>
    <row r="6" spans="1:14" x14ac:dyDescent="0.2">
      <c r="A6" s="25" t="s">
        <v>2</v>
      </c>
      <c r="B6" s="151">
        <f>'L+K'!D2</f>
        <v>419</v>
      </c>
      <c r="C6" s="76">
        <f t="array" ref="C6:E6">konst!B10:D10</f>
        <v>69</v>
      </c>
      <c r="D6" s="77">
        <v>32</v>
      </c>
      <c r="E6" s="78">
        <v>23</v>
      </c>
      <c r="F6" s="26">
        <f t="array" ref="F6:H6">$B6*C6:E6</f>
        <v>28911</v>
      </c>
      <c r="G6" s="66">
        <v>13408</v>
      </c>
      <c r="H6" s="38">
        <v>9637</v>
      </c>
      <c r="J6" s="46"/>
      <c r="K6" s="96">
        <f>K7/SUM($K7:$M7)</f>
        <v>0.5217412542436356</v>
      </c>
      <c r="L6" s="96">
        <f t="shared" ref="L6" si="1">L7/SUM($K7:$M7)</f>
        <v>0.29722138548086396</v>
      </c>
      <c r="M6" s="97">
        <f t="shared" ref="M6" si="2">M7/SUM($K7:$M7)</f>
        <v>0.18103736027550049</v>
      </c>
      <c r="N6" s="33"/>
    </row>
    <row r="7" spans="1:14" s="4" customFormat="1" x14ac:dyDescent="0.2">
      <c r="A7" s="29"/>
      <c r="B7" s="6"/>
      <c r="C7" s="70"/>
      <c r="D7" s="71"/>
      <c r="E7" s="72"/>
      <c r="F7" s="34"/>
      <c r="G7" s="64"/>
      <c r="H7" s="5"/>
      <c r="J7" s="43" t="s">
        <v>11</v>
      </c>
      <c r="K7" s="59">
        <f t="array" ref="K7:M7">F6:H6+F8:H8</f>
        <v>64086</v>
      </c>
      <c r="L7" s="39">
        <v>36508</v>
      </c>
      <c r="M7" s="40">
        <v>22237</v>
      </c>
      <c r="N7" s="33">
        <f t="shared" ref="N7" si="3">SUM(K7:M7)</f>
        <v>122831</v>
      </c>
    </row>
    <row r="8" spans="1:14" x14ac:dyDescent="0.2">
      <c r="A8" s="16" t="s">
        <v>3</v>
      </c>
      <c r="B8" s="150">
        <f>'L+K'!E2</f>
        <v>175</v>
      </c>
      <c r="C8" s="79">
        <f t="array" ref="C8:E8">konst!B11:D11</f>
        <v>201</v>
      </c>
      <c r="D8" s="80">
        <v>132</v>
      </c>
      <c r="E8" s="81">
        <v>72</v>
      </c>
      <c r="F8" s="7">
        <f t="array" ref="F8:H8">$B8*C8:E8</f>
        <v>35175</v>
      </c>
      <c r="G8" s="65">
        <v>23100</v>
      </c>
      <c r="H8" s="37">
        <v>12600</v>
      </c>
      <c r="J8" s="44"/>
      <c r="K8" s="94">
        <f t="array" ref="K8:M8">K7:M7/C20:E20</f>
        <v>1780.1666666666667</v>
      </c>
      <c r="L8" s="94">
        <v>334.93577981651379</v>
      </c>
      <c r="M8" s="95">
        <v>352.96825396825398</v>
      </c>
      <c r="N8" s="33"/>
    </row>
    <row r="9" spans="1:14" x14ac:dyDescent="0.2">
      <c r="A9" s="17" t="s">
        <v>4</v>
      </c>
      <c r="B9" s="149">
        <f>'L+K'!F2</f>
        <v>440</v>
      </c>
      <c r="C9" s="82">
        <f t="array" ref="C9:E9">konst!B12:D12</f>
        <v>60</v>
      </c>
      <c r="D9" s="83">
        <v>132</v>
      </c>
      <c r="E9" s="84">
        <v>81</v>
      </c>
      <c r="F9" s="18">
        <f t="array" ref="F9:H9">$B9*C9:E9</f>
        <v>26400</v>
      </c>
      <c r="G9" s="63">
        <v>58080</v>
      </c>
      <c r="H9" s="36">
        <v>35640</v>
      </c>
      <c r="J9" s="47"/>
      <c r="K9" s="96">
        <f>K10/SUM($K10:$M10)</f>
        <v>0.21978021978021978</v>
      </c>
      <c r="L9" s="96">
        <f t="shared" ref="L9" si="4">L10/SUM($K10:$M10)</f>
        <v>0.48351648351648352</v>
      </c>
      <c r="M9" s="97">
        <f t="shared" ref="M9" si="5">M10/SUM($K10:$M10)</f>
        <v>0.2967032967032967</v>
      </c>
      <c r="N9" s="33"/>
    </row>
    <row r="10" spans="1:14" s="4" customFormat="1" x14ac:dyDescent="0.2">
      <c r="A10" s="29"/>
      <c r="B10" s="6"/>
      <c r="C10" s="70"/>
      <c r="D10" s="71"/>
      <c r="E10" s="72"/>
      <c r="F10" s="34"/>
      <c r="G10" s="64"/>
      <c r="H10" s="5"/>
      <c r="J10" s="43" t="s">
        <v>12</v>
      </c>
      <c r="K10" s="41">
        <f t="array" ref="K10:M10">F9:H9+F11:H11</f>
        <v>26400</v>
      </c>
      <c r="L10" s="59">
        <v>58080</v>
      </c>
      <c r="M10" s="48">
        <v>35640</v>
      </c>
      <c r="N10" s="33">
        <f t="shared" ref="N10" si="6">SUM(K10:M10)</f>
        <v>120120</v>
      </c>
    </row>
    <row r="11" spans="1:14" x14ac:dyDescent="0.2">
      <c r="A11" s="16" t="s">
        <v>5</v>
      </c>
      <c r="B11" s="150">
        <f>'L+K'!G2</f>
        <v>0</v>
      </c>
      <c r="C11" s="85">
        <f t="array" ref="C11:E11">konst!B13:D13</f>
        <v>28</v>
      </c>
      <c r="D11" s="86">
        <v>56</v>
      </c>
      <c r="E11" s="87">
        <v>35</v>
      </c>
      <c r="F11" s="7">
        <f t="array" ref="F11:H11">$B11*C11:E11</f>
        <v>0</v>
      </c>
      <c r="G11" s="65">
        <v>0</v>
      </c>
      <c r="H11" s="37">
        <v>0</v>
      </c>
      <c r="J11" s="44"/>
      <c r="K11" s="94">
        <f t="array" ref="K11:M11">K10:M10/C18:E18</f>
        <v>613.95348837209303</v>
      </c>
      <c r="L11" s="94">
        <v>2233.8461538461538</v>
      </c>
      <c r="M11" s="95">
        <v>565.71428571428567</v>
      </c>
    </row>
    <row r="12" spans="1:14" x14ac:dyDescent="0.2">
      <c r="A12" s="52"/>
      <c r="B12" s="50">
        <f>B3+B5+B6+B8+2*B9+2*B11</f>
        <v>1771</v>
      </c>
      <c r="C12" s="53"/>
      <c r="D12" s="50"/>
      <c r="E12" s="54"/>
      <c r="F12" s="55"/>
      <c r="G12" s="55"/>
      <c r="H12" s="55"/>
      <c r="J12" s="56"/>
      <c r="K12" s="56"/>
      <c r="L12" s="56"/>
      <c r="M12" s="56"/>
    </row>
    <row r="13" spans="1:14" s="3" customFormat="1" x14ac:dyDescent="0.2">
      <c r="A13" s="30"/>
      <c r="J13" s="33"/>
      <c r="K13" s="33">
        <f t="array" ref="K13:M13">K4:M4+K7:M7+K10:M10+{1000;1000;1000}</f>
        <v>108118</v>
      </c>
      <c r="L13" s="33">
        <v>103904</v>
      </c>
      <c r="M13" s="33">
        <v>83528</v>
      </c>
    </row>
    <row r="14" spans="1:14" x14ac:dyDescent="0.2">
      <c r="A14" s="9"/>
    </row>
    <row r="15" spans="1:14" x14ac:dyDescent="0.2">
      <c r="A15" s="9"/>
    </row>
    <row r="16" spans="1:14" s="27" customFormat="1" ht="16.5" customHeight="1" x14ac:dyDescent="0.2">
      <c r="A16" s="179" t="s">
        <v>16</v>
      </c>
      <c r="B16" s="180"/>
      <c r="C16" s="179" t="s">
        <v>21</v>
      </c>
      <c r="D16" s="181"/>
      <c r="E16" s="180"/>
      <c r="F16" s="179" t="s">
        <v>19</v>
      </c>
      <c r="G16" s="180"/>
      <c r="H16" s="8"/>
      <c r="I16"/>
      <c r="J16" s="179" t="s">
        <v>16</v>
      </c>
      <c r="K16" s="181"/>
      <c r="L16" s="181"/>
      <c r="M16" s="180"/>
    </row>
    <row r="17" spans="1:19" ht="37.5" customHeight="1" x14ac:dyDescent="0.2">
      <c r="A17" s="88"/>
      <c r="B17" s="14" t="s">
        <v>9</v>
      </c>
      <c r="C17" s="13" t="s">
        <v>14</v>
      </c>
      <c r="D17" s="11" t="s">
        <v>13</v>
      </c>
      <c r="E17" s="14" t="s">
        <v>15</v>
      </c>
      <c r="F17" s="13" t="s">
        <v>18</v>
      </c>
      <c r="G17" s="60" t="s">
        <v>17</v>
      </c>
      <c r="J17" s="22"/>
      <c r="K17" s="23" t="s">
        <v>14</v>
      </c>
      <c r="L17" s="23" t="s">
        <v>13</v>
      </c>
      <c r="M17" s="24" t="s">
        <v>15</v>
      </c>
      <c r="O17" s="19" t="s">
        <v>14</v>
      </c>
      <c r="P17" s="21" t="s">
        <v>13</v>
      </c>
      <c r="Q17" s="20" t="s">
        <v>15</v>
      </c>
      <c r="R17" s="104" t="s">
        <v>24</v>
      </c>
      <c r="S17" s="105" t="s">
        <v>26</v>
      </c>
    </row>
    <row r="18" spans="1:19" x14ac:dyDescent="0.2">
      <c r="A18" s="103" t="s">
        <v>1</v>
      </c>
      <c r="B18" s="107">
        <v>1040</v>
      </c>
      <c r="C18" s="125">
        <f t="array" ref="C18:E20">A</f>
        <v>43</v>
      </c>
      <c r="D18" s="126">
        <v>26</v>
      </c>
      <c r="E18" s="127">
        <v>63</v>
      </c>
      <c r="F18" s="89">
        <f>$M$10/$E$18</f>
        <v>565.71428571428567</v>
      </c>
      <c r="G18" s="90">
        <f>$K$10/$C$18</f>
        <v>613.95348837209303</v>
      </c>
      <c r="H18" s="49">
        <f>B18/SUM(B$19:B$21)</f>
        <v>0.58757062146892658</v>
      </c>
      <c r="J18" s="119" t="s">
        <v>1</v>
      </c>
      <c r="K18" s="120">
        <f t="array" ref="K18:M18">B18*(C18:E18)</f>
        <v>44720</v>
      </c>
      <c r="L18" s="121">
        <v>27040</v>
      </c>
      <c r="M18" s="122">
        <v>65520</v>
      </c>
      <c r="N18" s="33">
        <f t="shared" ref="N18" si="7">SUM(K18:M18)</f>
        <v>137280</v>
      </c>
      <c r="O18" s="128">
        <f t="array" ref="O18:Q20">MINVERSE(A)</f>
        <v>5.9638659884230828E-4</v>
      </c>
      <c r="P18" s="129">
        <v>1.6676500135542408E-2</v>
      </c>
      <c r="Q18" s="130">
        <v>-3.508156463778285E-3</v>
      </c>
      <c r="R18" s="98">
        <f t="array" ref="R18:R20">MMULT(Q,TRANSPOSE(K13:M13))</f>
        <v>1504.2059032705586</v>
      </c>
      <c r="S18" s="38">
        <f t="array" ref="S18:S20">MMULT(A,R18:R20)</f>
        <v>108118.00000000003</v>
      </c>
    </row>
    <row r="19" spans="1:19" x14ac:dyDescent="0.2">
      <c r="A19" s="17" t="s">
        <v>2</v>
      </c>
      <c r="B19" s="108"/>
      <c r="C19" s="110">
        <v>66</v>
      </c>
      <c r="D19" s="111">
        <v>22</v>
      </c>
      <c r="E19" s="112">
        <v>11</v>
      </c>
      <c r="F19" s="101">
        <f>$K$4/$C$19</f>
        <v>252</v>
      </c>
      <c r="G19" s="102">
        <f>$L$4/$D$19</f>
        <v>378</v>
      </c>
      <c r="H19" s="49">
        <f>B19/SUM(B$19:B$21)</f>
        <v>0</v>
      </c>
      <c r="J19" s="116" t="s">
        <v>2</v>
      </c>
      <c r="K19" s="117">
        <f t="array" ref="K19:M19">B19*(C19:E19)</f>
        <v>0</v>
      </c>
      <c r="L19" s="118">
        <v>0</v>
      </c>
      <c r="M19" s="108">
        <v>0</v>
      </c>
      <c r="N19" s="33">
        <f>SUM(K19:M19)</f>
        <v>0</v>
      </c>
      <c r="O19" s="131">
        <v>-1.1997895106121733E-2</v>
      </c>
      <c r="P19" s="132">
        <v>1.4064518186602014E-3</v>
      </c>
      <c r="Q19" s="133">
        <v>1.1752324153657253E-2</v>
      </c>
      <c r="R19" s="106">
        <v>-169.40432141091685</v>
      </c>
      <c r="S19" s="36">
        <v>103904</v>
      </c>
    </row>
    <row r="20" spans="1:19" x14ac:dyDescent="0.2">
      <c r="A20" s="16" t="s">
        <v>5</v>
      </c>
      <c r="B20" s="109">
        <v>1770</v>
      </c>
      <c r="C20" s="113">
        <v>36</v>
      </c>
      <c r="D20" s="114">
        <v>109</v>
      </c>
      <c r="E20" s="115">
        <v>63</v>
      </c>
      <c r="F20" s="91">
        <f>$L$7/$D$20</f>
        <v>334.93577981651379</v>
      </c>
      <c r="G20" s="92">
        <f>$M$7/$E$20</f>
        <v>352.96825396825398</v>
      </c>
      <c r="H20" s="49">
        <f>B20/SUM(B$19:B$21)</f>
        <v>1</v>
      </c>
      <c r="J20" s="93" t="s">
        <v>5</v>
      </c>
      <c r="K20" s="45">
        <f t="array" ref="K20:M20">B20*(C20:E20)</f>
        <v>63720</v>
      </c>
      <c r="L20" s="123">
        <v>192930</v>
      </c>
      <c r="M20" s="124">
        <v>111510</v>
      </c>
      <c r="N20" s="33">
        <f t="shared" ref="N20" si="8">SUM(K20:M20)</f>
        <v>368160</v>
      </c>
      <c r="O20" s="134">
        <v>2.0417470619189616E-2</v>
      </c>
      <c r="P20" s="135">
        <v>-1.1962813541483947E-2</v>
      </c>
      <c r="Q20" s="136">
        <v>-2.4557095246447993E-3</v>
      </c>
      <c r="R20" s="99">
        <v>759.39140501666429</v>
      </c>
      <c r="S20" s="37">
        <v>83528.000000000029</v>
      </c>
    </row>
    <row r="22" spans="1:19" x14ac:dyDescent="0.2">
      <c r="A22" s="52"/>
      <c r="B22" s="61">
        <f>B19+2*B20+B18</f>
        <v>4580</v>
      </c>
      <c r="C22" s="51"/>
      <c r="D22" s="51"/>
      <c r="E22" s="51"/>
      <c r="F22" s="51"/>
      <c r="G22" s="57"/>
      <c r="H22" s="57"/>
      <c r="I22" s="31"/>
      <c r="J22" s="56"/>
      <c r="K22" s="56"/>
      <c r="L22" s="56"/>
      <c r="M22" s="56"/>
      <c r="R22" s="100">
        <f>SUM(R19:R21)</f>
        <v>589.98708360574744</v>
      </c>
    </row>
    <row r="23" spans="1:19" x14ac:dyDescent="0.2">
      <c r="B23" s="2"/>
      <c r="C23" s="2"/>
      <c r="D23" s="2"/>
      <c r="E23" s="2"/>
      <c r="F23" s="32"/>
      <c r="G23" s="2"/>
      <c r="H23" s="1"/>
      <c r="I23" s="1"/>
      <c r="J23" s="33"/>
      <c r="K23" s="33">
        <f t="array" ref="K23:M23">K19:M19+K20:M20+K18:M18</f>
        <v>108440</v>
      </c>
      <c r="L23" s="33">
        <v>219970</v>
      </c>
      <c r="M23" s="33">
        <v>177030</v>
      </c>
    </row>
    <row r="24" spans="1:19" x14ac:dyDescent="0.2">
      <c r="K24" s="12">
        <f>K23/K13</f>
        <v>1.0029782274921846</v>
      </c>
      <c r="L24" s="12">
        <f>L23/L13</f>
        <v>2.1170503541730827</v>
      </c>
      <c r="M24" s="12">
        <f>M23/M13</f>
        <v>2.1194090604348244</v>
      </c>
    </row>
  </sheetData>
  <mergeCells count="8">
    <mergeCell ref="A1:B1"/>
    <mergeCell ref="A16:B16"/>
    <mergeCell ref="F1:H1"/>
    <mergeCell ref="J1:M1"/>
    <mergeCell ref="J16:M16"/>
    <mergeCell ref="C1:E1"/>
    <mergeCell ref="C16:E16"/>
    <mergeCell ref="F16:G16"/>
  </mergeCells>
  <pageMargins left="0.7" right="0.7" top="0.78740157499999996" bottom="0.78740157499999996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F11" sqref="F11"/>
    </sheetView>
  </sheetViews>
  <sheetFormatPr baseColWidth="10" defaultRowHeight="12.75" x14ac:dyDescent="0.2"/>
  <cols>
    <col min="1" max="1" width="7.140625" style="171" customWidth="1"/>
    <col min="2" max="7" width="8.85546875" style="27" customWidth="1"/>
    <col min="8" max="9" width="7.5703125" style="27" customWidth="1"/>
    <col min="10" max="10" width="7.5703125" style="172" customWidth="1"/>
    <col min="11" max="11" width="7.5703125" style="27" customWidth="1"/>
    <col min="12" max="16384" width="11.42578125" style="27"/>
  </cols>
  <sheetData>
    <row r="1" spans="1:15" s="152" customFormat="1" x14ac:dyDescent="0.2">
      <c r="B1" s="152" t="s">
        <v>0</v>
      </c>
      <c r="C1" s="152" t="s">
        <v>1</v>
      </c>
      <c r="D1" s="152" t="s">
        <v>2</v>
      </c>
      <c r="E1" s="152" t="s">
        <v>3</v>
      </c>
      <c r="F1" s="152" t="s">
        <v>4</v>
      </c>
      <c r="G1" s="152" t="s">
        <v>5</v>
      </c>
      <c r="H1" s="152" t="s">
        <v>12</v>
      </c>
      <c r="I1" s="152" t="s">
        <v>23</v>
      </c>
      <c r="J1" s="153" t="s">
        <v>24</v>
      </c>
      <c r="L1" s="152" t="s">
        <v>10</v>
      </c>
      <c r="M1" s="152" t="s">
        <v>11</v>
      </c>
      <c r="N1" s="152" t="s">
        <v>12</v>
      </c>
    </row>
    <row r="2" spans="1:15" s="154" customFormat="1" x14ac:dyDescent="0.2">
      <c r="A2" s="154" t="s">
        <v>25</v>
      </c>
      <c r="B2" s="155">
        <v>0</v>
      </c>
      <c r="C2" s="155">
        <v>297</v>
      </c>
      <c r="D2" s="155">
        <v>419</v>
      </c>
      <c r="E2" s="155">
        <v>175</v>
      </c>
      <c r="F2" s="155">
        <v>440</v>
      </c>
      <c r="G2" s="155">
        <v>0</v>
      </c>
      <c r="J2" s="156"/>
      <c r="L2" s="157">
        <f t="array" ref="L2:N2">MMULT(Df,Def)+{1000;1000;1000}</f>
        <v>108118</v>
      </c>
      <c r="M2" s="157">
        <v>103904</v>
      </c>
      <c r="N2" s="157">
        <v>83528</v>
      </c>
    </row>
    <row r="3" spans="1:15" x14ac:dyDescent="0.2">
      <c r="A3" s="158" t="s">
        <v>1</v>
      </c>
      <c r="B3" s="159">
        <v>0.31885634099299998</v>
      </c>
      <c r="C3" s="159">
        <v>0.20916266683699999</v>
      </c>
      <c r="D3" s="159">
        <v>0.49411108099099998</v>
      </c>
      <c r="E3" s="159">
        <v>2.0685844588700002</v>
      </c>
      <c r="F3" s="159">
        <v>1.9529205402600001</v>
      </c>
      <c r="G3" s="160">
        <v>0.82779735612600003</v>
      </c>
      <c r="H3" s="161">
        <f t="array" ref="H3:H5">MMULT(B3:G5,TRANSPOSE(B2:G2))</f>
        <v>1490.4411730024681</v>
      </c>
      <c r="I3" s="161">
        <v>13.764699999999999</v>
      </c>
      <c r="J3" s="162">
        <f t="array" ref="J3:J5">H3:H5+I3:I5</f>
        <v>1504.205873002468</v>
      </c>
      <c r="K3" s="163">
        <f>J3/SUM($J$3:$J$5)</f>
        <v>0.71827472588883723</v>
      </c>
      <c r="L3" s="164">
        <f t="array" ref="L3:N3">L8:N8+L12:N12</f>
        <v>110443.66841415466</v>
      </c>
      <c r="M3" s="164">
        <v>99285.017461333453</v>
      </c>
      <c r="N3" s="164">
        <v>154475.99399555003</v>
      </c>
      <c r="O3" s="178" t="s">
        <v>29</v>
      </c>
    </row>
    <row r="4" spans="1:15" x14ac:dyDescent="0.2">
      <c r="A4" s="165" t="s">
        <v>2</v>
      </c>
      <c r="B4" s="166">
        <v>0.76183125767399995</v>
      </c>
      <c r="C4" s="166">
        <v>0.34294142973300001</v>
      </c>
      <c r="D4" s="166">
        <v>-0.51254484859100002</v>
      </c>
      <c r="E4" s="166">
        <v>-1.3797579372</v>
      </c>
      <c r="F4" s="166">
        <v>0.41771619014200001</v>
      </c>
      <c r="G4" s="167">
        <v>0.15415158425200001</v>
      </c>
      <c r="H4" s="161">
        <v>-170.56520227644799</v>
      </c>
      <c r="I4" s="161">
        <v>1.1608799999999999</v>
      </c>
      <c r="J4" s="162">
        <v>-169.404322276448</v>
      </c>
      <c r="K4" s="163">
        <f t="shared" ref="K4:K5" si="0">J4/SUM($J$3:$J$5)</f>
        <v>-8.0892413286901374E-2</v>
      </c>
      <c r="L4" s="177">
        <f>L3/L$2</f>
        <v>1.0215104646234174</v>
      </c>
      <c r="M4" s="177">
        <f t="shared" ref="M4" si="1">M3/M$2</f>
        <v>0.95554567159429327</v>
      </c>
      <c r="N4" s="177">
        <f t="shared" ref="N4" si="2">N3/N$2</f>
        <v>1.8493917488213536</v>
      </c>
    </row>
    <row r="5" spans="1:15" x14ac:dyDescent="0.2">
      <c r="A5" s="168" t="s">
        <v>5</v>
      </c>
      <c r="B5" s="169">
        <v>0.563199438695</v>
      </c>
      <c r="C5" s="169">
        <v>0.60459568496799998</v>
      </c>
      <c r="D5" s="169">
        <v>0.96951412032999995</v>
      </c>
      <c r="E5" s="169">
        <v>2.34800912121</v>
      </c>
      <c r="F5" s="169">
        <v>-0.552955621821</v>
      </c>
      <c r="G5" s="170">
        <v>-0.184178214348</v>
      </c>
      <c r="H5" s="161">
        <v>753.39245746427594</v>
      </c>
      <c r="I5" s="161">
        <v>5.9989499999999998</v>
      </c>
      <c r="J5" s="162">
        <v>759.39140746427597</v>
      </c>
      <c r="K5" s="163">
        <f t="shared" si="0"/>
        <v>0.36261768739806416</v>
      </c>
      <c r="L5" s="164"/>
      <c r="M5" s="164"/>
      <c r="N5" s="164"/>
    </row>
    <row r="6" spans="1:15" x14ac:dyDescent="0.2">
      <c r="K6" s="173"/>
    </row>
    <row r="7" spans="1:15" x14ac:dyDescent="0.2">
      <c r="A7" s="158" t="s">
        <v>1</v>
      </c>
      <c r="B7" s="159">
        <v>0</v>
      </c>
      <c r="C7" s="159">
        <v>0</v>
      </c>
      <c r="D7" s="159">
        <v>0</v>
      </c>
      <c r="E7" s="159">
        <v>0</v>
      </c>
      <c r="F7" s="159">
        <f>81/63</f>
        <v>1.2857142857142858</v>
      </c>
      <c r="G7" s="160">
        <f>35/63</f>
        <v>0.55555555555555558</v>
      </c>
      <c r="H7" s="164">
        <f t="array" ref="H7:H9">MMULT(Poff,TRANSPOSE(Df))</f>
        <v>565.71428571428578</v>
      </c>
      <c r="I7" s="174">
        <f>H7/SUM(H$7:H$9)</f>
        <v>0.49079447668601162</v>
      </c>
      <c r="L7" s="174">
        <f>L8/SUM($L8:$N8)</f>
        <v>0.31035973933481947</v>
      </c>
      <c r="M7" s="174">
        <f>M8/SUM($L8:$N8)</f>
        <v>0.27803784042458884</v>
      </c>
      <c r="N7" s="174">
        <f>N8/SUM($L8:$N8)</f>
        <v>0.41160242024059163</v>
      </c>
    </row>
    <row r="8" spans="1:15" x14ac:dyDescent="0.2">
      <c r="A8" s="165" t="s">
        <v>2</v>
      </c>
      <c r="B8" s="166">
        <f>69/66</f>
        <v>1.0454545454545454</v>
      </c>
      <c r="C8" s="166">
        <f>56/66</f>
        <v>0.84848484848484851</v>
      </c>
      <c r="D8" s="166">
        <v>0</v>
      </c>
      <c r="E8" s="166">
        <v>0</v>
      </c>
      <c r="F8" s="166">
        <v>0</v>
      </c>
      <c r="G8" s="167">
        <v>0</v>
      </c>
      <c r="H8" s="164">
        <v>252</v>
      </c>
      <c r="I8" s="174">
        <f t="shared" ref="I8:I9" si="3">H8/SUM(H$7:H$9)</f>
        <v>0.21862663052376879</v>
      </c>
      <c r="L8" s="164">
        <f t="array" ref="L8:N8">TRANSPOSE(MMULT(A,H7:H9))</f>
        <v>51978.668414154658</v>
      </c>
      <c r="M8" s="164">
        <v>46565.436435124517</v>
      </c>
      <c r="N8" s="164">
        <v>68934.668414154658</v>
      </c>
      <c r="O8" s="27" t="s">
        <v>27</v>
      </c>
    </row>
    <row r="9" spans="1:15" x14ac:dyDescent="0.2">
      <c r="A9" s="168" t="s">
        <v>5</v>
      </c>
      <c r="B9" s="169">
        <v>0</v>
      </c>
      <c r="C9" s="169">
        <v>0</v>
      </c>
      <c r="D9" s="169">
        <f>32/109</f>
        <v>0.29357798165137616</v>
      </c>
      <c r="E9" s="169">
        <f>132/109</f>
        <v>1.2110091743119267</v>
      </c>
      <c r="F9" s="169">
        <v>0</v>
      </c>
      <c r="G9" s="170">
        <v>0</v>
      </c>
      <c r="H9" s="164">
        <v>334.93577981651379</v>
      </c>
      <c r="I9" s="174">
        <f t="shared" si="3"/>
        <v>0.29057889279021959</v>
      </c>
      <c r="L9" s="177">
        <f>L8/L$2</f>
        <v>0.4807586934104835</v>
      </c>
      <c r="M9" s="177">
        <f t="shared" ref="M9:N9" si="4">M8/M$2</f>
        <v>0.44815826565988331</v>
      </c>
      <c r="N9" s="177">
        <f t="shared" si="4"/>
        <v>0.82528814785646321</v>
      </c>
    </row>
    <row r="10" spans="1:15" x14ac:dyDescent="0.2">
      <c r="B10" s="175"/>
      <c r="C10" s="175"/>
      <c r="D10" s="175"/>
      <c r="E10" s="175"/>
      <c r="F10" s="175"/>
      <c r="G10" s="175"/>
      <c r="H10" s="164"/>
      <c r="I10" s="174"/>
    </row>
    <row r="11" spans="1:15" x14ac:dyDescent="0.2">
      <c r="A11" s="158" t="s">
        <v>1</v>
      </c>
      <c r="B11" s="159">
        <v>0</v>
      </c>
      <c r="C11" s="159">
        <v>0</v>
      </c>
      <c r="D11" s="159">
        <v>0</v>
      </c>
      <c r="E11" s="159">
        <v>0</v>
      </c>
      <c r="F11" s="159">
        <f>60/43</f>
        <v>1.3953488372093024</v>
      </c>
      <c r="G11" s="160">
        <f>28/43</f>
        <v>0.65116279069767447</v>
      </c>
      <c r="H11" s="164">
        <f t="array" ref="H11:H13">MMULT(Pdef,TRANSPOSE(Df))</f>
        <v>613.95348837209303</v>
      </c>
      <c r="I11" s="174">
        <f>H11/SUM(H$11:H$13)</f>
        <v>0.45649755598696051</v>
      </c>
      <c r="L11" s="174">
        <f>L12/SUM($L12:$N12)</f>
        <v>0.2971901413910682</v>
      </c>
      <c r="M11" s="174">
        <f>M12/SUM($L12:$N12)</f>
        <v>0.2679849437998274</v>
      </c>
      <c r="N11" s="174">
        <f>N12/SUM($L12:$N12)</f>
        <v>0.43482491480910435</v>
      </c>
    </row>
    <row r="12" spans="1:15" x14ac:dyDescent="0.2">
      <c r="A12" s="165" t="s">
        <v>2</v>
      </c>
      <c r="B12" s="166">
        <f>44/22</f>
        <v>2</v>
      </c>
      <c r="C12" s="166">
        <f>28/22</f>
        <v>1.2727272727272727</v>
      </c>
      <c r="D12" s="166">
        <v>0</v>
      </c>
      <c r="E12" s="166">
        <v>0</v>
      </c>
      <c r="F12" s="166">
        <v>0</v>
      </c>
      <c r="G12" s="167">
        <v>0</v>
      </c>
      <c r="H12" s="164">
        <v>378</v>
      </c>
      <c r="I12" s="174">
        <f t="shared" ref="I12:I13" si="5">H12/SUM(H$11:H$13)</f>
        <v>0.28105724526560816</v>
      </c>
      <c r="L12" s="164">
        <f t="array" ref="L12:N12">TRANSPOSE(MMULT(A,H11:H13))</f>
        <v>58465</v>
      </c>
      <c r="M12" s="164">
        <v>52719.581026208929</v>
      </c>
      <c r="N12" s="164">
        <v>85541.325581395358</v>
      </c>
      <c r="O12" s="27" t="s">
        <v>28</v>
      </c>
    </row>
    <row r="13" spans="1:15" x14ac:dyDescent="0.2">
      <c r="A13" s="168" t="s">
        <v>5</v>
      </c>
      <c r="B13" s="169">
        <v>0</v>
      </c>
      <c r="C13" s="169">
        <v>0</v>
      </c>
      <c r="D13" s="169">
        <f>23/63</f>
        <v>0.36507936507936506</v>
      </c>
      <c r="E13" s="169">
        <f>72/63</f>
        <v>1.1428571428571428</v>
      </c>
      <c r="F13" s="169">
        <v>0</v>
      </c>
      <c r="G13" s="170">
        <v>0</v>
      </c>
      <c r="H13" s="164">
        <v>352.96825396825398</v>
      </c>
      <c r="I13" s="174">
        <f t="shared" si="5"/>
        <v>0.26244519874743133</v>
      </c>
      <c r="L13" s="177">
        <f>L12/L$2</f>
        <v>0.54075177121293405</v>
      </c>
      <c r="M13" s="177">
        <f t="shared" ref="M13" si="6">M12/M$2</f>
        <v>0.5073874059344099</v>
      </c>
      <c r="N13" s="177">
        <f t="shared" ref="N13" si="7">N12/N$2</f>
        <v>1.0241036009648903</v>
      </c>
    </row>
    <row r="14" spans="1:15" x14ac:dyDescent="0.2">
      <c r="I14" s="176"/>
    </row>
    <row r="15" spans="1:15" x14ac:dyDescent="0.2">
      <c r="A15" s="158" t="s">
        <v>1</v>
      </c>
      <c r="B15" s="159">
        <f t="array" ref="B15:G17">Poff-Pdef</f>
        <v>0</v>
      </c>
      <c r="C15" s="159">
        <v>0</v>
      </c>
      <c r="D15" s="159">
        <v>0</v>
      </c>
      <c r="E15" s="159">
        <v>0</v>
      </c>
      <c r="F15" s="159">
        <v>-0.10963455149501655</v>
      </c>
      <c r="G15" s="160">
        <v>-9.5607235142118885E-2</v>
      </c>
      <c r="H15" s="164">
        <f t="array" ref="H15:H17">MMULT(B15:G17,TRANSPOSE(Df))</f>
        <v>-48.239202657807283</v>
      </c>
    </row>
    <row r="16" spans="1:15" x14ac:dyDescent="0.2">
      <c r="A16" s="165" t="s">
        <v>2</v>
      </c>
      <c r="B16" s="166">
        <v>-0.95454545454545459</v>
      </c>
      <c r="C16" s="166">
        <v>-0.4242424242424242</v>
      </c>
      <c r="D16" s="166">
        <v>0</v>
      </c>
      <c r="E16" s="166">
        <v>0</v>
      </c>
      <c r="F16" s="166">
        <v>0</v>
      </c>
      <c r="G16" s="167">
        <v>0</v>
      </c>
      <c r="H16" s="164">
        <v>-125.99999999999999</v>
      </c>
    </row>
    <row r="17" spans="1:8" x14ac:dyDescent="0.2">
      <c r="A17" s="168" t="s">
        <v>5</v>
      </c>
      <c r="B17" s="169">
        <v>0</v>
      </c>
      <c r="C17" s="169">
        <v>0</v>
      </c>
      <c r="D17" s="169">
        <v>-7.1501383427988896E-2</v>
      </c>
      <c r="E17" s="169">
        <v>6.8152031454783879E-2</v>
      </c>
      <c r="F17" s="169">
        <v>0</v>
      </c>
      <c r="G17" s="170">
        <v>0</v>
      </c>
      <c r="H17" s="164">
        <v>-18.032474151740168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9" sqref="B9:D9"/>
    </sheetView>
  </sheetViews>
  <sheetFormatPr baseColWidth="10" defaultRowHeight="12.75" x14ac:dyDescent="0.2"/>
  <sheetData>
    <row r="1" spans="1:4" x14ac:dyDescent="0.2">
      <c r="A1" s="88"/>
      <c r="B1" s="13" t="s">
        <v>14</v>
      </c>
      <c r="C1" s="11" t="s">
        <v>13</v>
      </c>
      <c r="D1" s="14" t="s">
        <v>15</v>
      </c>
    </row>
    <row r="2" spans="1:4" x14ac:dyDescent="0.2">
      <c r="A2" s="103" t="s">
        <v>1</v>
      </c>
      <c r="B2" s="125">
        <v>43</v>
      </c>
      <c r="C2" s="126">
        <v>26</v>
      </c>
      <c r="D2" s="127">
        <v>63</v>
      </c>
    </row>
    <row r="3" spans="1:4" x14ac:dyDescent="0.2">
      <c r="A3" s="17" t="s">
        <v>2</v>
      </c>
      <c r="B3" s="110">
        <v>66</v>
      </c>
      <c r="C3" s="111">
        <v>22</v>
      </c>
      <c r="D3" s="112">
        <v>11</v>
      </c>
    </row>
    <row r="4" spans="1:4" x14ac:dyDescent="0.2">
      <c r="A4" s="16" t="s">
        <v>5</v>
      </c>
      <c r="B4" s="113">
        <v>36</v>
      </c>
      <c r="C4" s="114">
        <v>109</v>
      </c>
      <c r="D4" s="115">
        <v>63</v>
      </c>
    </row>
    <row r="7" spans="1:4" x14ac:dyDescent="0.2">
      <c r="A7" s="28"/>
      <c r="B7" s="19" t="s">
        <v>6</v>
      </c>
      <c r="C7" s="21" t="s">
        <v>7</v>
      </c>
      <c r="D7" s="20" t="s">
        <v>8</v>
      </c>
    </row>
    <row r="8" spans="1:4" x14ac:dyDescent="0.2">
      <c r="A8" s="25" t="s">
        <v>0</v>
      </c>
      <c r="B8" s="137">
        <v>69</v>
      </c>
      <c r="C8" s="138">
        <v>44</v>
      </c>
      <c r="D8" s="139">
        <v>130</v>
      </c>
    </row>
    <row r="9" spans="1:4" x14ac:dyDescent="0.2">
      <c r="A9" s="15" t="s">
        <v>1</v>
      </c>
      <c r="B9" s="140">
        <v>56</v>
      </c>
      <c r="C9" s="141">
        <v>28</v>
      </c>
      <c r="D9" s="142">
        <v>83</v>
      </c>
    </row>
    <row r="10" spans="1:4" x14ac:dyDescent="0.2">
      <c r="A10" s="15" t="s">
        <v>2</v>
      </c>
      <c r="B10" s="143">
        <v>69</v>
      </c>
      <c r="C10" s="144">
        <v>32</v>
      </c>
      <c r="D10" s="145">
        <v>23</v>
      </c>
    </row>
    <row r="11" spans="1:4" x14ac:dyDescent="0.2">
      <c r="A11" s="15" t="s">
        <v>3</v>
      </c>
      <c r="B11" s="143">
        <v>201</v>
      </c>
      <c r="C11" s="144">
        <v>132</v>
      </c>
      <c r="D11" s="145">
        <v>72</v>
      </c>
    </row>
    <row r="12" spans="1:4" x14ac:dyDescent="0.2">
      <c r="A12" s="15" t="s">
        <v>4</v>
      </c>
      <c r="B12" s="146">
        <v>60</v>
      </c>
      <c r="C12" s="147">
        <v>132</v>
      </c>
      <c r="D12" s="148">
        <v>81</v>
      </c>
    </row>
    <row r="13" spans="1:4" x14ac:dyDescent="0.2">
      <c r="A13" s="16" t="s">
        <v>5</v>
      </c>
      <c r="B13" s="85">
        <v>28</v>
      </c>
      <c r="C13" s="86">
        <v>56</v>
      </c>
      <c r="D13" s="87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Tabelle1</vt:lpstr>
      <vt:lpstr>L+K</vt:lpstr>
      <vt:lpstr>konst</vt:lpstr>
      <vt:lpstr>A</vt:lpstr>
      <vt:lpstr>Def</vt:lpstr>
      <vt:lpstr>Df</vt:lpstr>
      <vt:lpstr>Pdef</vt:lpstr>
      <vt:lpstr>Poff</vt:lpstr>
      <vt:lpstr>Q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Scherrer Markus swisstopo</dc:creator>
  <cp:lastModifiedBy>Scherrer Markus swisstopo</cp:lastModifiedBy>
  <cp:lastPrinted>2017-08-02T14:48:15Z</cp:lastPrinted>
  <dcterms:created xsi:type="dcterms:W3CDTF">2017-06-27T07:06:20Z</dcterms:created>
  <dcterms:modified xsi:type="dcterms:W3CDTF">2017-08-02T14:53:41Z</dcterms:modified>
</cp:coreProperties>
</file>