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tudent Data" sheetId="1" r:id="rId4"/>
    <sheet name="Qualitative data" sheetId="2" r:id="rId5"/>
    <sheet name="Grade tracker" sheetId="3" r:id="rId6"/>
    <sheet name="Reports" sheetId="4" r:id="rId7"/>
  </sheets>
</workbook>
</file>

<file path=xl/sharedStrings.xml><?xml version="1.0" encoding="utf-8"?>
<sst xmlns="http://schemas.openxmlformats.org/spreadsheetml/2006/main" uniqueCount="104">
  <si>
    <t>Class Overview</t>
  </si>
  <si>
    <t>Name</t>
  </si>
  <si>
    <t>Problem 1</t>
  </si>
  <si>
    <t>Problem 2</t>
  </si>
  <si>
    <t>Problem 3</t>
  </si>
  <si>
    <t>Problem 4</t>
  </si>
  <si>
    <t>Problem 5</t>
  </si>
  <si>
    <t>Total</t>
  </si>
  <si>
    <t>Maximum points</t>
  </si>
  <si>
    <t>100</t>
  </si>
  <si>
    <t xml:space="preserve">An, W. </t>
  </si>
  <si>
    <t xml:space="preserve">Arceo, A. </t>
  </si>
  <si>
    <t>Backman, J.</t>
  </si>
  <si>
    <t>Bao, Z.</t>
  </si>
  <si>
    <t xml:space="preserve">Besada, G. </t>
  </si>
  <si>
    <t xml:space="preserve">Bozin, S. </t>
  </si>
  <si>
    <t xml:space="preserve">Contrelli, T. </t>
  </si>
  <si>
    <t xml:space="preserve">Feng, B. </t>
  </si>
  <si>
    <t xml:space="preserve">Huang, R. </t>
  </si>
  <si>
    <t xml:space="preserve">Hunlede, K. </t>
  </si>
  <si>
    <t xml:space="preserve">Jia, J. </t>
  </si>
  <si>
    <t xml:space="preserve">Kestelman, E. </t>
  </si>
  <si>
    <t xml:space="preserve">Lambadis, D. </t>
  </si>
  <si>
    <t xml:space="preserve">Lee, H. </t>
  </si>
  <si>
    <t xml:space="preserve">Li, C. </t>
  </si>
  <si>
    <t>Li, S.</t>
  </si>
  <si>
    <t xml:space="preserve">Martino, J. </t>
  </si>
  <si>
    <t xml:space="preserve">Monsanto, J. </t>
  </si>
  <si>
    <t xml:space="preserve">Ni, Y. </t>
  </si>
  <si>
    <t xml:space="preserve">Ocasio, J. </t>
  </si>
  <si>
    <t xml:space="preserve">Okoronkwo, M. </t>
  </si>
  <si>
    <t>Rapisardi, G.</t>
  </si>
  <si>
    <t xml:space="preserve">Shapiro, J. </t>
  </si>
  <si>
    <t xml:space="preserve">Takemaru, L. </t>
  </si>
  <si>
    <t>Weber, A-R.</t>
  </si>
  <si>
    <t xml:space="preserve">Xia, Y. </t>
  </si>
  <si>
    <t xml:space="preserve">Yoo, S. </t>
  </si>
  <si>
    <t xml:space="preserve">Zhao, S. </t>
  </si>
  <si>
    <t xml:space="preserve">Yu, M. </t>
  </si>
  <si>
    <t>Class Average</t>
  </si>
  <si>
    <t>Reference values</t>
  </si>
  <si>
    <t>Threshold</t>
  </si>
  <si>
    <t>Classification</t>
  </si>
  <si>
    <t>Excellent</t>
  </si>
  <si>
    <t>Good</t>
  </si>
  <si>
    <t>Moderate</t>
  </si>
  <si>
    <t>Poor</t>
  </si>
  <si>
    <t>S1</t>
  </si>
  <si>
    <t>S2</t>
  </si>
  <si>
    <t>S3</t>
  </si>
  <si>
    <t>S4</t>
  </si>
  <si>
    <t>S5</t>
  </si>
  <si>
    <t>Qualitative analysis</t>
  </si>
  <si>
    <t>Skill</t>
  </si>
  <si>
    <t xml:space="preserve">P1 </t>
  </si>
  <si>
    <t>P2</t>
  </si>
  <si>
    <t>P3</t>
  </si>
  <si>
    <t>P4</t>
  </si>
  <si>
    <t>P5</t>
  </si>
  <si>
    <t>Max</t>
  </si>
  <si>
    <t>Understanding of vector algebra and geometry.</t>
  </si>
  <si>
    <t xml:space="preserve">Understanding of qualitative aspects of vector-valued, single-variable functions. </t>
  </si>
  <si>
    <t xml:space="preserve">Understanding of qualitative properties of limits, continuity and derivatives (in particular, the differences between single-variable and multi-variable functions). </t>
  </si>
  <si>
    <t xml:space="preserve">Understanding of quantitative properties of vector-valued functions and scalar-valued multivariable functions. </t>
  </si>
  <si>
    <t xml:space="preserve">Capacity to analyze problems, identify the required tools, and employ them correctly. </t>
  </si>
  <si>
    <t>Homework 1</t>
  </si>
  <si>
    <t>Homework 2</t>
  </si>
  <si>
    <t>Homework 3</t>
  </si>
  <si>
    <t>Homework 4</t>
  </si>
  <si>
    <t>HW total</t>
  </si>
  <si>
    <t>Midterm</t>
  </si>
  <si>
    <t xml:space="preserve">Final </t>
  </si>
  <si>
    <t>Final grade</t>
  </si>
  <si>
    <t>Letter grade</t>
  </si>
  <si>
    <t>Weigths</t>
  </si>
  <si>
    <t>F</t>
  </si>
  <si>
    <t>D+</t>
  </si>
  <si>
    <t>D</t>
  </si>
  <si>
    <t>C</t>
  </si>
  <si>
    <t>Grade Scale</t>
  </si>
  <si>
    <t>Grade Threshold</t>
  </si>
  <si>
    <t>Scaled Grade Range</t>
  </si>
  <si>
    <t>Grade</t>
  </si>
  <si>
    <t># of Students</t>
  </si>
  <si>
    <t>A</t>
  </si>
  <si>
    <t>A-</t>
  </si>
  <si>
    <t>B+</t>
  </si>
  <si>
    <t>B</t>
  </si>
  <si>
    <t>B-</t>
  </si>
  <si>
    <t>C+</t>
  </si>
  <si>
    <t>C-</t>
  </si>
  <si>
    <t>Curve Amount</t>
  </si>
  <si>
    <t>Quantitative assessment</t>
  </si>
  <si>
    <t>Weighted Total</t>
  </si>
  <si>
    <t>Qualitative assessment</t>
  </si>
  <si>
    <t>Individual</t>
  </si>
  <si>
    <t>Classroom comparison</t>
  </si>
  <si>
    <t>Below average</t>
  </si>
  <si>
    <t>Grades (scaled)</t>
  </si>
  <si>
    <t>Homework 1 (15)</t>
  </si>
  <si>
    <t>Homework 2 (15)</t>
  </si>
  <si>
    <t>Midterm (25)</t>
  </si>
  <si>
    <t>Weighted average</t>
  </si>
  <si>
    <t>Anticipated grade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</si>
</sst>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#,##0.0"/>
    <numFmt numFmtId="60" formatCode="0.0%"/>
    <numFmt numFmtId="61" formatCode="#,##0%"/>
    <numFmt numFmtId="62" formatCode="#,##0.0%"/>
  </numFmts>
  <fonts count="12">
    <font>
      <sz val="10"/>
      <color indexed="8"/>
      <name val="Avenir Next"/>
    </font>
    <font>
      <sz val="10"/>
      <color indexed="9"/>
      <name val="Avenir Next"/>
    </font>
    <font>
      <b val="1"/>
      <sz val="12"/>
      <color indexed="10"/>
      <name val="Superclarendon"/>
    </font>
    <font>
      <sz val="10"/>
      <color indexed="11"/>
      <name val="Avenir Next Demi Bold"/>
    </font>
    <font>
      <sz val="20"/>
      <color indexed="11"/>
      <name val="Avenir Next Medium"/>
    </font>
    <font>
      <sz val="10"/>
      <color indexed="20"/>
      <name val="Superclarendon Light"/>
    </font>
    <font>
      <b val="1"/>
      <sz val="12"/>
      <color indexed="14"/>
      <name val="Superclarendon"/>
    </font>
    <font>
      <sz val="10"/>
      <color indexed="23"/>
      <name val="Avenir Next"/>
    </font>
    <font>
      <shadow val="1"/>
      <sz val="12"/>
      <color indexed="11"/>
      <name val="Avenir Next Demi Bold"/>
    </font>
    <font>
      <sz val="10"/>
      <color indexed="10"/>
      <name val="Avenir Next"/>
    </font>
    <font>
      <sz val="10"/>
      <color indexed="25"/>
      <name val="Avenir Next"/>
    </font>
    <font>
      <b val="1"/>
      <shadow val="1"/>
      <sz val="11"/>
      <color indexed="11"/>
      <name val="Helvetica Neue"/>
    </font>
  </fonts>
  <fills count="7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</fills>
  <borders count="69">
    <border>
      <left/>
      <right/>
      <top/>
      <bottom/>
      <diagonal/>
    </border>
    <border>
      <left>
        <color indexed="13"/>
      </left>
      <right style="thin">
        <color indexed="11"/>
      </right>
      <top>
        <color indexed="13"/>
      </top>
      <bottom>
        <color indexed="14"/>
      </bottom>
      <diagonal/>
    </border>
    <border>
      <left style="thin">
        <color indexed="11"/>
      </left>
      <right style="thin">
        <color indexed="11"/>
      </right>
      <top>
        <color indexed="13"/>
      </top>
      <bottom>
        <color indexed="14"/>
      </bottom>
      <diagonal/>
    </border>
    <border>
      <left style="thin">
        <color indexed="11"/>
      </left>
      <right>
        <color indexed="13"/>
      </right>
      <top>
        <color indexed="13"/>
      </top>
      <bottom>
        <color indexed="14"/>
      </bottom>
      <diagonal/>
    </border>
    <border>
      <left>
        <color indexed="13"/>
      </left>
      <right style="thin">
        <color indexed="11"/>
      </right>
      <top>
        <color indexed="14"/>
      </top>
      <bottom>
        <color indexed="14"/>
      </bottom>
      <diagonal/>
    </border>
    <border>
      <left style="thin">
        <color indexed="11"/>
      </left>
      <right style="thin">
        <color indexed="11"/>
      </right>
      <top>
        <color indexed="14"/>
      </top>
      <bottom>
        <color indexed="14"/>
      </bottom>
      <diagonal/>
    </border>
    <border>
      <left style="thin">
        <color indexed="11"/>
      </left>
      <right>
        <color indexed="13"/>
      </right>
      <top>
        <color indexed="14"/>
      </top>
      <bottom>
        <color indexed="14"/>
      </bottom>
      <diagonal/>
    </border>
    <border>
      <left>
        <color indexed="13"/>
      </left>
      <right>
        <color indexed="11"/>
      </right>
      <top>
        <color indexed="14"/>
      </top>
      <bottom style="thin">
        <color indexed="11"/>
      </bottom>
      <diagonal/>
    </border>
    <border>
      <left>
        <color indexed="11"/>
      </left>
      <right style="thin">
        <color indexed="16"/>
      </right>
      <top>
        <color indexed="14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>
        <color indexed="14"/>
      </top>
      <bottom style="thin">
        <color indexed="16"/>
      </bottom>
      <diagonal/>
    </border>
    <border>
      <left style="thin">
        <color indexed="16"/>
      </left>
      <right>
        <color indexed="17"/>
      </right>
      <top>
        <color indexed="14"/>
      </top>
      <bottom style="thin">
        <color indexed="16"/>
      </bottom>
      <diagonal/>
    </border>
    <border>
      <left>
        <color indexed="13"/>
      </left>
      <right>
        <color indexed="11"/>
      </right>
      <top style="thin">
        <color indexed="11"/>
      </top>
      <bottom style="thin">
        <color indexed="11"/>
      </bottom>
      <diagonal/>
    </border>
    <border>
      <left>
        <color indexed="11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>
        <color indexed="17"/>
      </right>
      <top style="thin">
        <color indexed="16"/>
      </top>
      <bottom style="thin">
        <color indexed="16"/>
      </bottom>
      <diagonal/>
    </border>
    <border>
      <left>
        <color indexed="13"/>
      </left>
      <right>
        <color indexed="11"/>
      </right>
      <top style="thin">
        <color indexed="11"/>
      </top>
      <bottom>
        <color indexed="11"/>
      </bottom>
      <diagonal/>
    </border>
    <border>
      <left>
        <color indexed="11"/>
      </left>
      <right style="thin">
        <color indexed="16"/>
      </right>
      <top style="thin">
        <color indexed="16"/>
      </top>
      <bottom>
        <color indexed="11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>
        <color indexed="11"/>
      </bottom>
      <diagonal/>
    </border>
    <border>
      <left style="thin">
        <color indexed="16"/>
      </left>
      <right>
        <color indexed="17"/>
      </right>
      <top style="thin">
        <color indexed="16"/>
      </top>
      <bottom>
        <color indexed="11"/>
      </bottom>
      <diagonal/>
    </border>
    <border>
      <left>
        <color indexed="17"/>
      </left>
      <right style="thin">
        <color indexed="11"/>
      </right>
      <top>
        <color indexed="11"/>
      </top>
      <bottom>
        <color indexed="17"/>
      </bottom>
      <diagonal/>
    </border>
    <border>
      <left style="thin">
        <color indexed="11"/>
      </left>
      <right style="thin">
        <color indexed="11"/>
      </right>
      <top>
        <color indexed="11"/>
      </top>
      <bottom>
        <color indexed="17"/>
      </bottom>
      <diagonal/>
    </border>
    <border>
      <left style="thin">
        <color indexed="11"/>
      </left>
      <right>
        <color indexed="17"/>
      </right>
      <top>
        <color indexed="11"/>
      </top>
      <bottom>
        <color indexed="17"/>
      </bottom>
      <diagonal/>
    </border>
    <border>
      <left style="thin">
        <color indexed="21"/>
      </left>
      <right style="thin">
        <color indexed="11"/>
      </right>
      <top style="thin">
        <color indexed="21"/>
      </top>
      <bottom style="medium">
        <color indexed="11"/>
      </bottom>
      <diagonal/>
    </border>
    <border>
      <left style="thin">
        <color indexed="11"/>
      </left>
      <right style="thin">
        <color indexed="21"/>
      </right>
      <top style="thin">
        <color indexed="21"/>
      </top>
      <bottom style="medium">
        <color indexed="11"/>
      </bottom>
      <diagonal/>
    </border>
    <border>
      <left style="thin">
        <color indexed="21"/>
      </left>
      <right style="thin">
        <color indexed="22"/>
      </right>
      <top style="medium">
        <color indexed="11"/>
      </top>
      <bottom/>
      <diagonal/>
    </border>
    <border>
      <left style="thin">
        <color indexed="22"/>
      </left>
      <right style="thin">
        <color indexed="21"/>
      </right>
      <top style="medium">
        <color indexed="11"/>
      </top>
      <bottom/>
      <diagonal/>
    </border>
    <border>
      <left style="thin">
        <color indexed="21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1"/>
      </right>
      <top/>
      <bottom/>
      <diagonal/>
    </border>
    <border>
      <left style="thin">
        <color indexed="21"/>
      </left>
      <right style="thin">
        <color indexed="22"/>
      </right>
      <top/>
      <bottom style="thin">
        <color indexed="21"/>
      </bottom>
      <diagonal/>
    </border>
    <border>
      <left style="thin">
        <color indexed="22"/>
      </left>
      <right style="thin">
        <color indexed="21"/>
      </right>
      <top/>
      <bottom style="thin">
        <color indexed="21"/>
      </bottom>
      <diagonal/>
    </border>
    <border>
      <left>
        <color indexed="13"/>
      </left>
      <right>
        <color indexed="11"/>
      </right>
      <top style="thin">
        <color indexed="11"/>
      </top>
      <bottom>
        <color indexed="13"/>
      </bottom>
      <diagonal/>
    </border>
    <border>
      <left>
        <color indexed="11"/>
      </left>
      <right style="thin">
        <color indexed="16"/>
      </right>
      <top style="thin">
        <color indexed="16"/>
      </top>
      <bottom>
        <color indexed="17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>
        <color indexed="17"/>
      </bottom>
      <diagonal/>
    </border>
    <border>
      <left style="thin">
        <color indexed="16"/>
      </left>
      <right>
        <color indexed="17"/>
      </right>
      <top style="thin">
        <color indexed="16"/>
      </top>
      <bottom>
        <color indexed="17"/>
      </bottom>
      <diagonal/>
    </border>
    <border>
      <left style="thin">
        <color indexed="16"/>
      </left>
      <right style="thin">
        <color indexed="11"/>
      </right>
      <top style="thin">
        <color indexed="16"/>
      </top>
      <bottom>
        <color indexed="14"/>
      </bottom>
      <diagonal/>
    </border>
    <border>
      <left style="thin">
        <color indexed="11"/>
      </left>
      <right style="thin">
        <color indexed="11"/>
      </right>
      <top style="thin">
        <color indexed="16"/>
      </top>
      <bottom>
        <color indexed="14"/>
      </bottom>
      <diagonal/>
    </border>
    <border>
      <left style="thin">
        <color indexed="11"/>
      </left>
      <right style="thin">
        <color indexed="16"/>
      </right>
      <top style="thin">
        <color indexed="16"/>
      </top>
      <bottom>
        <color indexed="14"/>
      </bottom>
      <diagonal/>
    </border>
    <border>
      <left style="thin">
        <color indexed="16"/>
      </left>
      <right style="thin">
        <color indexed="11"/>
      </right>
      <top>
        <color indexed="14"/>
      </top>
      <bottom>
        <color indexed="14"/>
      </bottom>
      <diagonal/>
    </border>
    <border>
      <left style="thin">
        <color indexed="11"/>
      </left>
      <right style="thin">
        <color indexed="16"/>
      </right>
      <top>
        <color indexed="14"/>
      </top>
      <bottom>
        <color indexed="14"/>
      </bottom>
      <diagonal/>
    </border>
    <border>
      <left style="thin">
        <color indexed="16"/>
      </left>
      <right style="thin">
        <color indexed="11"/>
      </right>
      <top>
        <color indexed="14"/>
      </top>
      <bottom style="medium">
        <color indexed="11"/>
      </bottom>
      <diagonal/>
    </border>
    <border>
      <left style="thin">
        <color indexed="11"/>
      </left>
      <right style="thin">
        <color indexed="11"/>
      </right>
      <top>
        <color indexed="14"/>
      </top>
      <bottom style="medium">
        <color indexed="11"/>
      </bottom>
      <diagonal/>
    </border>
    <border>
      <left style="thin">
        <color indexed="11"/>
      </left>
      <right style="thin">
        <color indexed="16"/>
      </right>
      <top>
        <color indexed="14"/>
      </top>
      <bottom style="medium">
        <color indexed="11"/>
      </bottom>
      <diagonal/>
    </border>
    <border>
      <left style="thin">
        <color indexed="16"/>
      </left>
      <right style="thin">
        <color indexed="22"/>
      </right>
      <top style="medium">
        <color indexed="11"/>
      </top>
      <bottom/>
      <diagonal/>
    </border>
    <border>
      <left style="thin">
        <color indexed="22"/>
      </left>
      <right/>
      <top style="medium">
        <color indexed="11"/>
      </top>
      <bottom/>
      <diagonal/>
    </border>
    <border>
      <left/>
      <right/>
      <top style="medium">
        <color indexed="11"/>
      </top>
      <bottom/>
      <diagonal/>
    </border>
    <border>
      <left/>
      <right style="thin">
        <color indexed="16"/>
      </right>
      <top style="medium">
        <color indexed="11"/>
      </top>
      <bottom/>
      <diagonal/>
    </border>
    <border>
      <left style="thin">
        <color indexed="16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/>
      <right/>
      <top/>
      <bottom/>
      <diagonal/>
    </border>
    <border>
      <left/>
      <right style="thin">
        <color indexed="16"/>
      </right>
      <top/>
      <bottom/>
      <diagonal/>
    </border>
    <border>
      <left style="thin">
        <color indexed="16"/>
      </left>
      <right style="thin">
        <color indexed="22"/>
      </right>
      <top/>
      <bottom style="medium">
        <color indexed="11"/>
      </bottom>
      <diagonal/>
    </border>
    <border>
      <left style="thin">
        <color indexed="22"/>
      </left>
      <right/>
      <top/>
      <bottom style="medium">
        <color indexed="11"/>
      </bottom>
      <diagonal/>
    </border>
    <border>
      <left/>
      <right/>
      <top/>
      <bottom style="medium">
        <color indexed="11"/>
      </bottom>
      <diagonal/>
    </border>
    <border>
      <left/>
      <right style="thin">
        <color indexed="16"/>
      </right>
      <top/>
      <bottom style="medium">
        <color indexed="11"/>
      </bottom>
      <diagonal/>
    </border>
    <border>
      <left style="thin">
        <color indexed="16"/>
      </left>
      <right/>
      <top style="medium">
        <color indexed="11"/>
      </top>
      <bottom style="thin">
        <color indexed="16"/>
      </bottom>
      <diagonal/>
    </border>
    <border>
      <left/>
      <right/>
      <top style="medium">
        <color indexed="11"/>
      </top>
      <bottom style="thin">
        <color indexed="16"/>
      </bottom>
      <diagonal/>
    </border>
    <border>
      <left/>
      <right style="thin">
        <color indexed="16"/>
      </right>
      <top style="medium">
        <color indexed="11"/>
      </top>
      <bottom style="thin">
        <color indexed="16"/>
      </bottom>
      <diagonal/>
    </border>
    <border>
      <left>
        <color indexed="13"/>
      </left>
      <right style="thin">
        <color indexed="11"/>
      </right>
      <top>
        <color indexed="14"/>
      </top>
      <bottom style="thin">
        <color indexed="11"/>
      </bottom>
      <diagonal/>
    </border>
    <border>
      <left style="thin">
        <color indexed="11"/>
      </left>
      <right>
        <color indexed="11"/>
      </right>
      <top>
        <color indexed="14"/>
      </top>
      <bottom style="thin">
        <color indexed="11"/>
      </bottom>
      <diagonal/>
    </border>
    <border>
      <left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>
        <color indexed="11"/>
      </right>
      <top style="thin">
        <color indexed="11"/>
      </top>
      <bottom style="thin">
        <color indexed="11"/>
      </bottom>
      <diagonal/>
    </border>
    <border>
      <left>
        <color indexed="13"/>
      </left>
      <right style="thin">
        <color indexed="11"/>
      </right>
      <top style="thin">
        <color indexed="11"/>
      </top>
      <bottom>
        <color indexed="13"/>
      </bottom>
      <diagonal/>
    </border>
    <border>
      <left style="thin">
        <color indexed="11"/>
      </left>
      <right>
        <color indexed="11"/>
      </right>
      <top style="thin">
        <color indexed="11"/>
      </top>
      <bottom>
        <color indexed="13"/>
      </bottom>
      <diagonal/>
    </border>
    <border>
      <left>
        <color indexed="17"/>
      </left>
      <right>
        <color indexed="17"/>
      </right>
      <top>
        <color indexed="17"/>
      </top>
      <bottom style="medium">
        <color indexed="11"/>
      </bottom>
      <diagonal/>
    </border>
    <border>
      <left>
        <color indexed="17"/>
      </left>
      <right>
        <color indexed="17"/>
      </right>
      <top style="medium">
        <color indexed="11"/>
      </top>
      <bottom>
        <color indexed="17"/>
      </bottom>
      <diagonal/>
    </border>
    <border>
      <left>
        <color indexed="17"/>
      </left>
      <right>
        <color indexed="17"/>
      </right>
      <top>
        <color indexed="17"/>
      </top>
      <bottom>
        <color indexed="17"/>
      </bottom>
      <diagonal/>
    </border>
    <border>
      <left style="thin">
        <color indexed="16"/>
      </left>
      <right style="thin">
        <color indexed="11"/>
      </right>
      <top style="thin">
        <color indexed="16"/>
      </top>
      <bottom style="medium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6"/>
      </top>
      <bottom style="medium">
        <color indexed="11"/>
      </bottom>
      <diagonal/>
    </border>
    <border>
      <left style="thin">
        <color indexed="11"/>
      </left>
      <right style="thin">
        <color indexed="16"/>
      </right>
      <top style="thin">
        <color indexed="16"/>
      </top>
      <bottom style="medium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8">
    <xf numFmtId="0" fontId="0" applyNumberFormat="0" applyFont="1" applyFill="0" applyBorder="0" applyAlignment="1" applyProtection="0">
      <alignment vertical="top" wrapText="1"/>
    </xf>
    <xf numFmtId="0" fontId="1" applyNumberFormat="1" applyFont="1" applyFill="0" applyBorder="0" applyAlignment="1" applyProtection="0">
      <alignment horizontal="center" vertical="center" wrapText="1"/>
    </xf>
    <xf numFmtId="0" fontId="2" applyNumberFormat="0" applyFont="1" applyFill="0" applyBorder="0" applyAlignment="1" applyProtection="0">
      <alignment vertical="center"/>
    </xf>
    <xf numFmtId="49" fontId="3" fillId="2" borderId="1" applyNumberFormat="1" applyFont="1" applyFill="1" applyBorder="1" applyAlignment="1" applyProtection="0">
      <alignment vertical="center" wrapText="1"/>
    </xf>
    <xf numFmtId="49" fontId="3" fillId="2" borderId="2" applyNumberFormat="1" applyFont="1" applyFill="1" applyBorder="1" applyAlignment="1" applyProtection="0">
      <alignment horizontal="center" vertical="center" wrapText="1"/>
    </xf>
    <xf numFmtId="49" fontId="3" fillId="2" borderId="3" applyNumberFormat="1" applyFont="1" applyFill="1" applyBorder="1" applyAlignment="1" applyProtection="0">
      <alignment horizontal="center" vertical="center" wrapText="1"/>
    </xf>
    <xf numFmtId="49" fontId="3" fillId="2" borderId="4" applyNumberFormat="1" applyFont="1" applyFill="1" applyBorder="1" applyAlignment="1" applyProtection="0">
      <alignment vertical="center" wrapText="1"/>
    </xf>
    <xf numFmtId="1" fontId="3" fillId="2" borderId="5" applyNumberFormat="1" applyFont="1" applyFill="1" applyBorder="1" applyAlignment="1" applyProtection="0">
      <alignment horizontal="center" vertical="center" wrapText="1"/>
    </xf>
    <xf numFmtId="49" fontId="3" fillId="2" borderId="6" applyNumberFormat="1" applyFont="1" applyFill="1" applyBorder="1" applyAlignment="1" applyProtection="0">
      <alignment horizontal="center" vertical="center" wrapText="1"/>
    </xf>
    <xf numFmtId="49" fontId="3" fillId="3" borderId="7" applyNumberFormat="1" applyFont="1" applyFill="1" applyBorder="1" applyAlignment="1" applyProtection="0">
      <alignment vertical="center" wrapText="1"/>
    </xf>
    <xf numFmtId="3" fontId="1" fillId="4" borderId="8" applyNumberFormat="1" applyFont="1" applyFill="1" applyBorder="1" applyAlignment="1" applyProtection="0">
      <alignment horizontal="center" vertical="center" wrapText="1"/>
    </xf>
    <xf numFmtId="3" fontId="1" fillId="4" borderId="9" applyNumberFormat="1" applyFont="1" applyFill="1" applyBorder="1" applyAlignment="1" applyProtection="0">
      <alignment horizontal="center" vertical="center" wrapText="1"/>
    </xf>
    <xf numFmtId="3" fontId="1" fillId="4" borderId="10" applyNumberFormat="1" applyFont="1" applyFill="1" applyBorder="1" applyAlignment="1" applyProtection="0">
      <alignment horizontal="center" vertical="center" wrapText="1"/>
    </xf>
    <xf numFmtId="49" fontId="3" fillId="3" borderId="11" applyNumberFormat="1" applyFont="1" applyFill="1" applyBorder="1" applyAlignment="1" applyProtection="0">
      <alignment vertical="center" wrapText="1"/>
    </xf>
    <xf numFmtId="3" fontId="1" fillId="5" borderId="12" applyNumberFormat="1" applyFont="1" applyFill="1" applyBorder="1" applyAlignment="1" applyProtection="0">
      <alignment horizontal="center" vertical="center" wrapText="1"/>
    </xf>
    <xf numFmtId="3" fontId="1" fillId="5" borderId="13" applyNumberFormat="1" applyFont="1" applyFill="1" applyBorder="1" applyAlignment="1" applyProtection="0">
      <alignment horizontal="center" vertical="center" wrapText="1"/>
    </xf>
    <xf numFmtId="3" fontId="1" fillId="5" borderId="14" applyNumberFormat="1" applyFont="1" applyFill="1" applyBorder="1" applyAlignment="1" applyProtection="0">
      <alignment horizontal="center" vertical="center" wrapText="1"/>
    </xf>
    <xf numFmtId="3" fontId="1" fillId="4" borderId="12" applyNumberFormat="1" applyFont="1" applyFill="1" applyBorder="1" applyAlignment="1" applyProtection="0">
      <alignment horizontal="center" vertical="center" wrapText="1"/>
    </xf>
    <xf numFmtId="3" fontId="1" fillId="4" borderId="13" applyNumberFormat="1" applyFont="1" applyFill="1" applyBorder="1" applyAlignment="1" applyProtection="0">
      <alignment horizontal="center" vertical="center" wrapText="1"/>
    </xf>
    <xf numFmtId="3" fontId="1" fillId="4" borderId="14" applyNumberFormat="1" applyFont="1" applyFill="1" applyBorder="1" applyAlignment="1" applyProtection="0">
      <alignment horizontal="center" vertical="center" wrapText="1"/>
    </xf>
    <xf numFmtId="49" fontId="3" fillId="3" borderId="15" applyNumberFormat="1" applyFont="1" applyFill="1" applyBorder="1" applyAlignment="1" applyProtection="0">
      <alignment vertical="center" wrapText="1"/>
    </xf>
    <xf numFmtId="3" fontId="1" fillId="4" borderId="16" applyNumberFormat="1" applyFont="1" applyFill="1" applyBorder="1" applyAlignment="1" applyProtection="0">
      <alignment horizontal="center" vertical="center" wrapText="1"/>
    </xf>
    <xf numFmtId="3" fontId="1" fillId="4" borderId="17" applyNumberFormat="1" applyFont="1" applyFill="1" applyBorder="1" applyAlignment="1" applyProtection="0">
      <alignment horizontal="center" vertical="center" wrapText="1"/>
    </xf>
    <xf numFmtId="3" fontId="1" fillId="4" borderId="18" applyNumberFormat="1" applyFont="1" applyFill="1" applyBorder="1" applyAlignment="1" applyProtection="0">
      <alignment horizontal="center" vertical="center" wrapText="1"/>
    </xf>
    <xf numFmtId="49" fontId="3" fillId="6" borderId="19" applyNumberFormat="1" applyFont="1" applyFill="1" applyBorder="1" applyAlignment="1" applyProtection="0">
      <alignment horizontal="center" vertical="center" wrapText="1"/>
    </xf>
    <xf numFmtId="59" fontId="3" fillId="6" borderId="20" applyNumberFormat="1" applyFont="1" applyFill="1" applyBorder="1" applyAlignment="1" applyProtection="0">
      <alignment horizontal="center" vertical="center" wrapText="1"/>
    </xf>
    <xf numFmtId="59" fontId="3" fillId="6" borderId="21" applyNumberFormat="1" applyFont="1" applyFill="1" applyBorder="1" applyAlignment="1" applyProtection="0">
      <alignment horizontal="center" vertical="center" wrapText="1"/>
    </xf>
    <xf numFmtId="0" fontId="1" applyNumberFormat="1" applyFont="1" applyFill="0" applyBorder="0" applyAlignment="1" applyProtection="0">
      <alignment vertical="top" wrapText="1"/>
    </xf>
    <xf numFmtId="0" fontId="6" applyNumberFormat="0" applyFont="1" applyFill="0" applyBorder="0" applyAlignment="1" applyProtection="0">
      <alignment horizontal="center" vertical="center"/>
    </xf>
    <xf numFmtId="49" fontId="3" fillId="2" borderId="22" applyNumberFormat="1" applyFont="1" applyFill="1" applyBorder="1" applyAlignment="1" applyProtection="0">
      <alignment vertical="top" wrapText="1"/>
    </xf>
    <xf numFmtId="49" fontId="3" fillId="2" borderId="23" applyNumberFormat="1" applyFont="1" applyFill="1" applyBorder="1" applyAlignment="1" applyProtection="0">
      <alignment vertical="top" wrapText="1"/>
    </xf>
    <xf numFmtId="60" fontId="3" fillId="3" borderId="24" applyNumberFormat="1" applyFont="1" applyFill="1" applyBorder="1" applyAlignment="1" applyProtection="0">
      <alignment vertical="top" wrapText="1"/>
    </xf>
    <xf numFmtId="49" fontId="1" borderId="25" applyNumberFormat="1" applyFont="1" applyFill="0" applyBorder="1" applyAlignment="1" applyProtection="0">
      <alignment vertical="top" wrapText="1"/>
    </xf>
    <xf numFmtId="60" fontId="3" fillId="3" borderId="26" applyNumberFormat="1" applyFont="1" applyFill="1" applyBorder="1" applyAlignment="1" applyProtection="0">
      <alignment vertical="top" wrapText="1"/>
    </xf>
    <xf numFmtId="49" fontId="1" fillId="5" borderId="27" applyNumberFormat="1" applyFont="1" applyFill="1" applyBorder="1" applyAlignment="1" applyProtection="0">
      <alignment vertical="top" wrapText="1"/>
    </xf>
    <xf numFmtId="49" fontId="1" borderId="27" applyNumberFormat="1" applyFont="1" applyFill="0" applyBorder="1" applyAlignment="1" applyProtection="0">
      <alignment vertical="top" wrapText="1"/>
    </xf>
    <xf numFmtId="9" fontId="3" fillId="3" borderId="28" applyNumberFormat="1" applyFont="1" applyFill="1" applyBorder="1" applyAlignment="1" applyProtection="0">
      <alignment vertical="top" wrapText="1"/>
    </xf>
    <xf numFmtId="49" fontId="1" fillId="5" borderId="29" applyNumberFormat="1" applyFont="1" applyFill="1" applyBorder="1" applyAlignment="1" applyProtection="0">
      <alignment vertical="top" wrapText="1"/>
    </xf>
    <xf numFmtId="0" fontId="1" applyNumberFormat="1" applyFont="1" applyFill="0" applyBorder="0" applyAlignment="1" applyProtection="0">
      <alignment horizontal="center" vertical="center" wrapText="1"/>
    </xf>
    <xf numFmtId="61" fontId="1" fillId="4" borderId="8" applyNumberFormat="1" applyFont="1" applyFill="1" applyBorder="1" applyAlignment="1" applyProtection="0">
      <alignment horizontal="center" vertical="center" wrapText="1"/>
    </xf>
    <xf numFmtId="61" fontId="1" fillId="4" borderId="9" applyNumberFormat="1" applyFont="1" applyFill="1" applyBorder="1" applyAlignment="1" applyProtection="0">
      <alignment horizontal="center" vertical="center" wrapText="1"/>
    </xf>
    <xf numFmtId="61" fontId="1" fillId="4" borderId="10" applyNumberFormat="1" applyFont="1" applyFill="1" applyBorder="1" applyAlignment="1" applyProtection="0">
      <alignment horizontal="center" vertical="center" wrapText="1"/>
    </xf>
    <xf numFmtId="61" fontId="1" fillId="5" borderId="12" applyNumberFormat="1" applyFont="1" applyFill="1" applyBorder="1" applyAlignment="1" applyProtection="0">
      <alignment horizontal="center" vertical="center" wrapText="1"/>
    </xf>
    <xf numFmtId="61" fontId="1" fillId="5" borderId="13" applyNumberFormat="1" applyFont="1" applyFill="1" applyBorder="1" applyAlignment="1" applyProtection="0">
      <alignment horizontal="center" vertical="center" wrapText="1"/>
    </xf>
    <xf numFmtId="61" fontId="1" fillId="5" borderId="14" applyNumberFormat="1" applyFont="1" applyFill="1" applyBorder="1" applyAlignment="1" applyProtection="0">
      <alignment horizontal="center" vertical="center" wrapText="1"/>
    </xf>
    <xf numFmtId="61" fontId="1" fillId="4" borderId="12" applyNumberFormat="1" applyFont="1" applyFill="1" applyBorder="1" applyAlignment="1" applyProtection="0">
      <alignment horizontal="center" vertical="center" wrapText="1"/>
    </xf>
    <xf numFmtId="61" fontId="1" fillId="4" borderId="13" applyNumberFormat="1" applyFont="1" applyFill="1" applyBorder="1" applyAlignment="1" applyProtection="0">
      <alignment horizontal="center" vertical="center" wrapText="1"/>
    </xf>
    <xf numFmtId="61" fontId="1" fillId="4" borderId="14" applyNumberFormat="1" applyFont="1" applyFill="1" applyBorder="1" applyAlignment="1" applyProtection="0">
      <alignment horizontal="center" vertical="center" wrapText="1"/>
    </xf>
    <xf numFmtId="61" fontId="1" fillId="4" borderId="16" applyNumberFormat="1" applyFont="1" applyFill="1" applyBorder="1" applyAlignment="1" applyProtection="0">
      <alignment horizontal="center" vertical="center" wrapText="1"/>
    </xf>
    <xf numFmtId="61" fontId="1" fillId="4" borderId="17" applyNumberFormat="1" applyFont="1" applyFill="1" applyBorder="1" applyAlignment="1" applyProtection="0">
      <alignment horizontal="center" vertical="center" wrapText="1"/>
    </xf>
    <xf numFmtId="61" fontId="1" fillId="4" borderId="18" applyNumberFormat="1" applyFont="1" applyFill="1" applyBorder="1" applyAlignment="1" applyProtection="0">
      <alignment horizontal="center" vertical="center" wrapText="1"/>
    </xf>
    <xf numFmtId="61" fontId="3" fillId="6" borderId="20" applyNumberFormat="1" applyFont="1" applyFill="1" applyBorder="1" applyAlignment="1" applyProtection="0">
      <alignment horizontal="center" vertical="center" wrapText="1"/>
    </xf>
    <xf numFmtId="61" fontId="3" fillId="6" borderId="21" applyNumberFormat="1" applyFont="1" applyFill="1" applyBorder="1" applyAlignment="1" applyProtection="0">
      <alignment horizontal="center" vertical="center" wrapText="1"/>
    </xf>
    <xf numFmtId="0" fontId="1" applyNumberFormat="1" applyFont="1" applyFill="0" applyBorder="0" applyAlignment="1" applyProtection="0">
      <alignment horizontal="center" vertical="center" wrapText="1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3" fillId="3" borderId="7" applyNumberFormat="1" applyFont="1" applyFill="1" applyBorder="1" applyAlignment="1" applyProtection="0">
      <alignment horizontal="center" vertical="center" wrapText="1"/>
    </xf>
    <xf numFmtId="0" fontId="1" fillId="4" borderId="8" applyNumberFormat="1" applyFont="1" applyFill="1" applyBorder="1" applyAlignment="1" applyProtection="0">
      <alignment horizontal="center" vertical="center" wrapText="1"/>
    </xf>
    <xf numFmtId="0" fontId="1" fillId="4" borderId="9" applyNumberFormat="1" applyFont="1" applyFill="1" applyBorder="1" applyAlignment="1" applyProtection="0">
      <alignment horizontal="center" vertical="center" wrapText="1"/>
    </xf>
    <xf numFmtId="0" fontId="1" fillId="4" borderId="10" applyNumberFormat="1" applyFont="1" applyFill="1" applyBorder="1" applyAlignment="1" applyProtection="0">
      <alignment horizontal="center" vertical="center" wrapText="1"/>
    </xf>
    <xf numFmtId="0" fontId="1" fillId="5" borderId="12" applyNumberFormat="1" applyFont="1" applyFill="1" applyBorder="1" applyAlignment="1" applyProtection="0">
      <alignment horizontal="center" vertical="center" wrapText="1"/>
    </xf>
    <xf numFmtId="0" fontId="1" fillId="5" borderId="13" applyNumberFormat="1" applyFont="1" applyFill="1" applyBorder="1" applyAlignment="1" applyProtection="0">
      <alignment horizontal="center" vertical="center" wrapText="1"/>
    </xf>
    <xf numFmtId="0" fontId="1" fillId="5" borderId="14" applyNumberFormat="1" applyFont="1" applyFill="1" applyBorder="1" applyAlignment="1" applyProtection="0">
      <alignment horizontal="center" vertical="center" wrapText="1"/>
    </xf>
    <xf numFmtId="49" fontId="3" fillId="3" borderId="11" applyNumberFormat="1" applyFont="1" applyFill="1" applyBorder="1" applyAlignment="1" applyProtection="0">
      <alignment horizontal="center" vertical="center" wrapText="1"/>
    </xf>
    <xf numFmtId="0" fontId="1" fillId="4" borderId="12" applyNumberFormat="1" applyFont="1" applyFill="1" applyBorder="1" applyAlignment="1" applyProtection="0">
      <alignment horizontal="center" vertical="center" wrapText="1"/>
    </xf>
    <xf numFmtId="0" fontId="1" fillId="4" borderId="13" applyNumberFormat="1" applyFont="1" applyFill="1" applyBorder="1" applyAlignment="1" applyProtection="0">
      <alignment horizontal="center" vertical="center" wrapText="1"/>
    </xf>
    <xf numFmtId="0" fontId="1" fillId="4" borderId="14" applyNumberFormat="1" applyFont="1" applyFill="1" applyBorder="1" applyAlignment="1" applyProtection="0">
      <alignment horizontal="center" vertical="center" wrapText="1"/>
    </xf>
    <xf numFmtId="49" fontId="3" fillId="3" borderId="30" applyNumberFormat="1" applyFont="1" applyFill="1" applyBorder="1" applyAlignment="1" applyProtection="0">
      <alignment horizontal="center" vertical="center" wrapText="1"/>
    </xf>
    <xf numFmtId="0" fontId="1" fillId="4" borderId="31" applyNumberFormat="1" applyFont="1" applyFill="1" applyBorder="1" applyAlignment="1" applyProtection="0">
      <alignment horizontal="center" vertical="center" wrapText="1"/>
    </xf>
    <xf numFmtId="0" fontId="1" fillId="4" borderId="32" applyNumberFormat="1" applyFont="1" applyFill="1" applyBorder="1" applyAlignment="1" applyProtection="0">
      <alignment horizontal="center" vertical="center" wrapText="1"/>
    </xf>
    <xf numFmtId="0" fontId="1" fillId="4" borderId="33" applyNumberFormat="1" applyFont="1" applyFill="1" applyBorder="1" applyAlignment="1" applyProtection="0">
      <alignment horizontal="center" vertical="center" wrapText="1"/>
    </xf>
    <xf numFmtId="0" fontId="1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49" fontId="3" fillId="2" borderId="34" applyNumberFormat="1" applyFont="1" applyFill="1" applyBorder="1" applyAlignment="1" applyProtection="0">
      <alignment vertical="top" wrapText="1"/>
    </xf>
    <xf numFmtId="49" fontId="3" fillId="2" borderId="35" applyNumberFormat="1" applyFont="1" applyFill="1" applyBorder="1" applyAlignment="1" applyProtection="0">
      <alignment vertical="top" wrapText="1"/>
    </xf>
    <xf numFmtId="49" fontId="3" fillId="2" borderId="36" applyNumberFormat="1" applyFont="1" applyFill="1" applyBorder="1" applyAlignment="1" applyProtection="0">
      <alignment vertical="top" wrapText="1"/>
    </xf>
    <xf numFmtId="49" fontId="3" fillId="2" borderId="37" applyNumberFormat="1" applyFont="1" applyFill="1" applyBorder="1" applyAlignment="1" applyProtection="0">
      <alignment vertical="top" wrapText="1"/>
    </xf>
    <xf numFmtId="1" fontId="3" fillId="2" borderId="5" applyNumberFormat="1" applyFont="1" applyFill="1" applyBorder="1" applyAlignment="1" applyProtection="0">
      <alignment vertical="top" wrapText="1"/>
    </xf>
    <xf numFmtId="49" fontId="3" fillId="2" borderId="38" applyNumberFormat="1" applyFont="1" applyFill="1" applyBorder="1" applyAlignment="1" applyProtection="0">
      <alignment vertical="top" wrapText="1"/>
    </xf>
    <xf numFmtId="49" fontId="3" fillId="2" borderId="39" applyNumberFormat="1" applyFont="1" applyFill="1" applyBorder="1" applyAlignment="1" applyProtection="0">
      <alignment vertical="top" wrapText="1"/>
    </xf>
    <xf numFmtId="2" fontId="3" fillId="2" borderId="40" applyNumberFormat="1" applyFont="1" applyFill="1" applyBorder="1" applyAlignment="1" applyProtection="0">
      <alignment vertical="top" wrapText="1"/>
    </xf>
    <xf numFmtId="49" fontId="3" fillId="2" borderId="41" applyNumberFormat="1" applyFont="1" applyFill="1" applyBorder="1" applyAlignment="1" applyProtection="0">
      <alignment vertical="top" wrapText="1"/>
    </xf>
    <xf numFmtId="49" fontId="3" fillId="3" borderId="42" applyNumberFormat="1" applyFont="1" applyFill="1" applyBorder="1" applyAlignment="1" applyProtection="0">
      <alignment vertical="top" wrapText="1"/>
    </xf>
    <xf numFmtId="59" fontId="1" borderId="43" applyNumberFormat="1" applyFont="1" applyFill="0" applyBorder="1" applyAlignment="1" applyProtection="0">
      <alignment vertical="top" wrapText="1"/>
    </xf>
    <xf numFmtId="59" fontId="1" borderId="44" applyNumberFormat="1" applyFont="1" applyFill="0" applyBorder="1" applyAlignment="1" applyProtection="0">
      <alignment vertical="top" wrapText="1"/>
    </xf>
    <xf numFmtId="62" fontId="1" borderId="44" applyNumberFormat="1" applyFont="1" applyFill="0" applyBorder="1" applyAlignment="1" applyProtection="0">
      <alignment vertical="top" wrapText="1"/>
    </xf>
    <xf numFmtId="49" fontId="1" borderId="45" applyNumberFormat="1" applyFont="1" applyFill="0" applyBorder="1" applyAlignment="1" applyProtection="0">
      <alignment vertical="top" wrapText="1"/>
    </xf>
    <xf numFmtId="49" fontId="3" fillId="3" borderId="46" applyNumberFormat="1" applyFont="1" applyFill="1" applyBorder="1" applyAlignment="1" applyProtection="0">
      <alignment vertical="top" wrapText="1"/>
    </xf>
    <xf numFmtId="59" fontId="1" fillId="5" borderId="47" applyNumberFormat="1" applyFont="1" applyFill="1" applyBorder="1" applyAlignment="1" applyProtection="0">
      <alignment vertical="top" wrapText="1"/>
    </xf>
    <xf numFmtId="59" fontId="1" fillId="5" borderId="48" applyNumberFormat="1" applyFont="1" applyFill="1" applyBorder="1" applyAlignment="1" applyProtection="0">
      <alignment vertical="top" wrapText="1"/>
    </xf>
    <xf numFmtId="0" fontId="1" fillId="5" borderId="48" applyNumberFormat="0" applyFont="1" applyFill="1" applyBorder="1" applyAlignment="1" applyProtection="0">
      <alignment vertical="top" wrapText="1"/>
    </xf>
    <xf numFmtId="62" fontId="1" fillId="5" borderId="48" applyNumberFormat="1" applyFont="1" applyFill="1" applyBorder="1" applyAlignment="1" applyProtection="0">
      <alignment vertical="top" wrapText="1"/>
    </xf>
    <xf numFmtId="49" fontId="1" fillId="5" borderId="49" applyNumberFormat="1" applyFont="1" applyFill="1" applyBorder="1" applyAlignment="1" applyProtection="0">
      <alignment vertical="top" wrapText="1"/>
    </xf>
    <xf numFmtId="59" fontId="1" borderId="47" applyNumberFormat="1" applyFont="1" applyFill="0" applyBorder="1" applyAlignment="1" applyProtection="0">
      <alignment vertical="top" wrapText="1"/>
    </xf>
    <xf numFmtId="59" fontId="1" borderId="48" applyNumberFormat="1" applyFont="1" applyFill="0" applyBorder="1" applyAlignment="1" applyProtection="0">
      <alignment vertical="top" wrapText="1"/>
    </xf>
    <xf numFmtId="62" fontId="1" borderId="48" applyNumberFormat="1" applyFont="1" applyFill="0" applyBorder="1" applyAlignment="1" applyProtection="0">
      <alignment vertical="top" wrapText="1"/>
    </xf>
    <xf numFmtId="49" fontId="1" borderId="49" applyNumberFormat="1" applyFont="1" applyFill="0" applyBorder="1" applyAlignment="1" applyProtection="0">
      <alignment vertical="top" wrapText="1"/>
    </xf>
    <xf numFmtId="49" fontId="3" fillId="3" borderId="50" applyNumberFormat="1" applyFont="1" applyFill="1" applyBorder="1" applyAlignment="1" applyProtection="0">
      <alignment vertical="top" wrapText="1"/>
    </xf>
    <xf numFmtId="59" fontId="1" borderId="51" applyNumberFormat="1" applyFont="1" applyFill="0" applyBorder="1" applyAlignment="1" applyProtection="0">
      <alignment vertical="top" wrapText="1"/>
    </xf>
    <xf numFmtId="59" fontId="1" borderId="52" applyNumberFormat="1" applyFont="1" applyFill="0" applyBorder="1" applyAlignment="1" applyProtection="0">
      <alignment vertical="top" wrapText="1"/>
    </xf>
    <xf numFmtId="62" fontId="1" borderId="52" applyNumberFormat="1" applyFont="1" applyFill="0" applyBorder="1" applyAlignment="1" applyProtection="0">
      <alignment vertical="top" wrapText="1"/>
    </xf>
    <xf numFmtId="49" fontId="1" borderId="53" applyNumberFormat="1" applyFont="1" applyFill="0" applyBorder="1" applyAlignment="1" applyProtection="0">
      <alignment vertical="top" wrapText="1"/>
    </xf>
    <xf numFmtId="49" fontId="3" fillId="6" borderId="54" applyNumberFormat="1" applyFont="1" applyFill="1" applyBorder="1" applyAlignment="1" applyProtection="0">
      <alignment vertical="top" wrapText="1"/>
    </xf>
    <xf numFmtId="59" fontId="3" fillId="6" borderId="55" applyNumberFormat="1" applyFont="1" applyFill="1" applyBorder="1" applyAlignment="1" applyProtection="0">
      <alignment vertical="top" wrapText="1"/>
    </xf>
    <xf numFmtId="0" fontId="3" fillId="6" borderId="55" applyNumberFormat="0" applyFont="1" applyFill="1" applyBorder="1" applyAlignment="1" applyProtection="0">
      <alignment vertical="top" wrapText="1"/>
    </xf>
    <xf numFmtId="62" fontId="3" fillId="6" borderId="55" applyNumberFormat="1" applyFont="1" applyFill="1" applyBorder="1" applyAlignment="1" applyProtection="0">
      <alignment vertical="top" wrapText="1"/>
    </xf>
    <xf numFmtId="3" fontId="3" fillId="6" borderId="56" applyNumberFormat="1" applyFont="1" applyFill="1" applyBorder="1" applyAlignment="1" applyProtection="0">
      <alignment vertical="top" wrapText="1"/>
    </xf>
    <xf numFmtId="0" fontId="1" applyNumberFormat="1" applyFont="1" applyFill="0" applyBorder="0" applyAlignment="1" applyProtection="0">
      <alignment horizontal="center" vertical="center" wrapText="1"/>
    </xf>
    <xf numFmtId="61" fontId="3" fillId="3" borderId="57" applyNumberFormat="1" applyFont="1" applyFill="1" applyBorder="1" applyAlignment="1" applyProtection="0">
      <alignment horizontal="center" vertical="center" wrapText="1"/>
    </xf>
    <xf numFmtId="61" fontId="3" fillId="3" borderId="58" applyNumberFormat="1" applyFont="1" applyFill="1" applyBorder="1" applyAlignment="1" applyProtection="0">
      <alignment horizontal="center" vertical="center" wrapText="1"/>
    </xf>
    <xf numFmtId="49" fontId="1" fillId="4" borderId="8" applyNumberFormat="1" applyFont="1" applyFill="1" applyBorder="1" applyAlignment="1" applyProtection="0">
      <alignment horizontal="center" vertical="center" wrapText="1"/>
    </xf>
    <xf numFmtId="1" fontId="1" fillId="4" borderId="10" applyNumberFormat="1" applyFont="1" applyFill="1" applyBorder="1" applyAlignment="1" applyProtection="0">
      <alignment horizontal="center" vertical="center" wrapText="1"/>
    </xf>
    <xf numFmtId="61" fontId="3" fillId="3" borderId="59" applyNumberFormat="1" applyFont="1" applyFill="1" applyBorder="1" applyAlignment="1" applyProtection="0">
      <alignment horizontal="center" vertical="center" wrapText="1"/>
    </xf>
    <xf numFmtId="61" fontId="3" fillId="3" borderId="60" applyNumberFormat="1" applyFont="1" applyFill="1" applyBorder="1" applyAlignment="1" applyProtection="0">
      <alignment horizontal="center" vertical="center" wrapText="1"/>
    </xf>
    <xf numFmtId="49" fontId="1" fillId="5" borderId="12" applyNumberFormat="1" applyFont="1" applyFill="1" applyBorder="1" applyAlignment="1" applyProtection="0">
      <alignment horizontal="center" vertical="center" wrapText="1"/>
    </xf>
    <xf numFmtId="1" fontId="1" fillId="5" borderId="14" applyNumberFormat="1" applyFont="1" applyFill="1" applyBorder="1" applyAlignment="1" applyProtection="0">
      <alignment horizontal="center" vertical="center" wrapText="1"/>
    </xf>
    <xf numFmtId="49" fontId="1" fillId="4" borderId="12" applyNumberFormat="1" applyFont="1" applyFill="1" applyBorder="1" applyAlignment="1" applyProtection="0">
      <alignment horizontal="center" vertical="center" wrapText="1"/>
    </xf>
    <xf numFmtId="1" fontId="1" fillId="4" borderId="14" applyNumberFormat="1" applyFont="1" applyFill="1" applyBorder="1" applyAlignment="1" applyProtection="0">
      <alignment horizontal="center" vertical="center" wrapText="1"/>
    </xf>
    <xf numFmtId="61" fontId="3" fillId="3" borderId="61" applyNumberFormat="1" applyFont="1" applyFill="1" applyBorder="1" applyAlignment="1" applyProtection="0">
      <alignment horizontal="center" vertical="center" wrapText="1"/>
    </xf>
    <xf numFmtId="61" fontId="3" fillId="3" borderId="62" applyNumberFormat="1" applyFont="1" applyFill="1" applyBorder="1" applyAlignment="1" applyProtection="0">
      <alignment horizontal="center" vertical="center" wrapText="1"/>
    </xf>
    <xf numFmtId="49" fontId="1" fillId="4" borderId="31" applyNumberFormat="1" applyFont="1" applyFill="1" applyBorder="1" applyAlignment="1" applyProtection="0">
      <alignment horizontal="center" vertical="center" wrapText="1"/>
    </xf>
    <xf numFmtId="1" fontId="1" fillId="4" borderId="33" applyNumberFormat="1" applyFont="1" applyFill="1" applyBorder="1" applyAlignment="1" applyProtection="0">
      <alignment horizontal="center" vertical="center" wrapText="1"/>
    </xf>
    <xf numFmtId="0" fontId="1" applyNumberFormat="1" applyFont="1" applyFill="0" applyBorder="0" applyAlignment="1" applyProtection="0">
      <alignment horizontal="center" vertical="center" wrapText="1"/>
    </xf>
    <xf numFmtId="49" fontId="3" fillId="2" borderId="63" applyNumberFormat="1" applyFont="1" applyFill="1" applyBorder="1" applyAlignment="1" applyProtection="0">
      <alignment horizontal="center" vertical="center" wrapText="1"/>
    </xf>
    <xf numFmtId="3" fontId="7" fillId="4" borderId="64" applyNumberFormat="1" applyFont="1" applyFill="1" applyBorder="1" applyAlignment="1" applyProtection="0">
      <alignment horizontal="center" vertical="center" wrapText="1"/>
    </xf>
    <xf numFmtId="0" fontId="1" applyNumberFormat="1" applyFont="1" applyFill="0" applyBorder="0" applyAlignment="1" applyProtection="0">
      <alignment horizontal="center" vertical="center" wrapText="1"/>
    </xf>
    <xf numFmtId="0" fontId="1" fillId="4" borderId="65" applyNumberFormat="0" applyFont="1" applyFill="1" applyBorder="1" applyAlignment="1" applyProtection="0">
      <alignment horizontal="center" vertical="center" wrapText="1"/>
    </xf>
    <xf numFmtId="0" fontId="1" applyNumberFormat="1" applyFont="1" applyFill="0" applyBorder="0" applyAlignment="1" applyProtection="0">
      <alignment horizontal="center" vertical="center" wrapText="1"/>
    </xf>
    <xf numFmtId="49" fontId="2" fillId="4" borderId="65" applyNumberFormat="1" applyFont="1" applyFill="1" applyBorder="1" applyAlignment="1" applyProtection="0">
      <alignment vertical="center" wrapText="1"/>
    </xf>
    <xf numFmtId="0" fontId="1" applyNumberFormat="1" applyFont="1" applyFill="0" applyBorder="0" applyAlignment="1" applyProtection="0">
      <alignment horizontal="center" vertical="center" wrapText="1"/>
    </xf>
    <xf numFmtId="62" fontId="1" fillId="4" borderId="8" applyNumberFormat="1" applyFont="1" applyFill="1" applyBorder="1" applyAlignment="1" applyProtection="0">
      <alignment horizontal="center" vertical="center" wrapText="1"/>
    </xf>
    <xf numFmtId="62" fontId="1" fillId="4" borderId="9" applyNumberFormat="1" applyFont="1" applyFill="1" applyBorder="1" applyAlignment="1" applyProtection="0">
      <alignment horizontal="center" vertical="center" wrapText="1"/>
    </xf>
    <xf numFmtId="62" fontId="1" fillId="4" borderId="10" applyNumberFormat="1" applyFont="1" applyFill="1" applyBorder="1" applyAlignment="1" applyProtection="0">
      <alignment horizontal="center" vertical="center" wrapText="1"/>
    </xf>
    <xf numFmtId="49" fontId="3" fillId="3" borderId="30" applyNumberFormat="1" applyFont="1" applyFill="1" applyBorder="1" applyAlignment="1" applyProtection="0">
      <alignment vertical="center" wrapText="1"/>
    </xf>
    <xf numFmtId="62" fontId="1" fillId="5" borderId="31" applyNumberFormat="1" applyFont="1" applyFill="1" applyBorder="1" applyAlignment="1" applyProtection="0">
      <alignment horizontal="center" vertical="center" wrapText="1"/>
    </xf>
    <xf numFmtId="62" fontId="1" fillId="5" borderId="32" applyNumberFormat="1" applyFont="1" applyFill="1" applyBorder="1" applyAlignment="1" applyProtection="0">
      <alignment horizontal="center" vertical="center" wrapText="1"/>
    </xf>
    <xf numFmtId="62" fontId="1" fillId="5" borderId="33" applyNumberFormat="1" applyFont="1" applyFill="1" applyBorder="1" applyAlignment="1" applyProtection="0">
      <alignment horizontal="center" vertical="center" wrapText="1"/>
    </xf>
    <xf numFmtId="0" fontId="1" applyNumberFormat="1" applyFont="1" applyFill="0" applyBorder="0" applyAlignment="1" applyProtection="0">
      <alignment horizontal="center" vertical="center" wrapText="1"/>
    </xf>
    <xf numFmtId="49" fontId="1" fillId="4" borderId="10" applyNumberFormat="1" applyFont="1" applyFill="1" applyBorder="1" applyAlignment="1" applyProtection="0">
      <alignment horizontal="center" vertical="center" wrapText="1"/>
    </xf>
    <xf numFmtId="49" fontId="1" fillId="5" borderId="14" applyNumberFormat="1" applyFont="1" applyFill="1" applyBorder="1" applyAlignment="1" applyProtection="0">
      <alignment horizontal="center" vertical="center" wrapText="1"/>
    </xf>
    <xf numFmtId="49" fontId="1" fillId="4" borderId="14" applyNumberFormat="1" applyFont="1" applyFill="1" applyBorder="1" applyAlignment="1" applyProtection="0">
      <alignment horizontal="center" vertical="center" wrapText="1"/>
    </xf>
    <xf numFmtId="49" fontId="1" fillId="4" borderId="33" applyNumberFormat="1" applyFont="1" applyFill="1" applyBorder="1" applyAlignment="1" applyProtection="0">
      <alignment horizontal="center" vertical="center" wrapText="1"/>
    </xf>
    <xf numFmtId="0" fontId="1" applyNumberFormat="1" applyFont="1" applyFill="0" applyBorder="0" applyAlignment="1" applyProtection="0">
      <alignment vertical="top" wrapText="1"/>
    </xf>
    <xf numFmtId="49" fontId="3" fillId="2" borderId="66" applyNumberFormat="1" applyFont="1" applyFill="1" applyBorder="1" applyAlignment="1" applyProtection="0">
      <alignment vertical="top" wrapText="1"/>
    </xf>
    <xf numFmtId="49" fontId="3" fillId="2" borderId="67" applyNumberFormat="1" applyFont="1" applyFill="1" applyBorder="1" applyAlignment="1" applyProtection="0">
      <alignment vertical="top" wrapText="1"/>
    </xf>
    <xf numFmtId="49" fontId="3" fillId="2" borderId="68" applyNumberFormat="1" applyFont="1" applyFill="1" applyBorder="1" applyAlignment="1" applyProtection="0">
      <alignment vertical="top" wrapText="1"/>
    </xf>
    <xf numFmtId="0" fontId="1" borderId="54" applyNumberFormat="1" applyFont="1" applyFill="0" applyBorder="1" applyAlignment="1" applyProtection="0">
      <alignment vertical="top" wrapText="1"/>
    </xf>
    <xf numFmtId="0" fontId="1" borderId="55" applyNumberFormat="1" applyFont="1" applyFill="0" applyBorder="1" applyAlignment="1" applyProtection="0">
      <alignment vertical="top" wrapText="1"/>
    </xf>
    <xf numFmtId="0" fontId="1" borderId="56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375719"/>
      <rgbColor rgb="ff5f5f5f"/>
      <rgbColor rgb="ff444344"/>
      <rgbColor rgb="fffefffe"/>
      <rgbColor rgb="ff8cb9b0"/>
      <rgbColor rgb="ffe1e0de"/>
      <rgbColor rgb="ff000000"/>
      <rgbColor rgb="ff4f9d8c"/>
      <rgbColor rgb="ffebe8e3"/>
      <rgbColor rgb="fff4f4f4"/>
      <rgbColor rgb="ffeeefef"/>
      <rgbColor rgb="ff407f72"/>
      <rgbColor rgb="ff191919"/>
      <rgbColor rgb="ffc5dcd7"/>
      <rgbColor rgb="ffd8d1c8"/>
      <rgbColor rgb="ff555555"/>
      <rgbColor rgb="ffa6a6a6"/>
      <rgbColor rgb="ff484242"/>
      <rgbColor rgb="ffedaf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charts/_rels/chart1.xml.rels><?xml version="1.0" encoding="UTF-8"?>
<Relationships xmlns="http://schemas.openxmlformats.org/package/2006/relationships"><Relationship Id="rId1" Type="http://schemas.openxmlformats.org/officeDocument/2006/relationships/image" Target="../media/image4.png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693187"/>
          <c:y val="0.0605851"/>
          <c:w val="0.925681"/>
          <c:h val="0.8443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'Grade tracker'!$N$38</c:f>
              <c:strCache>
                <c:ptCount val="1"/>
                <c:pt idx="0">
                  <c:v># of Students</c:v>
                </c:pt>
              </c:strCache>
            </c:strRef>
          </c:tx>
          <c:spPr>
            <a:blipFill rotWithShape="1">
              <a:blip r:embed="rId1"/>
              <a:srcRect l="0" t="0" r="0" b="0"/>
              <a:tile tx="0" ty="0" sx="100000" sy="100000" flip="none" algn="tl"/>
            </a:blipFill>
            <a:ln w="12700" cap="flat">
              <a:noFill/>
              <a:miter lim="400000"/>
            </a:ln>
            <a:effectLst/>
          </c:spPr>
          <c:invertIfNegative val="0"/>
          <c:dLbls>
            <c:numFmt formatCode="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0" dist="38100" dir="2700000">
                        <a:srgbClr val="000000">
                          <a:alpha val="33333"/>
                        </a:srgbClr>
                      </a:outerShdw>
                    </a:effectLst>
                    <a:latin typeface="Avenir Next Demi Bold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'Grade tracker'!$M$39:$M$49</c:f>
              <c:strCache>
                <c:ptCount val="11"/>
                <c:pt idx="0">
                  <c:v>A</c:v>
                </c:pt>
                <c:pt idx="1">
                  <c:v>A-</c:v>
                </c:pt>
                <c:pt idx="2">
                  <c:v>B+</c:v>
                </c:pt>
                <c:pt idx="3">
                  <c:v>B</c:v>
                </c:pt>
                <c:pt idx="4">
                  <c:v>B-</c:v>
                </c:pt>
                <c:pt idx="5">
                  <c:v>C+</c:v>
                </c:pt>
                <c:pt idx="6">
                  <c:v>C</c:v>
                </c:pt>
                <c:pt idx="7">
                  <c:v>C-</c:v>
                </c:pt>
                <c:pt idx="8">
                  <c:v>D+</c:v>
                </c:pt>
                <c:pt idx="9">
                  <c:v>D</c:v>
                </c:pt>
                <c:pt idx="10">
                  <c:v>F</c:v>
                </c:pt>
              </c:strCache>
            </c:strRef>
          </c:cat>
          <c:val>
            <c:numRef>
              <c:f>'Grade tracker'!$N$39:$N$49</c:f>
              <c:numCache>
                <c:ptCount val="11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6.000000</c:v>
                </c:pt>
                <c:pt idx="9">
                  <c:v>3.000000</c:v>
                </c:pt>
                <c:pt idx="10">
                  <c:v>10.000000</c:v>
                </c:pt>
              </c:numCache>
            </c:numRef>
          </c:val>
        </c:ser>
        <c:gapWidth val="10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94342"/>
                </a:solidFill>
                <a:latin typeface="Avenir Next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0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494342"/>
                </a:solidFill>
                <a:latin typeface="Avenir Next"/>
              </a:defRPr>
            </a:pPr>
          </a:p>
        </c:txPr>
        <c:crossAx val="2094734552"/>
        <c:crosses val="autoZero"/>
        <c:crossBetween val="between"/>
        <c:majorUnit val="3.33333"/>
        <c:minorUnit val="1.66667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917636"/>
          <c:y val="0.0992345"/>
          <c:w val="0.705012"/>
          <c:h val="0.753023"/>
        </c:manualLayout>
      </c:layout>
      <c:lineChart>
        <c:grouping val="standard"/>
        <c:varyColors val="0"/>
        <c:ser>
          <c:idx val="0"/>
          <c:order val="0"/>
          <c:tx>
            <c:strRef>
              <c:f>'Reports'!$C$8</c:f>
              <c:strCache>
                <c:ptCount val="1"/>
                <c:pt idx="0">
                  <c:v>Hunlede, K. 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chemeClr val="accent2">
                  <a:satOff val="2712"/>
                  <a:lumOff val="-22946"/>
                </a:schemeClr>
              </a:solidFill>
              <a:prstDash val="solid"/>
              <a:miter lim="400000"/>
            </a:ln>
            <a:effectLst>
              <a:outerShdw sx="100000" sy="100000" kx="0" ky="0" algn="tl" rotWithShape="1" blurRad="38100" dist="25400" dir="2700000">
                <a:srgbClr val="000000">
                  <a:alpha val="25000"/>
                </a:srgbClr>
              </a:outerShdw>
            </a:effectLst>
          </c:spPr>
          <c:marker>
            <c:symbol val="circle"/>
            <c:size val="8"/>
            <c:spPr>
              <a:solidFill>
                <a:srgbClr val="FFFFFF"/>
              </a:solidFill>
              <a:ln w="25400" cap="flat">
                <a:solidFill>
                  <a:schemeClr val="accent2">
                    <a:satOff val="2712"/>
                    <a:lumOff val="-22946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.0%" sourceLinked="1"/>
            <c:txPr>
              <a:bodyPr/>
              <a:lstStyle/>
              <a:p>
                <a:pPr>
                  <a:defRPr b="1" i="0" strike="noStrike" sz="1100" u="none">
                    <a:solidFill>
                      <a:srgbClr val="FFFFFF"/>
                    </a:solidFill>
                    <a:effectLst>
                      <a:outerShdw sx="100000" sy="100000" kx="0" ky="0" algn="tl" rotWithShape="1" blurRad="190500" dist="25400" dir="5400000">
                        <a:srgbClr val="000000">
                          <a:alpha val="50000"/>
                        </a:srgbClr>
                      </a:outerShdw>
                    </a:effectLst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'Reports'!$D$6:$I$6</c:f>
              <c:strCache>
                <c:ptCount val="6"/>
                <c:pt idx="0">
                  <c:v>Problem 1</c:v>
                </c:pt>
                <c:pt idx="1">
                  <c:v>Problem 2</c:v>
                </c:pt>
                <c:pt idx="2">
                  <c:v>Problem 3</c:v>
                </c:pt>
                <c:pt idx="3">
                  <c:v>Problem 4</c:v>
                </c:pt>
                <c:pt idx="4">
                  <c:v>Problem 5</c:v>
                </c:pt>
                <c:pt idx="5">
                  <c:v>Weighted Total</c:v>
                </c:pt>
              </c:strCache>
            </c:strRef>
          </c:cat>
          <c:val>
            <c:numRef>
              <c:f>'Reports'!$D$8:$I$8</c:f>
              <c:numCache>
                <c:ptCount val="6"/>
                <c:pt idx="0">
                  <c:v>0.433333</c:v>
                </c:pt>
                <c:pt idx="1">
                  <c:v>0.300000</c:v>
                </c:pt>
                <c:pt idx="2">
                  <c:v>0.800000</c:v>
                </c:pt>
                <c:pt idx="3">
                  <c:v>0.450000</c:v>
                </c:pt>
                <c:pt idx="4">
                  <c:v>0.000000</c:v>
                </c:pt>
                <c:pt idx="5">
                  <c:v>0.360000</c:v>
                </c:pt>
              </c:numCache>
            </c:numRef>
          </c:val>
          <c:smooth val="0"/>
        </c:ser>
        <c:ser>
          <c:idx val="1"/>
          <c:order val="1"/>
          <c:tx>
            <c:v>Class Avg,</c:v>
          </c:tx>
          <c:spPr>
            <a:gradFill flip="none" rotWithShape="1">
              <a:gsLst>
                <a:gs pos="0">
                  <a:srgbClr val="FFFFFF"/>
                </a:gs>
                <a:gs pos="100000">
                  <a:srgbClr val="EDB04D"/>
                </a:gs>
              </a:gsLst>
              <a:lin ang="2700000" scaled="0"/>
            </a:gradFill>
            <a:ln w="38100" cap="flat">
              <a:solidFill>
                <a:srgbClr val="EDB04D"/>
              </a:solidFill>
              <a:prstDash val="solid"/>
              <a:miter lim="400000"/>
            </a:ln>
            <a:effectLst>
              <a:outerShdw sx="100000" sy="100000" kx="0" ky="0" algn="tl" rotWithShape="1" blurRad="38100" dist="25400" dir="2700000">
                <a:srgbClr val="000000">
                  <a:alpha val="25000"/>
                </a:srgbClr>
              </a:outerShdw>
            </a:effectLst>
          </c:spPr>
          <c:marker>
            <c:symbol val="circle"/>
            <c:size val="9"/>
            <c:spPr>
              <a:gradFill flip="none" rotWithShape="1">
                <a:gsLst>
                  <a:gs pos="0">
                    <a:srgbClr val="FFFFFF"/>
                  </a:gs>
                  <a:gs pos="100000">
                    <a:srgbClr val="EDB04D"/>
                  </a:gs>
                </a:gsLst>
                <a:lin ang="2700000" scaled="0"/>
              </a:gradFill>
              <a:ln w="12700" cap="flat">
                <a:solidFill>
                  <a:srgbClr val="EDB04D"/>
                </a:solidFill>
                <a:prstDash val="solid"/>
                <a:miter lim="400000"/>
              </a:ln>
              <a:effectLst/>
            </c:spPr>
          </c:marker>
          <c:dLbls>
            <c:numFmt formatCode="#,##0.0%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0" dist="38100" dir="2700000">
                        <a:srgbClr val="000000">
                          <a:alpha val="33333"/>
                        </a:srgbClr>
                      </a:outerShdw>
                    </a:effectLst>
                    <a:latin typeface="Avenir Next Demi Bold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'Reports'!$D$6:$I$6</c:f>
              <c:strCache>
                <c:ptCount val="6"/>
                <c:pt idx="0">
                  <c:v>Problem 1</c:v>
                </c:pt>
                <c:pt idx="1">
                  <c:v>Problem 2</c:v>
                </c:pt>
                <c:pt idx="2">
                  <c:v>Problem 3</c:v>
                </c:pt>
                <c:pt idx="3">
                  <c:v>Problem 4</c:v>
                </c:pt>
                <c:pt idx="4">
                  <c:v>Problem 5</c:v>
                </c:pt>
                <c:pt idx="5">
                  <c:v>Weighted Total</c:v>
                </c:pt>
              </c:strCache>
            </c:strRef>
          </c:cat>
          <c:val>
            <c:numRef>
              <c:f>'Reports'!$D$7:$I$7</c:f>
              <c:numCache>
                <c:ptCount val="6"/>
                <c:pt idx="0">
                  <c:v>0.573563</c:v>
                </c:pt>
                <c:pt idx="1">
                  <c:v>0.606897</c:v>
                </c:pt>
                <c:pt idx="2">
                  <c:v>0.817241</c:v>
                </c:pt>
                <c:pt idx="3">
                  <c:v>0.534483</c:v>
                </c:pt>
                <c:pt idx="4">
                  <c:v>0.231034</c:v>
                </c:pt>
                <c:pt idx="5">
                  <c:v>0.528276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A7A7A7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606060"/>
                </a:solidFill>
                <a:latin typeface="Avenir Next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1"/>
          <c:min val="0"/>
        </c:scaling>
        <c:delete val="0"/>
        <c:axPos val="l"/>
        <c:majorGridlines>
          <c:spPr>
            <a:ln w="6350" cap="flat">
              <a:solidFill>
                <a:srgbClr val="A7A7A7"/>
              </a:solidFill>
              <a:custDash>
                <a:ds d="200000" sp="200000"/>
              </a:custDash>
              <a:miter lim="400000"/>
            </a:ln>
          </c:spPr>
        </c:majorGridlines>
        <c:numFmt formatCode="#,##0.0%" sourceLinked="1"/>
        <c:majorTickMark val="none"/>
        <c:minorTickMark val="none"/>
        <c:tickLblPos val="nextTo"/>
        <c:spPr>
          <a:ln w="635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606060"/>
                </a:solidFill>
                <a:latin typeface="Avenir Next"/>
              </a:defRPr>
            </a:pPr>
          </a:p>
        </c:txPr>
        <c:crossAx val="2094734552"/>
        <c:crosses val="autoZero"/>
        <c:crossBetween val="between"/>
        <c:majorUnit val="0.2"/>
        <c:minorUnit val="0.1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796776"/>
          <c:y val="0.0130653"/>
          <c:w val="0.203224"/>
          <c:h val="0.22346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606060"/>
              </a:solidFill>
              <a:latin typeface="Avenir Next"/>
            </a:defRPr>
          </a:pPr>
        </a:p>
      </c:txPr>
    </c:legend>
    <c:plotVisOnly val="0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chart" Target="../charts/chart1.xml"/></Relationships>
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3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7</xdr:col>
      <xdr:colOff>41473</xdr:colOff>
      <xdr:row>0</xdr:row>
      <xdr:rowOff>736092</xdr:rowOff>
    </xdr:to>
    <xdr:sp>
      <xdr:nvSpPr>
        <xdr:cNvPr id="2" name="Shape 2"/>
        <xdr:cNvSpPr/>
      </xdr:nvSpPr>
      <xdr:spPr>
        <a:xfrm>
          <a:off x="-19050" y="-48006"/>
          <a:ext cx="6124774" cy="736093"/>
        </a:xfrm>
        <a:prstGeom prst="rect">
          <a:avLst/>
        </a:prstGeom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ctr">
          <a:no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all" i="0" spc="79" strike="noStrike" sz="2000" u="none">
              <a:ln>
                <a:noFill/>
              </a:ln>
              <a:solidFill>
                <a:srgbClr val="FFFFFF"/>
              </a:solidFill>
              <a:uFillTx/>
              <a:latin typeface="+mj-lt"/>
              <a:ea typeface="+mj-ea"/>
              <a:cs typeface="+mj-cs"/>
              <a:sym typeface="Avenir Next Medium"/>
            </a:defRPr>
          </a:pPr>
          <a:r>
            <a:rPr b="0" baseline="0" cap="all" i="0" spc="79" strike="noStrike" sz="2000" u="none">
              <a:ln>
                <a:noFill/>
              </a:ln>
              <a:solidFill>
                <a:srgbClr val="FFFFFF"/>
              </a:solidFill>
              <a:uFillTx/>
              <a:latin typeface="+mj-lt"/>
              <a:ea typeface="+mj-ea"/>
              <a:cs typeface="+mj-cs"/>
              <a:sym typeface="Avenir Next Medium"/>
            </a:rPr>
            <a:t>Grade distribution - midterm</a:t>
          </a:r>
        </a:p>
      </xdr:txBody>
    </xdr:sp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6349</xdr:colOff>
      <xdr:row>0</xdr:row>
      <xdr:rowOff>0</xdr:rowOff>
    </xdr:from>
    <xdr:to>
      <xdr:col>0</xdr:col>
      <xdr:colOff>6970953</xdr:colOff>
      <xdr:row>2</xdr:row>
      <xdr:rowOff>24130</xdr:rowOff>
    </xdr:to>
    <xdr:sp>
      <xdr:nvSpPr>
        <xdr:cNvPr id="4" name="Shape 4"/>
        <xdr:cNvSpPr txBox="1"/>
      </xdr:nvSpPr>
      <xdr:spPr>
        <a:xfrm>
          <a:off x="6349" y="-325438"/>
          <a:ext cx="6964604" cy="511176"/>
        </a:xfrm>
        <a:prstGeom prst="rect">
          <a:avLst/>
        </a:prstGeom>
        <a:solidFill>
          <a:schemeClr val="accent2">
            <a:satOff val="-8842"/>
            <a:lumOff val="17669"/>
          </a:schemeClr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all" i="0" spc="79" strike="noStrike" sz="2000" u="none">
              <a:ln>
                <a:noFill/>
              </a:ln>
              <a:solidFill>
                <a:srgbClr val="FFFFFF"/>
              </a:solidFill>
              <a:uFillTx/>
              <a:latin typeface="+mj-lt"/>
              <a:ea typeface="+mj-ea"/>
              <a:cs typeface="+mj-cs"/>
              <a:sym typeface="Avenir Next Medium"/>
            </a:defRPr>
          </a:pPr>
          <a:r>
            <a:rPr b="0" baseline="0" cap="all" i="0" spc="79" strike="noStrike" sz="2000" u="none">
              <a:ln>
                <a:noFill/>
              </a:ln>
              <a:solidFill>
                <a:srgbClr val="FFFFFF"/>
              </a:solidFill>
              <a:uFillTx/>
              <a:latin typeface="+mj-lt"/>
              <a:ea typeface="+mj-ea"/>
              <a:cs typeface="+mj-cs"/>
              <a:sym typeface="Avenir Next Medium"/>
            </a:rPr>
            <a:t>Midterm Skills analysis</a:t>
          </a:r>
        </a:p>
      </xdr:txBody>
    </xdr:sp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10</xdr:col>
      <xdr:colOff>9167</xdr:colOff>
      <xdr:row>0</xdr:row>
      <xdr:rowOff>736092</xdr:rowOff>
    </xdr:to>
    <xdr:sp>
      <xdr:nvSpPr>
        <xdr:cNvPr id="6" name="Shape 6"/>
        <xdr:cNvSpPr/>
      </xdr:nvSpPr>
      <xdr:spPr>
        <a:xfrm>
          <a:off x="-19050" y="-48006"/>
          <a:ext cx="9381768" cy="736093"/>
        </a:xfrm>
        <a:prstGeom prst="rect">
          <a:avLst/>
        </a:prstGeom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ctr">
          <a:no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all" i="0" spc="79" strike="noStrike" sz="2000" u="none">
              <a:ln>
                <a:noFill/>
              </a:ln>
              <a:solidFill>
                <a:srgbClr val="FFFFFF"/>
              </a:solidFill>
              <a:uFillTx/>
              <a:latin typeface="+mj-lt"/>
              <a:ea typeface="+mj-ea"/>
              <a:cs typeface="+mj-cs"/>
              <a:sym typeface="Avenir Next Medium"/>
            </a:defRPr>
          </a:pPr>
          <a:r>
            <a:rPr b="0" baseline="0" cap="all" i="0" spc="79" strike="noStrike" sz="2000" u="none">
              <a:ln>
                <a:noFill/>
              </a:ln>
              <a:solidFill>
                <a:srgbClr val="FFFFFF"/>
              </a:solidFill>
              <a:uFillTx/>
              <a:latin typeface="+mj-lt"/>
              <a:ea typeface="+mj-ea"/>
              <a:cs typeface="+mj-cs"/>
              <a:sym typeface="Avenir Next Medium"/>
            </a:rPr>
            <a:t>Grade distribution </a:t>
          </a:r>
        </a:p>
      </xdr:txBody>
    </xdr:sp>
    <xdr:clientData/>
  </xdr:twoCellAnchor>
  <xdr:twoCellAnchor>
    <xdr:from>
      <xdr:col>4</xdr:col>
      <xdr:colOff>838946</xdr:colOff>
      <xdr:row>41</xdr:row>
      <xdr:rowOff>147599</xdr:rowOff>
    </xdr:from>
    <xdr:to>
      <xdr:col>10</xdr:col>
      <xdr:colOff>374507</xdr:colOff>
      <xdr:row>51</xdr:row>
      <xdr:rowOff>182270</xdr:rowOff>
    </xdr:to>
    <xdr:graphicFrame>
      <xdr:nvGraphicFramePr>
        <xdr:cNvPr id="7" name="Chart 7"/>
        <xdr:cNvGraphicFramePr/>
      </xdr:nvGraphicFramePr>
      <xdr:xfrm>
        <a:off x="5271246" y="12377699"/>
        <a:ext cx="4475862" cy="293471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6</xdr:col>
      <xdr:colOff>558657</xdr:colOff>
      <xdr:row>39</xdr:row>
      <xdr:rowOff>5517</xdr:rowOff>
    </xdr:from>
    <xdr:to>
      <xdr:col>10</xdr:col>
      <xdr:colOff>393557</xdr:colOff>
      <xdr:row>40</xdr:row>
      <xdr:rowOff>239197</xdr:rowOff>
    </xdr:to>
    <xdr:sp>
      <xdr:nvSpPr>
        <xdr:cNvPr id="8" name="Shape 8"/>
        <xdr:cNvSpPr txBox="1"/>
      </xdr:nvSpPr>
      <xdr:spPr>
        <a:xfrm>
          <a:off x="6819757" y="11651417"/>
          <a:ext cx="2946401" cy="52578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ln>
                <a:noFill/>
              </a:ln>
              <a:solidFill>
                <a:srgbClr val="444444"/>
              </a:solidFill>
              <a:uFillTx/>
              <a:latin typeface="Avenir Next"/>
              <a:ea typeface="Avenir Next"/>
              <a:cs typeface="Avenir Next"/>
              <a:sym typeface="Avenir Next"/>
            </a:defRPr>
          </a:pPr>
          <a:r>
            <a:rPr b="0" baseline="0" cap="none" i="0" spc="0" strike="noStrike" sz="1000" u="none">
              <a:ln>
                <a:noFill/>
              </a:ln>
              <a:solidFill>
                <a:srgbClr val="444444"/>
              </a:solidFill>
              <a:uFillTx/>
              <a:latin typeface="Avenir Next"/>
              <a:ea typeface="Avenir Next"/>
              <a:cs typeface="Avenir Next"/>
              <a:sym typeface="Avenir Next"/>
            </a:rPr>
            <a:t>Adjust the Curve Amount to change the grade distribution in the Grade Scale table.</a:t>
          </a:r>
        </a:p>
      </xdr:txBody>
    </xdr:sp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6</xdr:row>
      <xdr:rowOff>243205</xdr:rowOff>
    </xdr:from>
    <xdr:to>
      <xdr:col>3</xdr:col>
      <xdr:colOff>542919</xdr:colOff>
      <xdr:row>11</xdr:row>
      <xdr:rowOff>423925</xdr:rowOff>
    </xdr:to>
    <xdr:graphicFrame>
      <xdr:nvGraphicFramePr>
        <xdr:cNvPr id="10" name="Chart 10"/>
        <xdr:cNvGraphicFramePr/>
      </xdr:nvGraphicFramePr>
      <xdr:xfrm>
        <a:off x="-17510" y="2385695"/>
        <a:ext cx="6499220" cy="179171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3</xdr:col>
      <xdr:colOff>346075</xdr:colOff>
      <xdr:row>1</xdr:row>
      <xdr:rowOff>12191</xdr:rowOff>
    </xdr:to>
    <xdr:sp>
      <xdr:nvSpPr>
        <xdr:cNvPr id="11" name="Shape 11"/>
        <xdr:cNvSpPr/>
      </xdr:nvSpPr>
      <xdr:spPr>
        <a:xfrm>
          <a:off x="-19050" y="-48006"/>
          <a:ext cx="6302375" cy="736092"/>
        </a:xfrm>
        <a:prstGeom prst="rect">
          <a:avLst/>
        </a:prstGeom>
        <a:blipFill rotWithShape="1">
          <a:blip r:embed="rId2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ctr">
          <a:noAutofit/>
        </a:bodyPr>
        <a:lstStyle/>
        <a:p>
          <a:pPr marL="0" marR="0" indent="0" algn="ctr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all" i="0" spc="79" strike="noStrike" sz="2000" u="none">
              <a:ln>
                <a:noFill/>
              </a:ln>
              <a:solidFill>
                <a:srgbClr val="FFFFFF"/>
              </a:solidFill>
              <a:uFillTx/>
              <a:latin typeface="+mj-lt"/>
              <a:ea typeface="+mj-ea"/>
              <a:cs typeface="+mj-cs"/>
              <a:sym typeface="Avenir Next Medium"/>
            </a:defRPr>
          </a:pPr>
          <a:r>
            <a:rPr b="0" baseline="0" cap="all" i="0" spc="79" strike="noStrike" sz="2000" u="none">
              <a:ln>
                <a:noFill/>
              </a:ln>
              <a:solidFill>
                <a:srgbClr val="FFFFFF"/>
              </a:solidFill>
              <a:uFillTx/>
              <a:latin typeface="+mj-lt"/>
              <a:ea typeface="+mj-ea"/>
              <a:cs typeface="+mj-cs"/>
              <a:sym typeface="Avenir Next Medium"/>
            </a:rPr>
            <a:t>Midterm report - MAT 203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06_GradeBook">
  <a:themeElements>
    <a:clrScheme name="06_GradeBook">
      <a:dk1>
        <a:srgbClr val="000000"/>
      </a:dk1>
      <a:lt1>
        <a:srgbClr val="FFFFFF"/>
      </a:lt1>
      <a:dk2>
        <a:srgbClr val="89847F"/>
      </a:dk2>
      <a:lt2>
        <a:srgbClr val="EDEAE7"/>
      </a:lt2>
      <a:accent1>
        <a:srgbClr val="0097C0"/>
      </a:accent1>
      <a:accent2>
        <a:srgbClr val="4F9D8D"/>
      </a:accent2>
      <a:accent3>
        <a:srgbClr val="517F25"/>
      </a:accent3>
      <a:accent4>
        <a:srgbClr val="C78D31"/>
      </a:accent4>
      <a:accent5>
        <a:srgbClr val="E76702"/>
      </a:accent5>
      <a:accent6>
        <a:srgbClr val="F8653C"/>
      </a:accent6>
      <a:hlink>
        <a:srgbClr val="0000FF"/>
      </a:hlink>
      <a:folHlink>
        <a:srgbClr val="FF00FF"/>
      </a:folHlink>
    </a:clrScheme>
    <a:fontScheme name="06_GradeBook">
      <a:majorFont>
        <a:latin typeface="Avenir Next Medium"/>
        <a:ea typeface="Avenir Next Medium"/>
        <a:cs typeface="Avenir Next Medium"/>
      </a:majorFont>
      <a:minorFont>
        <a:latin typeface="Superclarendon Light"/>
        <a:ea typeface="Superclarendon Light"/>
        <a:cs typeface="Superclarendon Light"/>
      </a:minorFont>
    </a:fontScheme>
    <a:fmtScheme name="06_GradeBoo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hueOff val="-369091"/>
            <a:satOff val="-11559"/>
            <a:lumOff val="-3247"/>
          </a:schemeClr>
        </a:solidFill>
        <a:ln w="12700" cap="flat">
          <a:solidFill>
            <a:srgbClr val="FFFFFF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j-lt"/>
            <a:ea typeface="+mj-ea"/>
            <a:cs typeface="+mj-cs"/>
            <a:sym typeface="Avenir Next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3175" cap="flat">
          <a:solidFill>
            <a:srgbClr val="444444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10000"/>
          </a:lnSpc>
          <a:spcBef>
            <a:spcPts val="90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venir Next"/>
            <a:ea typeface="Avenir Next"/>
            <a:cs typeface="Avenir Next"/>
            <a:sym typeface="Avenir Next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3:G34"/>
  <sheetViews>
    <sheetView workbookViewId="0" showGridLines="0" defaultGridColor="1"/>
  </sheetViews>
  <sheetFormatPr defaultColWidth="21.6698" defaultRowHeight="21.65" customHeight="1" outlineLevelRow="0" outlineLevelCol="0"/>
  <cols>
    <col min="1" max="1" width="21.6797" style="1" customWidth="1"/>
    <col min="2" max="6" width="9.67188" style="1" customWidth="1"/>
    <col min="7" max="7" width="9.89844" style="1" customWidth="1"/>
    <col min="8" max="256" width="21.6797" style="1" customWidth="1"/>
  </cols>
  <sheetData>
    <row r="1" ht="58.65" customHeight="1"/>
    <row r="2" ht="29.3" customHeight="1">
      <c r="A2" t="s" s="2">
        <v>0</v>
      </c>
      <c r="B2" s="2"/>
      <c r="C2" s="2"/>
      <c r="D2" s="2"/>
      <c r="E2" s="2"/>
      <c r="F2" s="2"/>
      <c r="G2" s="2"/>
    </row>
    <row r="3" ht="22.1" customHeight="1">
      <c r="A3" t="s" s="3">
        <v>1</v>
      </c>
      <c r="B3" t="s" s="4">
        <v>2</v>
      </c>
      <c r="C3" t="s" s="4">
        <v>3</v>
      </c>
      <c r="D3" t="s" s="4">
        <v>4</v>
      </c>
      <c r="E3" t="s" s="4">
        <v>5</v>
      </c>
      <c r="F3" t="s" s="4">
        <v>6</v>
      </c>
      <c r="G3" t="s" s="5">
        <v>7</v>
      </c>
    </row>
    <row r="4" ht="22" customHeight="1">
      <c r="A4" t="s" s="6">
        <v>8</v>
      </c>
      <c r="B4" s="7">
        <v>30</v>
      </c>
      <c r="C4" s="7">
        <v>20</v>
      </c>
      <c r="D4" s="7">
        <v>10</v>
      </c>
      <c r="E4" s="7">
        <v>20</v>
      </c>
      <c r="F4" s="7">
        <v>20</v>
      </c>
      <c r="G4" t="s" s="8">
        <v>9</v>
      </c>
    </row>
    <row r="5" ht="22.5" customHeight="1">
      <c r="A5" t="s" s="9">
        <v>10</v>
      </c>
      <c r="B5" s="10">
        <v>14</v>
      </c>
      <c r="C5" s="11">
        <v>0</v>
      </c>
      <c r="D5" s="11">
        <v>10</v>
      </c>
      <c r="E5" s="11">
        <v>5</v>
      </c>
      <c r="F5" s="11">
        <v>0</v>
      </c>
      <c r="G5" s="12">
        <f>SUM(B5:F5)</f>
        <v>29</v>
      </c>
    </row>
    <row r="6" ht="23" customHeight="1">
      <c r="A6" t="s" s="13">
        <v>11</v>
      </c>
      <c r="B6" s="14">
        <v>27</v>
      </c>
      <c r="C6" s="15">
        <v>13</v>
      </c>
      <c r="D6" s="15">
        <v>3</v>
      </c>
      <c r="E6" s="15">
        <v>16</v>
      </c>
      <c r="F6" s="15">
        <v>0</v>
      </c>
      <c r="G6" s="16">
        <f>SUM(B6:F6)</f>
        <v>59</v>
      </c>
    </row>
    <row r="7" ht="23" customHeight="1">
      <c r="A7" t="s" s="13">
        <v>12</v>
      </c>
      <c r="B7" s="17">
        <v>19</v>
      </c>
      <c r="C7" s="18">
        <v>7</v>
      </c>
      <c r="D7" s="18">
        <v>10</v>
      </c>
      <c r="E7" s="18">
        <v>11</v>
      </c>
      <c r="F7" s="18">
        <v>10</v>
      </c>
      <c r="G7" s="19">
        <f>SUM(B7:F7)</f>
        <v>57</v>
      </c>
    </row>
    <row r="8" ht="23" customHeight="1">
      <c r="A8" t="s" s="13">
        <v>13</v>
      </c>
      <c r="B8" s="14">
        <v>24</v>
      </c>
      <c r="C8" s="15">
        <v>6</v>
      </c>
      <c r="D8" s="15">
        <v>10</v>
      </c>
      <c r="E8" s="15">
        <v>6</v>
      </c>
      <c r="F8" s="15">
        <v>5</v>
      </c>
      <c r="G8" s="16">
        <f>SUM(B8:F8)</f>
        <v>51</v>
      </c>
    </row>
    <row r="9" ht="23" customHeight="1">
      <c r="A9" t="s" s="13">
        <v>14</v>
      </c>
      <c r="B9" s="17">
        <v>19</v>
      </c>
      <c r="C9" s="18">
        <v>12</v>
      </c>
      <c r="D9" s="18">
        <v>10</v>
      </c>
      <c r="E9" s="18">
        <v>12</v>
      </c>
      <c r="F9" s="18">
        <v>2</v>
      </c>
      <c r="G9" s="19">
        <f>SUM(B9:F9)</f>
        <v>55</v>
      </c>
    </row>
    <row r="10" ht="23" customHeight="1">
      <c r="A10" t="s" s="13">
        <v>15</v>
      </c>
      <c r="B10" s="14">
        <v>28</v>
      </c>
      <c r="C10" s="15">
        <v>20</v>
      </c>
      <c r="D10" s="15">
        <v>10</v>
      </c>
      <c r="E10" s="15">
        <v>15</v>
      </c>
      <c r="F10" s="15">
        <v>20</v>
      </c>
      <c r="G10" s="16">
        <f>SUM(B10:F10)</f>
        <v>93</v>
      </c>
    </row>
    <row r="11" ht="23" customHeight="1">
      <c r="A11" t="s" s="13">
        <v>16</v>
      </c>
      <c r="B11" s="17">
        <v>4</v>
      </c>
      <c r="C11" s="18">
        <v>2</v>
      </c>
      <c r="D11" s="18">
        <v>0</v>
      </c>
      <c r="E11" s="18">
        <v>2</v>
      </c>
      <c r="F11" s="18">
        <v>0</v>
      </c>
      <c r="G11" s="19">
        <f>SUM(B11:F11)</f>
        <v>8</v>
      </c>
    </row>
    <row r="12" ht="23" customHeight="1">
      <c r="A12" t="s" s="13">
        <v>17</v>
      </c>
      <c r="B12" s="14">
        <v>26</v>
      </c>
      <c r="C12" s="15">
        <v>16</v>
      </c>
      <c r="D12" s="15">
        <v>8</v>
      </c>
      <c r="E12" s="15">
        <v>16</v>
      </c>
      <c r="F12" s="15">
        <v>5</v>
      </c>
      <c r="G12" s="16">
        <f>SUM(B12:F12)</f>
        <v>71</v>
      </c>
    </row>
    <row r="13" ht="23" customHeight="1">
      <c r="A13" t="s" s="13">
        <v>18</v>
      </c>
      <c r="B13" s="17">
        <v>27</v>
      </c>
      <c r="C13" s="18">
        <v>13</v>
      </c>
      <c r="D13" s="18">
        <v>10</v>
      </c>
      <c r="E13" s="18">
        <v>16</v>
      </c>
      <c r="F13" s="18">
        <v>10</v>
      </c>
      <c r="G13" s="19">
        <f>SUM(B13:F13)</f>
        <v>76</v>
      </c>
    </row>
    <row r="14" ht="23" customHeight="1">
      <c r="A14" t="s" s="13">
        <v>19</v>
      </c>
      <c r="B14" s="14">
        <v>13</v>
      </c>
      <c r="C14" s="15">
        <v>6</v>
      </c>
      <c r="D14" s="15">
        <v>8</v>
      </c>
      <c r="E14" s="15">
        <v>9</v>
      </c>
      <c r="F14" s="15">
        <v>0</v>
      </c>
      <c r="G14" s="16">
        <f>SUM(B14:F14)</f>
        <v>36</v>
      </c>
    </row>
    <row r="15" ht="23" customHeight="1">
      <c r="A15" t="s" s="13">
        <v>20</v>
      </c>
      <c r="B15" s="17">
        <v>21</v>
      </c>
      <c r="C15" s="18">
        <v>5</v>
      </c>
      <c r="D15" s="18">
        <v>8</v>
      </c>
      <c r="E15" s="18">
        <v>5</v>
      </c>
      <c r="F15" s="18">
        <v>3</v>
      </c>
      <c r="G15" s="19">
        <f>SUM(B15:F15)</f>
        <v>42</v>
      </c>
    </row>
    <row r="16" ht="23" customHeight="1">
      <c r="A16" t="s" s="13">
        <v>21</v>
      </c>
      <c r="B16" s="14">
        <v>23</v>
      </c>
      <c r="C16" s="15">
        <v>20</v>
      </c>
      <c r="D16" s="15">
        <v>10</v>
      </c>
      <c r="E16" s="15">
        <v>16</v>
      </c>
      <c r="F16" s="15">
        <v>20</v>
      </c>
      <c r="G16" s="16">
        <f>SUM(B16:F16)</f>
        <v>89</v>
      </c>
    </row>
    <row r="17" ht="23" customHeight="1">
      <c r="A17" t="s" s="13">
        <v>22</v>
      </c>
      <c r="B17" s="17">
        <v>17</v>
      </c>
      <c r="C17" s="18">
        <v>10</v>
      </c>
      <c r="D17" s="18">
        <v>10</v>
      </c>
      <c r="E17" s="18">
        <v>15</v>
      </c>
      <c r="F17" s="18">
        <v>15</v>
      </c>
      <c r="G17" s="19">
        <f>SUM(B17:F17)</f>
        <v>67</v>
      </c>
    </row>
    <row r="18" ht="23" customHeight="1">
      <c r="A18" t="s" s="13">
        <v>23</v>
      </c>
      <c r="B18" s="14">
        <v>4</v>
      </c>
      <c r="C18" s="15">
        <v>7</v>
      </c>
      <c r="D18" s="15">
        <v>10</v>
      </c>
      <c r="E18" s="15">
        <v>9</v>
      </c>
      <c r="F18" s="15">
        <v>0</v>
      </c>
      <c r="G18" s="16">
        <f>SUM(B18:F18)</f>
        <v>30</v>
      </c>
    </row>
    <row r="19" ht="23" customHeight="1">
      <c r="A19" t="s" s="13">
        <v>24</v>
      </c>
      <c r="B19" s="17">
        <v>16</v>
      </c>
      <c r="C19" s="18">
        <v>4</v>
      </c>
      <c r="D19" s="18">
        <v>6</v>
      </c>
      <c r="E19" s="18">
        <v>14</v>
      </c>
      <c r="F19" s="18">
        <v>0</v>
      </c>
      <c r="G19" s="19">
        <f>SUM(B19:F19)</f>
        <v>40</v>
      </c>
    </row>
    <row r="20" ht="23" customHeight="1">
      <c r="A20" t="s" s="13">
        <v>25</v>
      </c>
      <c r="B20" s="14">
        <v>14</v>
      </c>
      <c r="C20" s="15">
        <v>14</v>
      </c>
      <c r="D20" s="15">
        <v>8</v>
      </c>
      <c r="E20" s="15">
        <v>16</v>
      </c>
      <c r="F20" s="15">
        <v>2</v>
      </c>
      <c r="G20" s="16">
        <f>SUM(B20:F20)</f>
        <v>54</v>
      </c>
    </row>
    <row r="21" ht="23" customHeight="1">
      <c r="A21" t="s" s="13">
        <v>26</v>
      </c>
      <c r="B21" s="17">
        <v>21</v>
      </c>
      <c r="C21" s="18">
        <v>15</v>
      </c>
      <c r="D21" s="18">
        <v>8</v>
      </c>
      <c r="E21" s="18">
        <v>10</v>
      </c>
      <c r="F21" s="18">
        <v>10</v>
      </c>
      <c r="G21" s="19">
        <f>SUM(B21:F21)</f>
        <v>64</v>
      </c>
    </row>
    <row r="22" ht="23" customHeight="1">
      <c r="A22" t="s" s="13">
        <v>27</v>
      </c>
      <c r="B22" s="14">
        <v>27</v>
      </c>
      <c r="C22" s="15">
        <v>20</v>
      </c>
      <c r="D22" s="15">
        <v>6</v>
      </c>
      <c r="E22" s="15">
        <v>6</v>
      </c>
      <c r="F22" s="15">
        <v>0</v>
      </c>
      <c r="G22" s="16">
        <f>SUM(B22:F22)</f>
        <v>59</v>
      </c>
    </row>
    <row r="23" ht="23" customHeight="1">
      <c r="A23" t="s" s="13">
        <v>28</v>
      </c>
      <c r="B23" s="17">
        <v>4</v>
      </c>
      <c r="C23" s="18">
        <v>17</v>
      </c>
      <c r="D23" s="18">
        <v>4</v>
      </c>
      <c r="E23" s="18">
        <v>4</v>
      </c>
      <c r="F23" s="18">
        <v>0</v>
      </c>
      <c r="G23" s="19">
        <f>SUM(B23:F23)</f>
        <v>29</v>
      </c>
    </row>
    <row r="24" ht="23" customHeight="1">
      <c r="A24" t="s" s="13">
        <v>29</v>
      </c>
      <c r="B24" s="14">
        <v>18</v>
      </c>
      <c r="C24" s="15">
        <v>16</v>
      </c>
      <c r="D24" s="15">
        <v>10</v>
      </c>
      <c r="E24" s="15">
        <v>16</v>
      </c>
      <c r="F24" s="15">
        <v>10</v>
      </c>
      <c r="G24" s="16">
        <f>SUM(B24:F24)</f>
        <v>70</v>
      </c>
    </row>
    <row r="25" ht="23" customHeight="1">
      <c r="A25" t="s" s="13">
        <v>30</v>
      </c>
      <c r="B25" s="17">
        <v>20</v>
      </c>
      <c r="C25" s="18">
        <v>0</v>
      </c>
      <c r="D25" s="18">
        <v>8</v>
      </c>
      <c r="E25" s="18">
        <v>9</v>
      </c>
      <c r="F25" s="18">
        <v>0</v>
      </c>
      <c r="G25" s="19">
        <f>SUM(B25:F25)</f>
        <v>37</v>
      </c>
    </row>
    <row r="26" ht="23" customHeight="1">
      <c r="A26" t="s" s="13">
        <v>31</v>
      </c>
      <c r="B26" s="14">
        <v>16</v>
      </c>
      <c r="C26" s="15">
        <v>7</v>
      </c>
      <c r="D26" s="15">
        <v>4</v>
      </c>
      <c r="E26" s="15">
        <v>6</v>
      </c>
      <c r="F26" s="15">
        <v>0</v>
      </c>
      <c r="G26" s="16">
        <f>SUM(B26:F26)</f>
        <v>33</v>
      </c>
    </row>
    <row r="27" ht="23" customHeight="1">
      <c r="A27" t="s" s="13">
        <v>32</v>
      </c>
      <c r="B27" s="17">
        <v>13</v>
      </c>
      <c r="C27" s="18">
        <v>16</v>
      </c>
      <c r="D27" s="18">
        <v>8</v>
      </c>
      <c r="E27" s="18">
        <v>15</v>
      </c>
      <c r="F27" s="18">
        <v>0</v>
      </c>
      <c r="G27" s="19">
        <f>SUM(B27:F27)</f>
        <v>52</v>
      </c>
    </row>
    <row r="28" ht="23" customHeight="1">
      <c r="A28" t="s" s="13">
        <v>33</v>
      </c>
      <c r="B28" s="14">
        <v>18</v>
      </c>
      <c r="C28" s="15">
        <v>20</v>
      </c>
      <c r="D28" s="15">
        <v>10</v>
      </c>
      <c r="E28" s="15">
        <v>15</v>
      </c>
      <c r="F28" s="15">
        <v>0</v>
      </c>
      <c r="G28" s="16">
        <f>SUM(B28:F28)</f>
        <v>63</v>
      </c>
    </row>
    <row r="29" ht="23" customHeight="1">
      <c r="A29" t="s" s="13">
        <v>34</v>
      </c>
      <c r="B29" s="17">
        <v>15</v>
      </c>
      <c r="C29" s="18">
        <v>20</v>
      </c>
      <c r="D29" s="18">
        <v>6</v>
      </c>
      <c r="E29" s="18">
        <v>2</v>
      </c>
      <c r="F29" s="18">
        <v>0</v>
      </c>
      <c r="G29" s="19">
        <f>SUM(B29:F29)</f>
        <v>43</v>
      </c>
    </row>
    <row r="30" ht="23" customHeight="1">
      <c r="A30" t="s" s="13">
        <v>35</v>
      </c>
      <c r="B30" s="14">
        <v>11</v>
      </c>
      <c r="C30" s="15">
        <v>16</v>
      </c>
      <c r="D30" s="15">
        <v>8</v>
      </c>
      <c r="E30" s="15">
        <v>6</v>
      </c>
      <c r="F30" s="15">
        <v>0</v>
      </c>
      <c r="G30" s="16">
        <f>SUM(B30:F30)</f>
        <v>41</v>
      </c>
    </row>
    <row r="31" ht="23" customHeight="1">
      <c r="A31" t="s" s="13">
        <v>36</v>
      </c>
      <c r="B31" s="17">
        <v>16</v>
      </c>
      <c r="C31" s="18">
        <v>20</v>
      </c>
      <c r="D31" s="18">
        <v>8</v>
      </c>
      <c r="E31" s="18">
        <v>16</v>
      </c>
      <c r="F31" s="18">
        <v>10</v>
      </c>
      <c r="G31" s="19">
        <f>SUM(B31:F31)</f>
        <v>70</v>
      </c>
    </row>
    <row r="32" ht="23" customHeight="1">
      <c r="A32" t="s" s="13">
        <v>37</v>
      </c>
      <c r="B32" s="14">
        <v>8</v>
      </c>
      <c r="C32" s="15">
        <v>20</v>
      </c>
      <c r="D32" s="15">
        <v>6</v>
      </c>
      <c r="E32" s="15">
        <v>2</v>
      </c>
      <c r="F32" s="15">
        <v>2</v>
      </c>
      <c r="G32" s="16">
        <f>SUM(B32:F32)</f>
        <v>38</v>
      </c>
    </row>
    <row r="33" ht="23.5" customHeight="1">
      <c r="A33" t="s" s="20">
        <v>38</v>
      </c>
      <c r="B33" s="21">
        <v>16</v>
      </c>
      <c r="C33" s="22">
        <v>10</v>
      </c>
      <c r="D33" s="22">
        <v>20</v>
      </c>
      <c r="E33" s="22">
        <v>20</v>
      </c>
      <c r="F33" s="22">
        <v>10</v>
      </c>
      <c r="G33" s="23">
        <f>SUM(B33:F33)</f>
        <v>76</v>
      </c>
    </row>
    <row r="34" ht="23.1" customHeight="1">
      <c r="A34" t="s" s="24">
        <v>39</v>
      </c>
      <c r="B34" s="25">
        <f>AVERAGE(B5:B33)</f>
        <v>17.20689655172414</v>
      </c>
      <c r="C34" s="25">
        <f>IFERROR(AVERAGE(C5:C33),0)</f>
        <v>12.13793103448276</v>
      </c>
      <c r="D34" s="25">
        <f>IFERROR(AVERAGE(D5:D33),0)</f>
        <v>8.172413793103448</v>
      </c>
      <c r="E34" s="25">
        <f>IFERROR(AVERAGE(E5:E33),0)</f>
        <v>10.68965517241379</v>
      </c>
      <c r="F34" s="25">
        <f>IFERROR(AVERAGE(F5:F33),0)</f>
        <v>4.620689655172414</v>
      </c>
      <c r="G34" s="26">
        <f>AVERAGE(G5:G33)</f>
        <v>52.82758620689656</v>
      </c>
    </row>
  </sheetData>
  <mergeCells count="1">
    <mergeCell ref="A2:G2"/>
  </mergeCells>
  <pageMargins left="0.25" right="0.25" top="0.25" bottom="0.8" header="0.25" footer="0.25"/>
  <pageSetup firstPageNumber="1" fitToHeight="1" fitToWidth="1" scale="100" useFirstPageNumber="0" orientation="landscape" pageOrder="downThenOver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B3:P48"/>
  <sheetViews>
    <sheetView workbookViewId="0" showGridLines="0" defaultGridColor="1">
      <pane topLeftCell="C4" xSplit="2" ySplit="3" activePane="bottomRight" state="frozen"/>
    </sheetView>
  </sheetViews>
  <sheetFormatPr defaultColWidth="16.3333" defaultRowHeight="21.65" customHeight="1" outlineLevelRow="0" outlineLevelCol="0"/>
  <cols>
    <col min="1" max="1" width="95.4219" style="27" customWidth="1"/>
    <col min="2" max="3" width="16.3516" style="27" customWidth="1"/>
    <col min="4" max="4" width="21.6797" style="38" customWidth="1"/>
    <col min="5" max="9" width="14.0859" style="38" customWidth="1"/>
    <col min="10" max="10" width="55.9297" style="53" customWidth="1"/>
    <col min="11" max="16" width="11.3516" style="53" customWidth="1"/>
    <col min="17" max="256" width="16.3516" style="53" customWidth="1"/>
  </cols>
  <sheetData>
    <row r="1" ht="9.05" customHeight="1"/>
    <row r="2" ht="29.3" customHeight="1">
      <c r="B2" t="s" s="28">
        <v>40</v>
      </c>
      <c r="C2" s="28"/>
    </row>
    <row r="3" ht="25.8" customHeight="1">
      <c r="B3" t="s" s="29">
        <v>41</v>
      </c>
      <c r="C3" t="s" s="30">
        <v>42</v>
      </c>
    </row>
    <row r="4" ht="25.55" customHeight="1">
      <c r="B4" s="31">
        <v>0.8</v>
      </c>
      <c r="C4" t="s" s="32">
        <v>43</v>
      </c>
    </row>
    <row r="5" ht="24.4" customHeight="1">
      <c r="B5" s="33">
        <v>0.6</v>
      </c>
      <c r="C5" t="s" s="34">
        <v>44</v>
      </c>
    </row>
    <row r="6" ht="24.4" customHeight="1">
      <c r="B6" s="33">
        <v>0.3</v>
      </c>
      <c r="C6" t="s" s="35">
        <v>45</v>
      </c>
    </row>
    <row r="7" ht="24.4" customHeight="1">
      <c r="B7" s="36">
        <v>0</v>
      </c>
      <c r="C7" t="s" s="37">
        <v>46</v>
      </c>
    </row>
    <row r="9" ht="29.3" customHeight="1">
      <c r="D9" t="s" s="2">
        <v>0</v>
      </c>
      <c r="E9" s="2"/>
      <c r="F9" s="2"/>
      <c r="G9" s="2"/>
      <c r="H9" s="2"/>
      <c r="I9" s="2"/>
    </row>
    <row r="10" ht="22.1" customHeight="1">
      <c r="D10" t="s" s="3">
        <v>1</v>
      </c>
      <c r="E10" t="s" s="4">
        <v>47</v>
      </c>
      <c r="F10" t="s" s="4">
        <v>48</v>
      </c>
      <c r="G10" t="s" s="4">
        <v>49</v>
      </c>
      <c r="H10" t="s" s="4">
        <v>50</v>
      </c>
      <c r="I10" t="s" s="5">
        <v>51</v>
      </c>
    </row>
    <row r="11" ht="22.5" customHeight="1">
      <c r="D11" t="s" s="9">
        <v>10</v>
      </c>
      <c r="E11" s="39">
        <f>SUMPRODUCT('Student Data'!B5:F5,$K$44:$O$44)/$P$44</f>
        <v>0.2034188034188034</v>
      </c>
      <c r="F11" s="40">
        <f>SUMPRODUCT('Student Data'!B5:F5,$K$45:$O$45)/$P$45</f>
        <v>0.3625</v>
      </c>
      <c r="G11" s="40">
        <f>SUMPRODUCT('Student Data'!B5:F5,$K$46:$O$46)/$P$46</f>
        <v>0.38</v>
      </c>
      <c r="H11" s="40">
        <f>SUMPRODUCT('Student Data'!B5:F5,$K$47:$O$47)/$P$47</f>
        <v>0.5</v>
      </c>
      <c r="I11" s="41">
        <f>SUMPRODUCT('Student Data'!B5:F5,$K$48:$O$48)/$P$48</f>
        <v>0.1555555555555556</v>
      </c>
    </row>
    <row r="12" ht="23" customHeight="1">
      <c r="D12" t="s" s="13">
        <v>11</v>
      </c>
      <c r="E12" s="42">
        <f>SUMPRODUCT('Student Data'!B6:F6,$K$44:$O$44)/$P$44</f>
        <v>0.5756410256410257</v>
      </c>
      <c r="F12" s="43">
        <f>SUMPRODUCT('Student Data'!B6:F6,$K$45:$O$45)/$P$45</f>
        <v>0.575</v>
      </c>
      <c r="G12" s="43">
        <f>SUMPRODUCT('Student Data'!B6:F6,$K$46:$O$46)/$P$46</f>
        <v>0.86</v>
      </c>
      <c r="H12" s="43">
        <f>SUMPRODUCT('Student Data'!B6:F6,$K$47:$O$47)/$P$47</f>
        <v>0.6333333333333333</v>
      </c>
      <c r="I12" s="44">
        <f>SUMPRODUCT('Student Data'!B6:F6,$K$48:$O$48)/$P$48</f>
        <v>0.4444444444444444</v>
      </c>
    </row>
    <row r="13" ht="23" customHeight="1">
      <c r="D13" t="s" s="13">
        <v>12</v>
      </c>
      <c r="E13" s="45">
        <f>SUMPRODUCT('Student Data'!B7:F7,$K$44:$O$44)/$P$44</f>
        <v>0.5158119658119659</v>
      </c>
      <c r="F13" s="46">
        <f>SUMPRODUCT('Student Data'!B7:F7,$K$45:$O$45)/$P$45</f>
        <v>0.625</v>
      </c>
      <c r="G13" s="46">
        <f>SUMPRODUCT('Student Data'!B7:F7,$K$46:$O$46)/$P$46</f>
        <v>0.6</v>
      </c>
      <c r="H13" s="46">
        <f>SUMPRODUCT('Student Data'!B7:F7,$K$47:$O$47)/$P$47</f>
        <v>0.7</v>
      </c>
      <c r="I13" s="47">
        <f>SUMPRODUCT('Student Data'!B7:F7,$K$48:$O$48)/$P$48</f>
        <v>0.5111111111111111</v>
      </c>
    </row>
    <row r="14" ht="23" customHeight="1">
      <c r="D14" t="s" s="13">
        <v>13</v>
      </c>
      <c r="E14" s="42">
        <f>SUMPRODUCT('Student Data'!B8:F8,$K$44:$O$44)/$P$44</f>
        <v>0.5038461538461538</v>
      </c>
      <c r="F14" s="43">
        <f>SUMPRODUCT('Student Data'!B8:F8,$K$45:$O$45)/$P$45</f>
        <v>0.5625</v>
      </c>
      <c r="G14" s="43">
        <f>SUMPRODUCT('Student Data'!B8:F8,$K$46:$O$46)/$P$46</f>
        <v>0.6</v>
      </c>
      <c r="H14" s="43">
        <f>SUMPRODUCT('Student Data'!B8:F8,$K$47:$O$47)/$P$47</f>
        <v>0.5333333333333333</v>
      </c>
      <c r="I14" s="44">
        <f>SUMPRODUCT('Student Data'!B8:F8,$K$48:$O$48)/$P$48</f>
        <v>0.4444444444444444</v>
      </c>
    </row>
    <row r="15" ht="23" customHeight="1">
      <c r="D15" t="s" s="13">
        <v>14</v>
      </c>
      <c r="E15" s="45">
        <f>SUMPRODUCT('Student Data'!B9:F9,$K$44:$O$44)/$P$44</f>
        <v>0.4735042735042735</v>
      </c>
      <c r="F15" s="46">
        <f>SUMPRODUCT('Student Data'!B9:F9,$K$45:$O$45)/$P$45</f>
        <v>0.5375</v>
      </c>
      <c r="G15" s="46">
        <f>SUMPRODUCT('Student Data'!B9:F9,$K$46:$O$46)/$P$46</f>
        <v>0.62</v>
      </c>
      <c r="H15" s="46">
        <f>SUMPRODUCT('Student Data'!B9:F9,$K$47:$O$47)/$P$47</f>
        <v>0.7333333333333333</v>
      </c>
      <c r="I15" s="47">
        <f>SUMPRODUCT('Student Data'!B9:F9,$K$48:$O$48)/$P$48</f>
        <v>0.3888888888888889</v>
      </c>
    </row>
    <row r="16" ht="23" customHeight="1">
      <c r="D16" t="s" s="13">
        <v>15</v>
      </c>
      <c r="E16" s="42">
        <f>SUMPRODUCT('Student Data'!B10:F10,$K$44:$O$44)/$P$44</f>
        <v>0.9709401709401709</v>
      </c>
      <c r="F16" s="43">
        <f>SUMPRODUCT('Student Data'!B10:F10,$K$45:$O$45)/$P$45</f>
        <v>0.9125</v>
      </c>
      <c r="G16" s="43">
        <f>SUMPRODUCT('Student Data'!B10:F10,$K$46:$O$46)/$P$46</f>
        <v>0.86</v>
      </c>
      <c r="H16" s="43">
        <f>SUMPRODUCT('Student Data'!B10:F10,$K$47:$O$47)/$P$47</f>
        <v>0.8333333333333334</v>
      </c>
      <c r="I16" s="44">
        <f>SUMPRODUCT('Student Data'!B10:F10,$K$48:$O$48)/$P$48</f>
        <v>0.9777777777777777</v>
      </c>
    </row>
    <row r="17" ht="23" customHeight="1">
      <c r="D17" t="s" s="13">
        <v>16</v>
      </c>
      <c r="E17" s="45">
        <f>SUMPRODUCT('Student Data'!B11:F11,$K$44:$O$44)/$P$44</f>
        <v>0.08632478632478632</v>
      </c>
      <c r="F17" s="46">
        <f>SUMPRODUCT('Student Data'!B11:F11,$K$45:$O$45)/$P$45</f>
        <v>0.075</v>
      </c>
      <c r="G17" s="46">
        <f>SUMPRODUCT('Student Data'!B11:F11,$K$46:$O$46)/$P$46</f>
        <v>0.12</v>
      </c>
      <c r="H17" s="46">
        <f>SUMPRODUCT('Student Data'!B11:F11,$K$47:$O$47)/$P$47</f>
        <v>0.06666666666666667</v>
      </c>
      <c r="I17" s="47">
        <f>SUMPRODUCT('Student Data'!B11:F11,$K$48:$O$48)/$P$48</f>
        <v>0.06666666666666667</v>
      </c>
    </row>
    <row r="18" ht="23" customHeight="1">
      <c r="D18" t="s" s="13">
        <v>17</v>
      </c>
      <c r="E18" s="42">
        <f>SUMPRODUCT('Student Data'!B12:F12,$K$44:$O$44)/$P$44</f>
        <v>0.673931623931624</v>
      </c>
      <c r="F18" s="43">
        <f>SUMPRODUCT('Student Data'!B12:F12,$K$45:$O$45)/$P$45</f>
        <v>0.6875</v>
      </c>
      <c r="G18" s="43">
        <f>SUMPRODUCT('Student Data'!B12:F12,$K$46:$O$46)/$P$46</f>
        <v>0.84</v>
      </c>
      <c r="H18" s="43">
        <f>SUMPRODUCT('Student Data'!B12:F12,$K$47:$O$47)/$P$47</f>
        <v>0.8</v>
      </c>
      <c r="I18" s="44">
        <f>SUMPRODUCT('Student Data'!B12:F12,$K$48:$O$48)/$P$48</f>
        <v>0.5777777777777777</v>
      </c>
    </row>
    <row r="19" ht="23" customHeight="1">
      <c r="D19" t="s" s="13">
        <v>18</v>
      </c>
      <c r="E19" s="45">
        <f>SUMPRODUCT('Student Data'!B13:F13,$K$44:$O$44)/$P$44</f>
        <v>0.7166666666666668</v>
      </c>
      <c r="F19" s="46">
        <f>SUMPRODUCT('Student Data'!B13:F13,$K$45:$O$45)/$P$45</f>
        <v>0.7875</v>
      </c>
      <c r="G19" s="46">
        <f>SUMPRODUCT('Student Data'!B13:F13,$K$46:$O$46)/$P$46</f>
        <v>0.86</v>
      </c>
      <c r="H19" s="46">
        <f>SUMPRODUCT('Student Data'!B13:F13,$K$47:$O$47)/$P$47</f>
        <v>0.8666666666666667</v>
      </c>
      <c r="I19" s="47">
        <f>SUMPRODUCT('Student Data'!B13:F13,$K$48:$O$48)/$P$48</f>
        <v>0.6666666666666666</v>
      </c>
    </row>
    <row r="20" ht="23" customHeight="1">
      <c r="D20" t="s" s="13">
        <v>19</v>
      </c>
      <c r="E20" s="42">
        <f>SUMPRODUCT('Student Data'!B14:F14,$K$44:$O$44)/$P$44</f>
        <v>0.2735042735042735</v>
      </c>
      <c r="F20" s="43">
        <f>SUMPRODUCT('Student Data'!B14:F14,$K$45:$O$45)/$P$45</f>
        <v>0.375</v>
      </c>
      <c r="G20" s="43">
        <f>SUMPRODUCT('Student Data'!B14:F14,$K$46:$O$46)/$P$46</f>
        <v>0.44</v>
      </c>
      <c r="H20" s="43">
        <f>SUMPRODUCT('Student Data'!B14:F14,$K$47:$O$47)/$P$47</f>
        <v>0.5666666666666667</v>
      </c>
      <c r="I20" s="44">
        <f>SUMPRODUCT('Student Data'!B14:F14,$K$48:$O$48)/$P$48</f>
        <v>0.2111111111111111</v>
      </c>
    </row>
    <row r="21" ht="23" customHeight="1">
      <c r="D21" t="s" s="13">
        <v>20</v>
      </c>
      <c r="E21" s="45">
        <f>SUMPRODUCT('Student Data'!B15:F15,$K$44:$O$44)/$P$44</f>
        <v>0.417948717948718</v>
      </c>
      <c r="F21" s="46">
        <f>SUMPRODUCT('Student Data'!B15:F15,$K$45:$O$45)/$P$45</f>
        <v>0.4625</v>
      </c>
      <c r="G21" s="46">
        <f>SUMPRODUCT('Student Data'!B15:F15,$K$46:$O$46)/$P$46</f>
        <v>0.52</v>
      </c>
      <c r="H21" s="46">
        <f>SUMPRODUCT('Student Data'!B15:F15,$K$47:$O$47)/$P$47</f>
        <v>0.4333333333333333</v>
      </c>
      <c r="I21" s="47">
        <f>SUMPRODUCT('Student Data'!B15:F15,$K$48:$O$48)/$P$48</f>
        <v>0.3555555555555556</v>
      </c>
    </row>
    <row r="22" ht="23" customHeight="1">
      <c r="D22" t="s" s="13">
        <v>21</v>
      </c>
      <c r="E22" s="42">
        <f>SUMPRODUCT('Student Data'!B16:F16,$K$44:$O$44)/$P$44</f>
        <v>0.8982905982905983</v>
      </c>
      <c r="F22" s="43">
        <f>SUMPRODUCT('Student Data'!B16:F16,$K$45:$O$45)/$P$45</f>
        <v>0.8625</v>
      </c>
      <c r="G22" s="43">
        <f>SUMPRODUCT('Student Data'!B16:F16,$K$46:$O$46)/$P$46</f>
        <v>0.78</v>
      </c>
      <c r="H22" s="43">
        <f>SUMPRODUCT('Student Data'!B16:F16,$K$47:$O$47)/$P$47</f>
        <v>0.8666666666666667</v>
      </c>
      <c r="I22" s="44">
        <f>SUMPRODUCT('Student Data'!B16:F16,$K$48:$O$48)/$P$48</f>
        <v>0.9222222222222223</v>
      </c>
    </row>
    <row r="23" ht="23" customHeight="1">
      <c r="D23" t="s" s="13">
        <v>22</v>
      </c>
      <c r="E23" s="45">
        <f>SUMPRODUCT('Student Data'!B17:F17,$K$44:$O$44)/$P$44</f>
        <v>0.5995726495726496</v>
      </c>
      <c r="F23" s="46">
        <f>SUMPRODUCT('Student Data'!B17:F17,$K$45:$O$45)/$P$45</f>
        <v>0.7125</v>
      </c>
      <c r="G23" s="46">
        <f>SUMPRODUCT('Student Data'!B17:F17,$K$46:$O$46)/$P$46</f>
        <v>0.64</v>
      </c>
      <c r="H23" s="46">
        <f>SUMPRODUCT('Student Data'!B17:F17,$K$47:$O$47)/$P$47</f>
        <v>0.8333333333333334</v>
      </c>
      <c r="I23" s="47">
        <f>SUMPRODUCT('Student Data'!B17:F17,$K$48:$O$48)/$P$48</f>
        <v>0.6333333333333333</v>
      </c>
    </row>
    <row r="24" ht="23" customHeight="1">
      <c r="D24" t="s" s="13">
        <v>23</v>
      </c>
      <c r="E24" s="42">
        <f>SUMPRODUCT('Student Data'!B18:F18,$K$44:$O$44)/$P$44</f>
        <v>0.1568376068376068</v>
      </c>
      <c r="F24" s="43">
        <f>SUMPRODUCT('Student Data'!B18:F18,$K$45:$O$45)/$P$45</f>
        <v>0.2875</v>
      </c>
      <c r="G24" s="43">
        <f>SUMPRODUCT('Student Data'!B18:F18,$K$46:$O$46)/$P$46</f>
        <v>0.26</v>
      </c>
      <c r="H24" s="43">
        <f>SUMPRODUCT('Student Data'!B18:F18,$K$47:$O$47)/$P$47</f>
        <v>0.6333333333333333</v>
      </c>
      <c r="I24" s="44">
        <f>SUMPRODUCT('Student Data'!B18:F18,$K$48:$O$48)/$P$48</f>
        <v>0.1222222222222222</v>
      </c>
    </row>
    <row r="25" ht="23" customHeight="1">
      <c r="D25" t="s" s="13">
        <v>24</v>
      </c>
      <c r="E25" s="45">
        <f>SUMPRODUCT('Student Data'!B19:F19,$K$44:$O$44)/$P$44</f>
        <v>0.2888888888888889</v>
      </c>
      <c r="F25" s="46">
        <f>SUMPRODUCT('Student Data'!B19:F19,$K$45:$O$45)/$P$45</f>
        <v>0.45</v>
      </c>
      <c r="G25" s="46">
        <f>SUMPRODUCT('Student Data'!B19:F19,$K$46:$O$46)/$P$46</f>
        <v>0.6</v>
      </c>
      <c r="H25" s="46">
        <f>SUMPRODUCT('Student Data'!B19:F19,$K$47:$O$47)/$P$47</f>
        <v>0.6666666666666666</v>
      </c>
      <c r="I25" s="47">
        <f>SUMPRODUCT('Student Data'!B19:F19,$K$48:$O$48)/$P$48</f>
        <v>0.2222222222222222</v>
      </c>
    </row>
    <row r="26" ht="23" customHeight="1">
      <c r="D26" t="s" s="13">
        <v>25</v>
      </c>
      <c r="E26" s="42">
        <f>SUMPRODUCT('Student Data'!B20:F20,$K$44:$O$44)/$P$44</f>
        <v>0.429059829059829</v>
      </c>
      <c r="F26" s="43">
        <f>SUMPRODUCT('Student Data'!B20:F20,$K$45:$O$45)/$P$45</f>
        <v>0.5</v>
      </c>
      <c r="G26" s="43">
        <f>SUMPRODUCT('Student Data'!B20:F20,$K$46:$O$46)/$P$46</f>
        <v>0.6</v>
      </c>
      <c r="H26" s="43">
        <f>SUMPRODUCT('Student Data'!B20:F20,$K$47:$O$47)/$P$47</f>
        <v>0.8</v>
      </c>
      <c r="I26" s="44">
        <f>SUMPRODUCT('Student Data'!B20:F20,$K$48:$O$48)/$P$48</f>
        <v>0.3555555555555556</v>
      </c>
    </row>
    <row r="27" ht="23" customHeight="1">
      <c r="D27" t="s" s="13">
        <v>26</v>
      </c>
      <c r="E27" s="45">
        <f>SUMPRODUCT('Student Data'!B21:F21,$K$44:$O$44)/$P$44</f>
        <v>0.6576923076923077</v>
      </c>
      <c r="F27" s="46">
        <f>SUMPRODUCT('Student Data'!B21:F21,$K$45:$O$45)/$P$45</f>
        <v>0.6125</v>
      </c>
      <c r="G27" s="46">
        <f>SUMPRODUCT('Student Data'!B21:F21,$K$46:$O$46)/$P$46</f>
        <v>0.62</v>
      </c>
      <c r="H27" s="46">
        <f>SUMPRODUCT('Student Data'!B21:F21,$K$47:$O$47)/$P$47</f>
        <v>0.6</v>
      </c>
      <c r="I27" s="47">
        <f>SUMPRODUCT('Student Data'!B21:F21,$K$48:$O$48)/$P$48</f>
        <v>0.6222222222222222</v>
      </c>
    </row>
    <row r="28" ht="23" customHeight="1">
      <c r="D28" t="s" s="13">
        <v>27</v>
      </c>
      <c r="E28" s="42">
        <f>SUMPRODUCT('Student Data'!B22:F22,$K$44:$O$44)/$P$44</f>
        <v>0.6743589743589743</v>
      </c>
      <c r="F28" s="43">
        <f>SUMPRODUCT('Student Data'!B22:F22,$K$45:$O$45)/$P$45</f>
        <v>0.4875</v>
      </c>
      <c r="G28" s="43">
        <f>SUMPRODUCT('Student Data'!B22:F22,$K$46:$O$46)/$P$46</f>
        <v>0.66</v>
      </c>
      <c r="H28" s="43">
        <f>SUMPRODUCT('Student Data'!B22:F22,$K$47:$O$47)/$P$47</f>
        <v>0.4</v>
      </c>
      <c r="I28" s="44">
        <f>SUMPRODUCT('Student Data'!B22:F22,$K$48:$O$48)/$P$48</f>
        <v>0.5222222222222223</v>
      </c>
    </row>
    <row r="29" ht="23" customHeight="1">
      <c r="D29" t="s" s="13">
        <v>28</v>
      </c>
      <c r="E29" s="45">
        <f>SUMPRODUCT('Student Data'!B23:F23,$K$44:$O$44)/$P$44</f>
        <v>0.2978632478632479</v>
      </c>
      <c r="F29" s="46">
        <f>SUMPRODUCT('Student Data'!B23:F23,$K$45:$O$45)/$P$45</f>
        <v>0.15</v>
      </c>
      <c r="G29" s="46">
        <f>SUMPRODUCT('Student Data'!B23:F23,$K$46:$O$46)/$P$46</f>
        <v>0.16</v>
      </c>
      <c r="H29" s="46">
        <f>SUMPRODUCT('Student Data'!B23:F23,$K$47:$O$47)/$P$47</f>
        <v>0.2666666666666667</v>
      </c>
      <c r="I29" s="47">
        <f>SUMPRODUCT('Student Data'!B23:F23,$K$48:$O$48)/$P$48</f>
        <v>0.2333333333333333</v>
      </c>
    </row>
    <row r="30" ht="23" customHeight="1">
      <c r="D30" t="s" s="13">
        <v>29</v>
      </c>
      <c r="E30" s="42">
        <f>SUMPRODUCT('Student Data'!B24:F24,$K$44:$O$44)/$P$44</f>
        <v>0.6282051282051282</v>
      </c>
      <c r="F30" s="43">
        <f>SUMPRODUCT('Student Data'!B24:F24,$K$45:$O$45)/$P$45</f>
        <v>0.675</v>
      </c>
      <c r="G30" s="43">
        <f>SUMPRODUCT('Student Data'!B24:F24,$K$46:$O$46)/$P$46</f>
        <v>0.68</v>
      </c>
      <c r="H30" s="43">
        <f>SUMPRODUCT('Student Data'!B24:F24,$K$47:$O$47)/$P$47</f>
        <v>0.8666666666666667</v>
      </c>
      <c r="I30" s="44">
        <f>SUMPRODUCT('Student Data'!B24:F24,$K$48:$O$48)/$P$48</f>
        <v>0.6</v>
      </c>
    </row>
    <row r="31" ht="23" customHeight="1">
      <c r="D31" t="s" s="13">
        <v>30</v>
      </c>
      <c r="E31" s="45">
        <f>SUMPRODUCT('Student Data'!B25:F25,$K$44:$O$44)/$P$44</f>
        <v>0.2905982905982906</v>
      </c>
      <c r="F31" s="46">
        <f>SUMPRODUCT('Student Data'!B25:F25,$K$45:$O$45)/$P$45</f>
        <v>0.4625</v>
      </c>
      <c r="G31" s="46">
        <f>SUMPRODUCT('Student Data'!B25:F25,$K$46:$O$46)/$P$46</f>
        <v>0.58</v>
      </c>
      <c r="H31" s="46">
        <f>SUMPRODUCT('Student Data'!B25:F25,$K$47:$O$47)/$P$47</f>
        <v>0.5666666666666667</v>
      </c>
      <c r="I31" s="47">
        <f>SUMPRODUCT('Student Data'!B25:F25,$K$48:$O$48)/$P$48</f>
        <v>0.2222222222222222</v>
      </c>
    </row>
    <row r="32" ht="23" customHeight="1">
      <c r="D32" t="s" s="13">
        <v>31</v>
      </c>
      <c r="E32" s="42">
        <f>SUMPRODUCT('Student Data'!B26:F26,$K$44:$O$44)/$P$44</f>
        <v>0.3311965811965812</v>
      </c>
      <c r="F32" s="43">
        <f>SUMPRODUCT('Student Data'!B26:F26,$K$45:$O$45)/$P$45</f>
        <v>0.325</v>
      </c>
      <c r="G32" s="43">
        <f>SUMPRODUCT('Student Data'!B26:F26,$K$46:$O$46)/$P$46</f>
        <v>0.44</v>
      </c>
      <c r="H32" s="43">
        <f>SUMPRODUCT('Student Data'!B26:F26,$K$47:$O$47)/$P$47</f>
        <v>0.3333333333333333</v>
      </c>
      <c r="I32" s="44">
        <f>SUMPRODUCT('Student Data'!B26:F26,$K$48:$O$48)/$P$48</f>
        <v>0.2555555555555555</v>
      </c>
    </row>
    <row r="33" ht="23" customHeight="1">
      <c r="D33" t="s" s="13">
        <v>32</v>
      </c>
      <c r="E33" s="45">
        <f>SUMPRODUCT('Student Data'!B27:F27,$K$44:$O$44)/$P$44</f>
        <v>0.4145299145299144</v>
      </c>
      <c r="F33" s="46">
        <f>SUMPRODUCT('Student Data'!B27:F27,$K$45:$O$45)/$P$45</f>
        <v>0.45</v>
      </c>
      <c r="G33" s="46">
        <f>SUMPRODUCT('Student Data'!B27:F27,$K$46:$O$46)/$P$46</f>
        <v>0.5600000000000001</v>
      </c>
      <c r="H33" s="46">
        <f>SUMPRODUCT('Student Data'!B27:F27,$K$47:$O$47)/$P$47</f>
        <v>0.7666666666666667</v>
      </c>
      <c r="I33" s="47">
        <f>SUMPRODUCT('Student Data'!B27:F27,$K$48:$O$48)/$P$48</f>
        <v>0.3222222222222222</v>
      </c>
    </row>
    <row r="34" ht="23" customHeight="1">
      <c r="D34" t="s" s="13">
        <v>33</v>
      </c>
      <c r="E34" s="42">
        <f>SUMPRODUCT('Student Data'!B28:F28,$K$44:$O$44)/$P$44</f>
        <v>0.5435897435897435</v>
      </c>
      <c r="F34" s="43">
        <f>SUMPRODUCT('Student Data'!B28:F28,$K$45:$O$45)/$P$45</f>
        <v>0.5375</v>
      </c>
      <c r="G34" s="43">
        <f>SUMPRODUCT('Student Data'!B28:F28,$K$46:$O$46)/$P$46</f>
        <v>0.66</v>
      </c>
      <c r="H34" s="43">
        <f>SUMPRODUCT('Student Data'!B28:F28,$K$47:$O$47)/$P$47</f>
        <v>0.8333333333333334</v>
      </c>
      <c r="I34" s="44">
        <f>SUMPRODUCT('Student Data'!B28:F28,$K$48:$O$48)/$P$48</f>
        <v>0.4222222222222222</v>
      </c>
    </row>
    <row r="35" ht="23" customHeight="1">
      <c r="D35" t="s" s="13">
        <v>34</v>
      </c>
      <c r="E35" s="45">
        <f>SUMPRODUCT('Student Data'!B29:F29,$K$44:$O$44)/$P$44</f>
        <v>0.5</v>
      </c>
      <c r="F35" s="46">
        <f>SUMPRODUCT('Student Data'!B29:F29,$K$45:$O$45)/$P$45</f>
        <v>0.2875</v>
      </c>
      <c r="G35" s="46">
        <f>SUMPRODUCT('Student Data'!B29:F29,$K$46:$O$46)/$P$46</f>
        <v>0.34</v>
      </c>
      <c r="H35" s="46">
        <f>SUMPRODUCT('Student Data'!B29:F29,$K$47:$O$47)/$P$47</f>
        <v>0.2666666666666667</v>
      </c>
      <c r="I35" s="47">
        <f>SUMPRODUCT('Student Data'!B29:F29,$K$48:$O$48)/$P$48</f>
        <v>0.3888888888888889</v>
      </c>
    </row>
    <row r="36" ht="23" customHeight="1">
      <c r="D36" t="s" s="13">
        <v>35</v>
      </c>
      <c r="E36" s="42">
        <f>SUMPRODUCT('Student Data'!B30:F30,$K$44:$O$44)/$P$44</f>
        <v>0.3854700854700854</v>
      </c>
      <c r="F36" s="43">
        <f>SUMPRODUCT('Student Data'!B30:F30,$K$45:$O$45)/$P$45</f>
        <v>0.3125</v>
      </c>
      <c r="G36" s="43">
        <f>SUMPRODUCT('Student Data'!B30:F30,$K$46:$O$46)/$P$46</f>
        <v>0.34</v>
      </c>
      <c r="H36" s="43">
        <f>SUMPRODUCT('Student Data'!B30:F30,$K$47:$O$47)/$P$47</f>
        <v>0.4666666666666667</v>
      </c>
      <c r="I36" s="44">
        <f>SUMPRODUCT('Student Data'!B30:F30,$K$48:$O$48)/$P$48</f>
        <v>0.3</v>
      </c>
    </row>
    <row r="37" ht="23" customHeight="1">
      <c r="D37" t="s" s="13">
        <v>36</v>
      </c>
      <c r="E37" s="45">
        <f>SUMPRODUCT('Student Data'!B31:F31,$K$44:$O$44)/$P$44</f>
        <v>0.6555555555555556</v>
      </c>
      <c r="F37" s="46">
        <f>SUMPRODUCT('Student Data'!B31:F31,$K$45:$O$45)/$P$45</f>
        <v>0.625</v>
      </c>
      <c r="G37" s="46">
        <f>SUMPRODUCT('Student Data'!B31:F31,$K$46:$O$46)/$P$46</f>
        <v>0.64</v>
      </c>
      <c r="H37" s="46">
        <f>SUMPRODUCT('Student Data'!B31:F31,$K$47:$O$47)/$P$47</f>
        <v>0.8</v>
      </c>
      <c r="I37" s="47">
        <f>SUMPRODUCT('Student Data'!B31:F31,$K$48:$O$48)/$P$48</f>
        <v>0.6222222222222222</v>
      </c>
    </row>
    <row r="38" ht="23" customHeight="1">
      <c r="D38" t="s" s="13">
        <v>37</v>
      </c>
      <c r="E38" s="42">
        <f>SUMPRODUCT('Student Data'!B32:F32,$K$44:$O$44)/$P$44</f>
        <v>0.4264957264957265</v>
      </c>
      <c r="F38" s="43">
        <f>SUMPRODUCT('Student Data'!B32:F32,$K$45:$O$45)/$P$45</f>
        <v>0.225</v>
      </c>
      <c r="G38" s="43">
        <f>SUMPRODUCT('Student Data'!B32:F32,$K$46:$O$46)/$P$46</f>
        <v>0.2</v>
      </c>
      <c r="H38" s="43">
        <f>SUMPRODUCT('Student Data'!B32:F32,$K$47:$O$47)/$P$47</f>
        <v>0.2666666666666667</v>
      </c>
      <c r="I38" s="44">
        <f>SUMPRODUCT('Student Data'!B32:F32,$K$48:$O$48)/$P$48</f>
        <v>0.3555555555555556</v>
      </c>
    </row>
    <row r="39" ht="23.5" customHeight="1">
      <c r="D39" t="s" s="20">
        <v>38</v>
      </c>
      <c r="E39" s="48">
        <f>SUMPRODUCT('Student Data'!B33:F33,$K$44:$O$44)/$P$44</f>
        <v>0.5145299145299145</v>
      </c>
      <c r="F39" s="49">
        <f>SUMPRODUCT('Student Data'!B33:F33,$K$45:$O$45)/$P$45</f>
        <v>0.825</v>
      </c>
      <c r="G39" s="49">
        <f>SUMPRODUCT('Student Data'!B33:F33,$K$46:$O$46)/$P$46</f>
        <v>0.72</v>
      </c>
      <c r="H39" s="49">
        <f>SUMPRODUCT('Student Data'!B33:F33,$K$47:$O$47)/$P$47</f>
        <v>1.333333333333333</v>
      </c>
      <c r="I39" s="50">
        <f>SUMPRODUCT('Student Data'!B33:F33,$K$48:$O$48)/$P$48</f>
        <v>0.5111111111111111</v>
      </c>
    </row>
    <row r="40" ht="23.1" customHeight="1">
      <c r="D40" t="s" s="24">
        <v>39</v>
      </c>
      <c r="E40" s="51">
        <f>AVERAGE(E11:E39)</f>
        <v>0.4863542587680519</v>
      </c>
      <c r="F40" s="51">
        <f>IFERROR(AVERAGE(F11:F39),0)</f>
        <v>0.5086206896551724</v>
      </c>
      <c r="G40" s="51">
        <f>IFERROR(AVERAGE(G11:G39),0)</f>
        <v>0.5579310344827586</v>
      </c>
      <c r="H40" s="51">
        <f>IFERROR(AVERAGE(H11:H39),0)</f>
        <v>0.628735632183908</v>
      </c>
      <c r="I40" s="52">
        <f>IFERROR(AVERAGE(I11:I39),0)</f>
        <v>0.428735632183908</v>
      </c>
    </row>
    <row r="42" ht="29.3" customHeight="1">
      <c r="J42" t="s" s="2">
        <v>52</v>
      </c>
      <c r="K42" s="2"/>
      <c r="L42" s="2"/>
      <c r="M42" s="2"/>
      <c r="N42" s="2"/>
      <c r="O42" s="2"/>
      <c r="P42" s="2"/>
    </row>
    <row r="43" ht="22.6" customHeight="1">
      <c r="J43" t="s" s="54">
        <v>53</v>
      </c>
      <c r="K43" t="s" s="4">
        <v>54</v>
      </c>
      <c r="L43" t="s" s="4">
        <v>55</v>
      </c>
      <c r="M43" t="s" s="4">
        <v>56</v>
      </c>
      <c r="N43" t="s" s="4">
        <v>57</v>
      </c>
      <c r="O43" t="s" s="4">
        <v>58</v>
      </c>
      <c r="P43" t="s" s="5">
        <v>59</v>
      </c>
    </row>
    <row r="44" ht="23" customHeight="1">
      <c r="J44" t="s" s="55">
        <v>60</v>
      </c>
      <c r="K44" s="56">
        <v>0.34</v>
      </c>
      <c r="L44" s="57">
        <v>0.33</v>
      </c>
      <c r="M44" s="57">
        <v>0</v>
      </c>
      <c r="N44" s="57">
        <v>0</v>
      </c>
      <c r="O44" s="57">
        <v>0.33</v>
      </c>
      <c r="P44" s="58">
        <f>SUMPRODUCT('Student Data'!B$4:F$4,$K44:$O44)</f>
        <v>23.4</v>
      </c>
    </row>
    <row r="45" ht="37" customHeight="1">
      <c r="J45" t="s" s="13">
        <v>61</v>
      </c>
      <c r="K45" s="59">
        <v>0.25</v>
      </c>
      <c r="L45" s="60">
        <v>0</v>
      </c>
      <c r="M45" s="60">
        <v>0.25</v>
      </c>
      <c r="N45" s="60">
        <v>0.25</v>
      </c>
      <c r="O45" s="60">
        <v>0.25</v>
      </c>
      <c r="P45" s="61">
        <f>SUMPRODUCT('Student Data'!B$4:F$4,$K45:$O45)</f>
        <v>20</v>
      </c>
    </row>
    <row r="46" ht="51" customHeight="1">
      <c r="J46" t="s" s="62">
        <v>62</v>
      </c>
      <c r="K46" s="63">
        <v>0.5</v>
      </c>
      <c r="L46" s="64">
        <v>0</v>
      </c>
      <c r="M46" s="64">
        <v>0</v>
      </c>
      <c r="N46" s="64">
        <v>0.5</v>
      </c>
      <c r="O46" s="64">
        <v>0</v>
      </c>
      <c r="P46" s="65">
        <f>SUMPRODUCT('Student Data'!B$4:F$4,$K46:$O46)</f>
        <v>25</v>
      </c>
    </row>
    <row r="47" ht="37" customHeight="1">
      <c r="J47" t="s" s="62">
        <v>63</v>
      </c>
      <c r="K47" s="59">
        <v>0</v>
      </c>
      <c r="L47" s="60">
        <v>0</v>
      </c>
      <c r="M47" s="60">
        <v>0.5</v>
      </c>
      <c r="N47" s="60">
        <v>0.5</v>
      </c>
      <c r="O47" s="60">
        <v>0</v>
      </c>
      <c r="P47" s="61">
        <f>SUMPRODUCT('Student Data'!B$4:F$4,$K47:$O47)</f>
        <v>15</v>
      </c>
    </row>
    <row r="48" ht="36.6" customHeight="1">
      <c r="J48" t="s" s="66">
        <v>64</v>
      </c>
      <c r="K48" s="67">
        <v>0.25</v>
      </c>
      <c r="L48" s="68">
        <v>0.25</v>
      </c>
      <c r="M48" s="68">
        <v>0</v>
      </c>
      <c r="N48" s="68">
        <v>0</v>
      </c>
      <c r="O48" s="68">
        <v>0.5</v>
      </c>
      <c r="P48" s="69">
        <f>SUMPRODUCT('Student Data'!B$4:F$4,$K48:$O48)</f>
        <v>22.5</v>
      </c>
    </row>
  </sheetData>
  <mergeCells count="3">
    <mergeCell ref="B2:C2"/>
    <mergeCell ref="D9:I9"/>
    <mergeCell ref="J42:P4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&amp;C&amp;"Superclarendon Light,Regular"&amp;10&amp;K191919&amp;P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3:O52"/>
  <sheetViews>
    <sheetView workbookViewId="0" showGridLines="0" defaultGridColor="1"/>
  </sheetViews>
  <sheetFormatPr defaultColWidth="21.6698" defaultRowHeight="21.65" customHeight="1" outlineLevelRow="0" outlineLevelCol="0"/>
  <cols>
    <col min="1" max="1" width="21.6797" style="70" customWidth="1"/>
    <col min="2" max="2" width="12.4297" style="70" customWidth="1"/>
    <col min="3" max="6" width="11.9609" style="70" customWidth="1"/>
    <col min="7" max="8" width="9.67188" style="70" customWidth="1"/>
    <col min="9" max="9" width="10.5391" style="70" customWidth="1"/>
    <col min="10" max="10" width="10.9375" style="70" customWidth="1"/>
    <col min="11" max="11" width="16.9141" style="106" customWidth="1"/>
    <col min="12" max="12" width="19.3516" style="106" customWidth="1"/>
    <col min="13" max="13" width="11.3516" style="106" customWidth="1"/>
    <col min="14" max="14" width="12.8516" style="106" customWidth="1"/>
    <col min="15" max="15" width="17.5391" style="121" customWidth="1"/>
    <col min="16" max="256" width="21.6797" style="121" customWidth="1"/>
  </cols>
  <sheetData>
    <row r="1" ht="58.65" customHeight="1"/>
    <row r="2" ht="29.3" customHeight="1">
      <c r="A2" t="s" s="71">
        <v>0</v>
      </c>
      <c r="B2" s="71"/>
      <c r="C2" s="71"/>
      <c r="D2" s="71"/>
      <c r="E2" s="71"/>
      <c r="F2" s="71"/>
      <c r="G2" s="71"/>
      <c r="H2" s="71"/>
      <c r="I2" s="71"/>
      <c r="J2" s="71"/>
    </row>
    <row r="3" ht="22.75" customHeight="1">
      <c r="A3" t="s" s="72">
        <v>1</v>
      </c>
      <c r="B3" t="s" s="73">
        <v>65</v>
      </c>
      <c r="C3" t="s" s="73">
        <v>66</v>
      </c>
      <c r="D3" t="s" s="73">
        <v>67</v>
      </c>
      <c r="E3" t="s" s="73">
        <v>68</v>
      </c>
      <c r="F3" t="s" s="73">
        <v>69</v>
      </c>
      <c r="G3" t="s" s="73">
        <v>70</v>
      </c>
      <c r="H3" t="s" s="73">
        <v>71</v>
      </c>
      <c r="I3" t="s" s="73">
        <v>72</v>
      </c>
      <c r="J3" t="s" s="74">
        <v>73</v>
      </c>
    </row>
    <row r="4" ht="23" customHeight="1">
      <c r="A4" t="s" s="75">
        <v>8</v>
      </c>
      <c r="B4" s="76">
        <v>10</v>
      </c>
      <c r="C4" s="76">
        <v>10</v>
      </c>
      <c r="D4" s="76">
        <v>10</v>
      </c>
      <c r="E4" s="76">
        <v>10</v>
      </c>
      <c r="F4" s="76">
        <v>30</v>
      </c>
      <c r="G4" s="76">
        <v>10</v>
      </c>
      <c r="H4" s="76">
        <v>10</v>
      </c>
      <c r="I4" s="76">
        <f>SUM(B$4:G$4)</f>
        <v>80</v>
      </c>
      <c r="J4" s="77"/>
    </row>
    <row r="5" ht="23.5" customHeight="1">
      <c r="A5" t="s" s="78">
        <v>74</v>
      </c>
      <c r="B5" s="79">
        <v>0.15</v>
      </c>
      <c r="C5" s="79">
        <v>0.15</v>
      </c>
      <c r="D5" s="79">
        <v>0.15</v>
      </c>
      <c r="E5" s="79">
        <v>0.15</v>
      </c>
      <c r="F5" s="79">
        <v>0.15</v>
      </c>
      <c r="G5" s="79">
        <v>0.25</v>
      </c>
      <c r="H5" s="79">
        <v>0.3</v>
      </c>
      <c r="I5" s="79">
        <f>SUM(F$5:H$5)</f>
        <v>0.7</v>
      </c>
      <c r="J5" s="80"/>
    </row>
    <row r="6" ht="23" customHeight="1">
      <c r="A6" t="s" s="81">
        <v>10</v>
      </c>
      <c r="B6" s="82">
        <v>8</v>
      </c>
      <c r="C6" s="83">
        <v>9</v>
      </c>
      <c r="D6" s="83"/>
      <c r="E6" s="83"/>
      <c r="F6" s="83">
        <f>IF(COUNT(B6:E6&gt;3),SUM(LARGE(B6:E6,1),LARGE(B6:E6,2),LARGE(B6:E6,3)),SUM(B6:E6))</f>
        <v>17</v>
      </c>
      <c r="G6" s="83">
        <f>VLOOKUP($A6,'Student Data'!$A5:$G33,7,FALSE)/10</f>
        <v>2.9</v>
      </c>
      <c r="H6" s="83"/>
      <c r="I6" s="84">
        <f>SUMPRODUCT($F6:$H6,$F$5:$H$5)/10</f>
        <v>0.3275</v>
      </c>
      <c r="J6" t="s" s="85">
        <f>IF(COUNTA($I6&gt;0),VLOOKUP(I6,$L$39:$M$49,2))</f>
        <v>75</v>
      </c>
    </row>
    <row r="7" ht="22" customHeight="1">
      <c r="A7" t="s" s="86">
        <v>11</v>
      </c>
      <c r="B7" s="87">
        <v>9</v>
      </c>
      <c r="C7" s="88">
        <v>9</v>
      </c>
      <c r="D7" s="88"/>
      <c r="E7" s="88"/>
      <c r="F7" s="88">
        <f>IF(COUNT(B7:E7&gt;3),SUM(LARGE(B7:E7,1),LARGE(B7:E7,2),LARGE(B7:E7,3)),SUM(B7:E7))</f>
        <v>18</v>
      </c>
      <c r="G7" s="88">
        <f>VLOOKUP($A7,'Student Data'!$A6:$G34,7,FALSE)/10</f>
        <v>5.9</v>
      </c>
      <c r="H7" s="89"/>
      <c r="I7" s="90">
        <f>SUMPRODUCT($F7:$H7,$F$5:$H$5)/10</f>
        <v>0.4175</v>
      </c>
      <c r="J7" t="s" s="91">
        <f>IF(COUNTA($I7&gt;0),VLOOKUP(I7,$L$39:$M$49,2))</f>
        <v>76</v>
      </c>
    </row>
    <row r="8" ht="22" customHeight="1">
      <c r="A8" t="s" s="86">
        <v>12</v>
      </c>
      <c r="B8" s="92">
        <v>5</v>
      </c>
      <c r="C8" s="93">
        <v>7</v>
      </c>
      <c r="D8" s="93"/>
      <c r="E8" s="93"/>
      <c r="F8" s="93">
        <f>IF(COUNT(B8:E8&gt;3),SUM(LARGE(B8:E8,1),LARGE(B8:E8,2),LARGE(B8:E8,3)),SUM(B8:E8))</f>
        <v>12</v>
      </c>
      <c r="G8" s="93">
        <f>VLOOKUP($A8,'Student Data'!$A7:$G34,7,FALSE)/10</f>
        <v>5.7</v>
      </c>
      <c r="H8" s="93"/>
      <c r="I8" s="94">
        <f>SUMPRODUCT($F8:$H8,$F$5:$H$5)/10</f>
        <v>0.3225</v>
      </c>
      <c r="J8" t="s" s="95">
        <f>IF(COUNTA($I8&gt;0),VLOOKUP(I8,$L$39:$M$49,2))</f>
        <v>75</v>
      </c>
    </row>
    <row r="9" ht="22" customHeight="1">
      <c r="A9" t="s" s="86">
        <v>13</v>
      </c>
      <c r="B9" s="87">
        <v>8</v>
      </c>
      <c r="C9" s="88">
        <v>10</v>
      </c>
      <c r="D9" s="88"/>
      <c r="E9" s="88"/>
      <c r="F9" s="88">
        <f>IF(COUNT(B9:E9&gt;3),SUM(LARGE(B9:E9,1),LARGE(B9:E9,2),LARGE(B9:E9,3)),SUM(B9:E9))</f>
        <v>18</v>
      </c>
      <c r="G9" s="88">
        <f>VLOOKUP($A9,'Student Data'!$A8:$G34,7,FALSE)/10</f>
        <v>5.1</v>
      </c>
      <c r="H9" s="88"/>
      <c r="I9" s="90">
        <f>SUMPRODUCT($F9:$H9,$F$5:$H$5)/10</f>
        <v>0.3975</v>
      </c>
      <c r="J9" t="s" s="91">
        <f>IF(COUNTA($I9&gt;0),VLOOKUP(I9,$L$39:$M$49,2))</f>
        <v>77</v>
      </c>
    </row>
    <row r="10" ht="22" customHeight="1">
      <c r="A10" t="s" s="86">
        <v>14</v>
      </c>
      <c r="B10" s="92">
        <v>3</v>
      </c>
      <c r="C10" s="93">
        <v>9</v>
      </c>
      <c r="D10" s="93"/>
      <c r="E10" s="93"/>
      <c r="F10" s="93">
        <f>IF(COUNT(B10:E10&gt;3),SUM(LARGE(B10:E10,1),LARGE(B10:E10,2),LARGE(B10:E10,3)),SUM(B10:E10))</f>
        <v>12</v>
      </c>
      <c r="G10" s="93">
        <f>VLOOKUP($A10,'Student Data'!$A9:$G34,7,FALSE)/10</f>
        <v>5.5</v>
      </c>
      <c r="H10" s="93"/>
      <c r="I10" s="94">
        <f>SUMPRODUCT($F10:$H10,$F$5:$H$5)/10</f>
        <v>0.3175</v>
      </c>
      <c r="J10" t="s" s="95">
        <f>IF(COUNTA($I10&gt;0),VLOOKUP(I10,$L$39:$M$49,2))</f>
        <v>75</v>
      </c>
    </row>
    <row r="11" ht="22" customHeight="1">
      <c r="A11" t="s" s="86">
        <v>15</v>
      </c>
      <c r="B11" s="87">
        <v>10</v>
      </c>
      <c r="C11" s="88">
        <v>10</v>
      </c>
      <c r="D11" s="88"/>
      <c r="E11" s="88"/>
      <c r="F11" s="88">
        <f>IF(COUNT(B11:E11&gt;3),SUM(LARGE(B11:E11,1),LARGE(B11:E11,2),LARGE(B11:E11,3)),SUM(B11:E11))</f>
        <v>20</v>
      </c>
      <c r="G11" s="88">
        <f>VLOOKUP($A11,'Student Data'!$A10:$G34,7,FALSE)/10</f>
        <v>9.300000000000001</v>
      </c>
      <c r="H11" s="88"/>
      <c r="I11" s="90">
        <f>SUMPRODUCT($F11:$H11,$F$5:$H$5)/10</f>
        <v>0.5325</v>
      </c>
      <c r="J11" t="s" s="91">
        <f>IF(COUNTA($I11&gt;0),VLOOKUP(I11,$L$39:$M$49,2))</f>
        <v>78</v>
      </c>
    </row>
    <row r="12" ht="22" customHeight="1">
      <c r="A12" t="s" s="86">
        <v>16</v>
      </c>
      <c r="B12" s="92">
        <v>10</v>
      </c>
      <c r="C12" s="93">
        <v>8</v>
      </c>
      <c r="D12" s="93"/>
      <c r="E12" s="93"/>
      <c r="F12" s="93">
        <f>IF(COUNT(B12:E12&gt;3),SUM(LARGE(B12:E12,1),LARGE(B12:E12,2),LARGE(B12:E12,3)),SUM(B12:E12))</f>
        <v>18</v>
      </c>
      <c r="G12" s="93">
        <f>VLOOKUP($A12,'Student Data'!$A11:$G34,7,FALSE)/10</f>
        <v>0.8</v>
      </c>
      <c r="H12" s="93"/>
      <c r="I12" s="94">
        <f>SUMPRODUCT($F12:$H12,$F$5:$H$5)/10</f>
        <v>0.29</v>
      </c>
      <c r="J12" t="s" s="95">
        <f>IF(COUNTA($I12&gt;0),VLOOKUP(I12,$L$39:$M$49,2))</f>
        <v>75</v>
      </c>
    </row>
    <row r="13" ht="22" customHeight="1">
      <c r="A13" t="s" s="86">
        <v>17</v>
      </c>
      <c r="B13" s="87">
        <v>9</v>
      </c>
      <c r="C13" s="88">
        <v>10</v>
      </c>
      <c r="D13" s="88"/>
      <c r="E13" s="88"/>
      <c r="F13" s="88">
        <f>IF(COUNT(B13:E13&gt;3),SUM(LARGE(B13:E13,1),LARGE(B13:E13,2),LARGE(B13:E13,3)),SUM(B13:E13))</f>
        <v>19</v>
      </c>
      <c r="G13" s="88">
        <f>VLOOKUP($A13,'Student Data'!$A12:$G34,7,FALSE)/10</f>
        <v>7.1</v>
      </c>
      <c r="H13" s="88"/>
      <c r="I13" s="90">
        <f>SUMPRODUCT($F13:$H13,$F$5:$H$5)/10</f>
        <v>0.4625</v>
      </c>
      <c r="J13" t="s" s="91">
        <f>IF(COUNTA($I13&gt;0),VLOOKUP(I13,$L$39:$M$49,2))</f>
        <v>76</v>
      </c>
    </row>
    <row r="14" ht="22" customHeight="1">
      <c r="A14" t="s" s="86">
        <v>18</v>
      </c>
      <c r="B14" s="92">
        <v>0</v>
      </c>
      <c r="C14" s="93">
        <v>10</v>
      </c>
      <c r="D14" s="93"/>
      <c r="E14" s="93"/>
      <c r="F14" s="93">
        <f>IF(COUNT(B14:E14&gt;3),SUM(LARGE(B14:E14,1),LARGE(B14:E14,2),LARGE(B14:E14,3)),SUM(B14:E14))</f>
        <v>10</v>
      </c>
      <c r="G14" s="93">
        <f>VLOOKUP($A14,'Student Data'!$A13:$G34,7,FALSE)/10</f>
        <v>7.6</v>
      </c>
      <c r="H14" s="93"/>
      <c r="I14" s="94">
        <f>SUMPRODUCT($F14:$H14,$F$5:$H$5)/10</f>
        <v>0.34</v>
      </c>
      <c r="J14" t="s" s="95">
        <f>IF(COUNTA($I14&gt;0),VLOOKUP(I14,$L$39:$M$49,2))</f>
        <v>75</v>
      </c>
    </row>
    <row r="15" ht="22" customHeight="1">
      <c r="A15" t="s" s="86">
        <v>19</v>
      </c>
      <c r="B15" s="87">
        <v>5.8</v>
      </c>
      <c r="C15" s="88">
        <v>10</v>
      </c>
      <c r="D15" s="88"/>
      <c r="E15" s="88"/>
      <c r="F15" s="88">
        <f>IF(COUNT(B15:E15&gt;3),SUM(LARGE(B15:E15,1),LARGE(B15:E15,2),LARGE(B15:E15,3)),SUM(B15:E15))</f>
        <v>15.8</v>
      </c>
      <c r="G15" s="88">
        <f>VLOOKUP($A15,'Student Data'!$A14:$G34,7,FALSE)/10</f>
        <v>3.6</v>
      </c>
      <c r="H15" s="88"/>
      <c r="I15" s="90">
        <f>SUMPRODUCT($F15:$H15,$F$5:$H$5)/10</f>
        <v>0.327</v>
      </c>
      <c r="J15" t="s" s="91">
        <f>IF(COUNTA($I15&gt;0),VLOOKUP(I15,$L$39:$M$49,2))</f>
        <v>75</v>
      </c>
    </row>
    <row r="16" ht="22" customHeight="1">
      <c r="A16" t="s" s="86">
        <v>20</v>
      </c>
      <c r="B16" s="92">
        <v>0</v>
      </c>
      <c r="C16" s="93">
        <v>10</v>
      </c>
      <c r="D16" s="93"/>
      <c r="E16" s="93"/>
      <c r="F16" s="93">
        <f>IF(COUNT(B16:E16&gt;3),SUM(LARGE(B16:E16,1),LARGE(B16:E16,2),LARGE(B16:E16,3)),SUM(B16:E16))</f>
        <v>10</v>
      </c>
      <c r="G16" s="93">
        <f>VLOOKUP($A16,'Student Data'!$A15:$G34,7,FALSE)/10</f>
        <v>4.2</v>
      </c>
      <c r="H16" s="93"/>
      <c r="I16" s="94">
        <f>SUMPRODUCT($F16:$H16,$F$5:$H$5)/10</f>
        <v>0.255</v>
      </c>
      <c r="J16" t="s" s="95">
        <f>IF(COUNTA($I16&gt;0),VLOOKUP(I16,$L$39:$M$49,2))</f>
        <v>75</v>
      </c>
    </row>
    <row r="17" ht="22" customHeight="1">
      <c r="A17" t="s" s="86">
        <v>21</v>
      </c>
      <c r="B17" s="87">
        <v>5.8</v>
      </c>
      <c r="C17" s="88">
        <v>9</v>
      </c>
      <c r="D17" s="88"/>
      <c r="E17" s="88"/>
      <c r="F17" s="88">
        <f>IF(COUNT(B17:E17&gt;3),SUM(LARGE(B17:E17,1),LARGE(B17:E17,2),LARGE(B17:E17,3)),SUM(B17:E17))</f>
        <v>14.8</v>
      </c>
      <c r="G17" s="88">
        <f>VLOOKUP($A17,'Student Data'!$A16:$G34,7,FALSE)/10</f>
        <v>8.9</v>
      </c>
      <c r="H17" s="88"/>
      <c r="I17" s="90">
        <f>SUMPRODUCT($F17:$H17,$F$5:$H$5)/10</f>
        <v>0.4445</v>
      </c>
      <c r="J17" t="s" s="91">
        <f>IF(COUNTA($I17&gt;0),VLOOKUP(I17,$L$39:$M$49,2))</f>
        <v>76</v>
      </c>
    </row>
    <row r="18" ht="22" customHeight="1">
      <c r="A18" t="s" s="86">
        <v>22</v>
      </c>
      <c r="B18" s="92">
        <v>9</v>
      </c>
      <c r="C18" s="93">
        <v>10</v>
      </c>
      <c r="D18" s="93"/>
      <c r="E18" s="93"/>
      <c r="F18" s="93">
        <f>IF(COUNT(B18:E18&gt;3),SUM(LARGE(B18:E18,1),LARGE(B18:E18,2),LARGE(B18:E18,3)),SUM(B18:E18))</f>
        <v>19</v>
      </c>
      <c r="G18" s="93">
        <f>VLOOKUP($A18,'Student Data'!$A17:$G34,7,FALSE)/10</f>
        <v>6.7</v>
      </c>
      <c r="H18" s="93"/>
      <c r="I18" s="94">
        <f>SUMPRODUCT($F18:$H18,$F$5:$H$5)/10</f>
        <v>0.4525</v>
      </c>
      <c r="J18" t="s" s="95">
        <f>IF(COUNTA($I18&gt;0),VLOOKUP(I18,$L$39:$M$49,2))</f>
        <v>76</v>
      </c>
    </row>
    <row r="19" ht="22" customHeight="1">
      <c r="A19" t="s" s="86">
        <v>23</v>
      </c>
      <c r="B19" s="87">
        <v>8</v>
      </c>
      <c r="C19" s="88">
        <v>10</v>
      </c>
      <c r="D19" s="88"/>
      <c r="E19" s="88"/>
      <c r="F19" s="88">
        <f>IF(COUNT(B19:E19&gt;3),SUM(LARGE(B19:E19,1),LARGE(B19:E19,2),LARGE(B19:E19,3)),SUM(B19:E19))</f>
        <v>18</v>
      </c>
      <c r="G19" s="88">
        <f>VLOOKUP($A19,'Student Data'!$A18:$G34,7,FALSE)/10</f>
        <v>3</v>
      </c>
      <c r="H19" s="88"/>
      <c r="I19" s="90">
        <f>SUMPRODUCT($F19:$H19,$F$5:$H$5)/10</f>
        <v>0.345</v>
      </c>
      <c r="J19" t="s" s="91">
        <f>IF(COUNTA($I19&gt;0),VLOOKUP(I19,$L$39:$M$49,2))</f>
        <v>75</v>
      </c>
    </row>
    <row r="20" ht="22" customHeight="1">
      <c r="A20" t="s" s="86">
        <v>24</v>
      </c>
      <c r="B20" s="92">
        <v>8</v>
      </c>
      <c r="C20" s="93">
        <v>7</v>
      </c>
      <c r="D20" s="93"/>
      <c r="E20" s="93"/>
      <c r="F20" s="93">
        <f>IF(COUNT(B20:E20&gt;3),SUM(LARGE(B20:E20,1),LARGE(B20:E20,2),LARGE(B20:E20,3)),SUM(B20:E20))</f>
        <v>15</v>
      </c>
      <c r="G20" s="93">
        <f>VLOOKUP($A20,'Student Data'!$A19:$G34,7,FALSE)/10</f>
        <v>4</v>
      </c>
      <c r="H20" s="93"/>
      <c r="I20" s="94">
        <f>SUMPRODUCT($F20:$H20,$F$5:$H$5)/10</f>
        <v>0.325</v>
      </c>
      <c r="J20" t="s" s="95">
        <f>IF(COUNTA($I20&gt;0),VLOOKUP(I20,$L$39:$M$49,2))</f>
        <v>75</v>
      </c>
    </row>
    <row r="21" ht="22" customHeight="1">
      <c r="A21" t="s" s="86">
        <v>25</v>
      </c>
      <c r="B21" s="87">
        <v>10</v>
      </c>
      <c r="C21" s="88">
        <v>10</v>
      </c>
      <c r="D21" s="88"/>
      <c r="E21" s="88"/>
      <c r="F21" s="88">
        <f>IF(COUNT(B21:E21&gt;3),SUM(LARGE(B21:E21,1),LARGE(B21:E21,2),LARGE(B21:E21,3)),SUM(B21:E21))</f>
        <v>20</v>
      </c>
      <c r="G21" s="88">
        <f>VLOOKUP($A21,'Student Data'!$A20:$G34,7,FALSE)/10</f>
        <v>5.4</v>
      </c>
      <c r="H21" s="88"/>
      <c r="I21" s="90">
        <f>SUMPRODUCT($F21:$H21,$F$5:$H$5)/10</f>
        <v>0.4349999999999999</v>
      </c>
      <c r="J21" t="s" s="91">
        <f>IF(COUNTA($I21&gt;0),VLOOKUP(I21,$L$39:$M$49,2))</f>
        <v>76</v>
      </c>
    </row>
    <row r="22" ht="22" customHeight="1">
      <c r="A22" t="s" s="86">
        <v>26</v>
      </c>
      <c r="B22" s="92">
        <v>8</v>
      </c>
      <c r="C22" s="93">
        <v>8</v>
      </c>
      <c r="D22" s="93"/>
      <c r="E22" s="93"/>
      <c r="F22" s="93">
        <f>IF(COUNT(B22:E22&gt;3),SUM(LARGE(B22:E22,1),LARGE(B22:E22,2),LARGE(B22:E22,3)),SUM(B22:E22))</f>
        <v>16</v>
      </c>
      <c r="G22" s="93">
        <f>VLOOKUP($A22,'Student Data'!$A21:$G34,7,FALSE)/10</f>
        <v>6.4</v>
      </c>
      <c r="H22" s="93"/>
      <c r="I22" s="94">
        <f>SUMPRODUCT($F22:$H22,$F$5:$H$5)/10</f>
        <v>0.4</v>
      </c>
      <c r="J22" t="s" s="95">
        <f>IF(COUNTA($I22&gt;0),VLOOKUP(I22,$L$39:$M$49,2))</f>
        <v>77</v>
      </c>
    </row>
    <row r="23" ht="22" customHeight="1">
      <c r="A23" t="s" s="86">
        <v>27</v>
      </c>
      <c r="B23" s="87">
        <v>3.8</v>
      </c>
      <c r="C23" s="88">
        <v>10</v>
      </c>
      <c r="D23" s="88"/>
      <c r="E23" s="88"/>
      <c r="F23" s="88">
        <f>IF(COUNT(B23:E23&gt;3),SUM(LARGE(B23:E23,1),LARGE(B23:E23,2),LARGE(B23:E23,3)),SUM(B23:E23))</f>
        <v>13.8</v>
      </c>
      <c r="G23" s="88">
        <f>VLOOKUP($A23,'Student Data'!$A22:$G34,7,FALSE)/10</f>
        <v>5.9</v>
      </c>
      <c r="H23" s="88"/>
      <c r="I23" s="90">
        <f>SUMPRODUCT($F23:$H23,$F$5:$H$5)/10</f>
        <v>0.3545</v>
      </c>
      <c r="J23" t="s" s="91">
        <f>IF(COUNTA($I23&gt;0),VLOOKUP(I23,$L$39:$M$49,2))</f>
        <v>77</v>
      </c>
    </row>
    <row r="24" ht="22" customHeight="1">
      <c r="A24" t="s" s="86">
        <v>28</v>
      </c>
      <c r="B24" s="92">
        <v>8.5</v>
      </c>
      <c r="C24" s="93">
        <v>8</v>
      </c>
      <c r="D24" s="93"/>
      <c r="E24" s="93"/>
      <c r="F24" s="93">
        <f>IF(COUNT(B24:E24&gt;3),SUM(LARGE(B24:E24,1),LARGE(B24:E24,2),LARGE(B24:E24,3)),SUM(B24:E24))</f>
        <v>16.5</v>
      </c>
      <c r="G24" s="93">
        <f>VLOOKUP($A24,'Student Data'!$A23:$G34,7,FALSE)/10</f>
        <v>2.9</v>
      </c>
      <c r="H24" s="93"/>
      <c r="I24" s="94">
        <f>SUMPRODUCT($F24:$H24,$F$5:$H$5)/10</f>
        <v>0.32</v>
      </c>
      <c r="J24" t="s" s="95">
        <f>IF(COUNTA($I24&gt;0),VLOOKUP(I24,$L$39:$M$49,2))</f>
        <v>75</v>
      </c>
    </row>
    <row r="25" ht="22" customHeight="1">
      <c r="A25" t="s" s="86">
        <v>29</v>
      </c>
      <c r="B25" s="87">
        <v>6.9</v>
      </c>
      <c r="C25" s="88">
        <v>8</v>
      </c>
      <c r="D25" s="88"/>
      <c r="E25" s="88"/>
      <c r="F25" s="88">
        <f>IF(COUNT(B25:E25&gt;3),SUM(LARGE(B25:E25,1),LARGE(B25:E25,2),LARGE(B25:E25,3)),SUM(B25:E25))</f>
        <v>14.9</v>
      </c>
      <c r="G25" s="88">
        <f>VLOOKUP($A25,'Student Data'!$A24:$G34,7,FALSE)/10</f>
        <v>7</v>
      </c>
      <c r="H25" s="88"/>
      <c r="I25" s="90">
        <f>SUMPRODUCT($F25:$H25,$F$5:$H$5)/10</f>
        <v>0.3985</v>
      </c>
      <c r="J25" t="s" s="91">
        <f>IF(COUNTA($I25&gt;0),VLOOKUP(I25,$L$39:$M$49,2))</f>
        <v>77</v>
      </c>
    </row>
    <row r="26" ht="22" customHeight="1">
      <c r="A26" t="s" s="86">
        <v>30</v>
      </c>
      <c r="B26" s="92">
        <v>0</v>
      </c>
      <c r="C26" s="93">
        <v>10</v>
      </c>
      <c r="D26" s="93"/>
      <c r="E26" s="93"/>
      <c r="F26" s="93">
        <f>IF(COUNT(B26:E26&gt;3),SUM(LARGE(B26:E26,1),LARGE(B26:E26,2),LARGE(B26:E26,3)),SUM(B26:E26))</f>
        <v>10</v>
      </c>
      <c r="G26" s="93">
        <f>VLOOKUP($A26,'Student Data'!$A25:$G34,7,FALSE)/10</f>
        <v>3.7</v>
      </c>
      <c r="H26" s="93"/>
      <c r="I26" s="94">
        <f>SUMPRODUCT($F26:$H26,$F$5:$H$5)/10</f>
        <v>0.2425</v>
      </c>
      <c r="J26" t="s" s="95">
        <f>IF(COUNTA($I26&gt;0),VLOOKUP(I26,$L$39:$M$49,2))</f>
        <v>75</v>
      </c>
    </row>
    <row r="27" ht="22" customHeight="1">
      <c r="A27" t="s" s="86">
        <v>31</v>
      </c>
      <c r="B27" s="87">
        <v>3.5</v>
      </c>
      <c r="C27" s="88">
        <v>7</v>
      </c>
      <c r="D27" s="88"/>
      <c r="E27" s="88"/>
      <c r="F27" s="88">
        <f>IF(COUNT(B27:E27&gt;3),SUM(LARGE(B27:E27,1),LARGE(B27:E27,2),LARGE(B27:E27,3)),SUM(B27:E27))</f>
        <v>10.5</v>
      </c>
      <c r="G27" s="88">
        <f>VLOOKUP($A27,'Student Data'!$A26:$G34,7,FALSE)/10</f>
        <v>3.3</v>
      </c>
      <c r="H27" s="88"/>
      <c r="I27" s="90">
        <f>SUMPRODUCT($F27:$H27,$F$5:$H$5)/10</f>
        <v>0.24</v>
      </c>
      <c r="J27" t="s" s="91">
        <f>IF(COUNTA($I27&gt;0),VLOOKUP(I27,$L$39:$M$49,2))</f>
        <v>75</v>
      </c>
    </row>
    <row r="28" ht="22" customHeight="1">
      <c r="A28" t="s" s="86">
        <v>32</v>
      </c>
      <c r="B28" s="92">
        <v>9.5</v>
      </c>
      <c r="C28" s="93">
        <v>10</v>
      </c>
      <c r="D28" s="93"/>
      <c r="E28" s="93"/>
      <c r="F28" s="93">
        <f>IF(COUNT(B28:E28&gt;3),SUM(LARGE(B28:E28,1),LARGE(B28:E28,2),LARGE(B28:E28,3)),SUM(B28:E28))</f>
        <v>19.5</v>
      </c>
      <c r="G28" s="93">
        <f>VLOOKUP($A28,'Student Data'!$A27:$G34,7,FALSE)/10</f>
        <v>5.2</v>
      </c>
      <c r="H28" s="93"/>
      <c r="I28" s="94">
        <f>SUMPRODUCT($F28:$H28,$F$5:$H$5)/10</f>
        <v>0.4225</v>
      </c>
      <c r="J28" t="s" s="95">
        <f>IF(COUNTA($I28&gt;0),VLOOKUP(I28,$L$39:$M$49,2))</f>
        <v>76</v>
      </c>
    </row>
    <row r="29" ht="22" customHeight="1">
      <c r="A29" t="s" s="86">
        <v>33</v>
      </c>
      <c r="B29" s="87">
        <v>9</v>
      </c>
      <c r="C29" s="88">
        <v>10</v>
      </c>
      <c r="D29" s="88"/>
      <c r="E29" s="88"/>
      <c r="F29" s="88">
        <f>IF(COUNT(B29:E29&gt;3),SUM(LARGE(B29:E29,1),LARGE(B29:E29,2),LARGE(B29:E29,3)),SUM(B29:E29))</f>
        <v>19</v>
      </c>
      <c r="G29" s="88">
        <f>VLOOKUP($A29,'Student Data'!$A28:$G34,7,FALSE)/10</f>
        <v>6.3</v>
      </c>
      <c r="H29" s="88"/>
      <c r="I29" s="90">
        <f>SUMPRODUCT($F29:$H29,$F$5:$H$5)/10</f>
        <v>0.4425</v>
      </c>
      <c r="J29" t="s" s="91">
        <f>IF(COUNTA($I29&gt;0),VLOOKUP(I29,$L$39:$M$49,2))</f>
        <v>76</v>
      </c>
    </row>
    <row r="30" ht="22" customHeight="1">
      <c r="A30" t="s" s="86">
        <v>34</v>
      </c>
      <c r="B30" s="92">
        <v>4</v>
      </c>
      <c r="C30" s="93">
        <v>9</v>
      </c>
      <c r="D30" s="93"/>
      <c r="E30" s="93"/>
      <c r="F30" s="93">
        <f>IF(COUNT(B30:E30&gt;3),SUM(LARGE(B30:E30,1),LARGE(B30:E30,2),LARGE(B30:E30,3)),SUM(B30:E30))</f>
        <v>13</v>
      </c>
      <c r="G30" s="93">
        <f>VLOOKUP($A30,'Student Data'!$A29:$G34,7,FALSE)/10</f>
        <v>4.3</v>
      </c>
      <c r="H30" s="93"/>
      <c r="I30" s="94">
        <f>SUMPRODUCT($F30:$H30,$F$5:$H$5)/10</f>
        <v>0.3025</v>
      </c>
      <c r="J30" t="s" s="95">
        <f>IF(COUNTA($I30&gt;0),VLOOKUP(I30,$L$39:$M$49,2))</f>
        <v>75</v>
      </c>
    </row>
    <row r="31" ht="22" customHeight="1">
      <c r="A31" t="s" s="86">
        <v>35</v>
      </c>
      <c r="B31" s="87">
        <v>0</v>
      </c>
      <c r="C31" s="88">
        <v>6</v>
      </c>
      <c r="D31" s="88"/>
      <c r="E31" s="88"/>
      <c r="F31" s="88">
        <f>IF(COUNT(B31:E31&gt;3),SUM(LARGE(B31:E31,1),LARGE(B31:E31,2),LARGE(B31:E31,3)),SUM(B31:E31))</f>
        <v>6</v>
      </c>
      <c r="G31" s="88">
        <f>VLOOKUP($A31,'Student Data'!$A30:$G34,7,FALSE)/10</f>
        <v>4.1</v>
      </c>
      <c r="H31" s="88"/>
      <c r="I31" s="90">
        <f>SUMPRODUCT($F31:$H31,$F$5:$H$5)/10</f>
        <v>0.1925</v>
      </c>
      <c r="J31" t="s" s="91">
        <f>IF(COUNTA($I31&gt;0),VLOOKUP(I31,$L$39:$M$49,2))</f>
        <v>75</v>
      </c>
    </row>
    <row r="32" ht="22" customHeight="1">
      <c r="A32" t="s" s="86">
        <v>36</v>
      </c>
      <c r="B32" s="92">
        <v>9</v>
      </c>
      <c r="C32" s="93">
        <v>0</v>
      </c>
      <c r="D32" s="93"/>
      <c r="E32" s="93"/>
      <c r="F32" s="93">
        <f>IF(COUNT(B32:E32&gt;3),SUM(LARGE(B32:E32,1),LARGE(B32:E32,2),LARGE(B32:E32,3)),SUM(B32:E32))</f>
        <v>9</v>
      </c>
      <c r="G32" s="93">
        <f>VLOOKUP($A32,'Student Data'!$A31:$G34,7,FALSE)/10</f>
        <v>7</v>
      </c>
      <c r="H32" s="93"/>
      <c r="I32" s="94">
        <f>SUMPRODUCT($F32:$H32,$F$5:$H$5)/10</f>
        <v>0.3099999999999999</v>
      </c>
      <c r="J32" t="s" s="95">
        <f>IF(COUNTA($I32&gt;0),VLOOKUP(I32,$L$39:$M$49,2))</f>
        <v>75</v>
      </c>
    </row>
    <row r="33" ht="22" customHeight="1">
      <c r="A33" t="s" s="86">
        <v>37</v>
      </c>
      <c r="B33" s="87">
        <v>8</v>
      </c>
      <c r="C33" s="88">
        <v>8</v>
      </c>
      <c r="D33" s="88"/>
      <c r="E33" s="88"/>
      <c r="F33" s="88">
        <f>IF(COUNT(B33:E33&gt;3),SUM(LARGE(B33:E33,1),LARGE(B33:E33,2),LARGE(B33:E33,3)),SUM(B33:E33))</f>
        <v>16</v>
      </c>
      <c r="G33" s="88">
        <f>VLOOKUP($A33,'Student Data'!$A32:$G34,7,FALSE)/10</f>
        <v>3.8</v>
      </c>
      <c r="H33" s="88"/>
      <c r="I33" s="90">
        <f>SUMPRODUCT($F33:$H33,$F$5:$H$5)/10</f>
        <v>0.335</v>
      </c>
      <c r="J33" t="s" s="91">
        <f>IF(COUNTA($I33&gt;0),VLOOKUP(I33,$L$39:$M$49,2))</f>
        <v>75</v>
      </c>
    </row>
    <row r="34" ht="23" customHeight="1">
      <c r="A34" t="s" s="96">
        <v>38</v>
      </c>
      <c r="B34" s="97">
        <v>9</v>
      </c>
      <c r="C34" s="98">
        <v>8</v>
      </c>
      <c r="D34" s="98"/>
      <c r="E34" s="98"/>
      <c r="F34" s="98">
        <f>IF(COUNT(B34:E34&gt;3),SUM(LARGE(B34:E34,1),LARGE(B34:E34,2),LARGE(B34:E34,3)),SUM(B34:E34))</f>
        <v>17</v>
      </c>
      <c r="G34" s="98">
        <f>VLOOKUP($A34,'Student Data'!$A33:$G34,7,FALSE)/10</f>
        <v>7.6</v>
      </c>
      <c r="H34" s="98"/>
      <c r="I34" s="99">
        <f>SUMPRODUCT($F34:$H34,$F$5:$H$5)/10</f>
        <v>0.445</v>
      </c>
      <c r="J34" t="s" s="100">
        <f>IF(COUNTA($I34&gt;0),VLOOKUP(I34,$L$39:$M$49,2))</f>
        <v>76</v>
      </c>
    </row>
    <row r="35" ht="23.25" customHeight="1">
      <c r="A35" t="s" s="101">
        <v>39</v>
      </c>
      <c r="B35" s="102">
        <f>AVERAGE(B6:B34)</f>
        <v>6.475862068965517</v>
      </c>
      <c r="C35" s="102">
        <f>AVERAGE(C6:C34)</f>
        <v>8.620689655172415</v>
      </c>
      <c r="D35" s="103">
        <f>AVERAGE(D6:D34)</f>
      </c>
      <c r="E35" s="103">
        <f>AVERAGE(E6:E34)</f>
      </c>
      <c r="F35" s="102">
        <f>AVERAGE(F6:F34)</f>
        <v>15.09655172413793</v>
      </c>
      <c r="G35" s="102">
        <f>AVERAGE(G6:G34)</f>
        <v>5.282758620689656</v>
      </c>
      <c r="H35" s="103">
        <f>AVERAGE(H6:H34)</f>
      </c>
      <c r="I35" s="104">
        <f>AVERAGE(I6:I34)</f>
        <v>0.3585172413793104</v>
      </c>
      <c r="J35" s="105"/>
    </row>
    <row r="37" ht="29.3" customHeight="1">
      <c r="K37" t="s" s="2">
        <v>79</v>
      </c>
      <c r="L37" s="2"/>
      <c r="M37" s="2"/>
      <c r="N37" s="2"/>
    </row>
    <row r="38" ht="22.6" customHeight="1">
      <c r="K38" t="s" s="54">
        <v>80</v>
      </c>
      <c r="L38" t="s" s="4">
        <v>81</v>
      </c>
      <c r="M38" t="s" s="4">
        <v>82</v>
      </c>
      <c r="N38" t="s" s="5">
        <v>83</v>
      </c>
    </row>
    <row r="39" ht="23" customHeight="1">
      <c r="K39" s="107">
        <v>0.9399999999999999</v>
      </c>
      <c r="L39" s="108">
        <f>K39-($O$52/100)</f>
        <v>0.8899999999999999</v>
      </c>
      <c r="M39" t="s" s="109">
        <v>84</v>
      </c>
      <c r="N39" s="110">
        <f>COUNTIF(J6:J34,M39)</f>
        <v>0</v>
      </c>
    </row>
    <row r="40" ht="23" customHeight="1">
      <c r="K40" s="111">
        <v>0.88</v>
      </c>
      <c r="L40" s="112">
        <f>K40-($O$52/100)</f>
        <v>0.83</v>
      </c>
      <c r="M40" t="s" s="113">
        <v>85</v>
      </c>
      <c r="N40" s="114">
        <f>COUNTIF(J7:J35,M40)</f>
        <v>0</v>
      </c>
    </row>
    <row r="41" ht="23" customHeight="1">
      <c r="K41" s="111">
        <v>0.82</v>
      </c>
      <c r="L41" s="112">
        <f>K41-($O$52/100)</f>
        <v>0.7699999999999999</v>
      </c>
      <c r="M41" t="s" s="115">
        <v>86</v>
      </c>
      <c r="N41" s="116">
        <f>COUNTIF(J8:J35,M41)</f>
        <v>0</v>
      </c>
    </row>
    <row r="42" ht="23" customHeight="1">
      <c r="K42" s="111">
        <v>0.76</v>
      </c>
      <c r="L42" s="112">
        <f>K42-($O$52/100)</f>
        <v>0.71</v>
      </c>
      <c r="M42" t="s" s="113">
        <v>87</v>
      </c>
      <c r="N42" s="114">
        <f>COUNTIF(J9:J35,M42)</f>
        <v>0</v>
      </c>
    </row>
    <row r="43" ht="23" customHeight="1">
      <c r="K43" s="111">
        <v>0.7</v>
      </c>
      <c r="L43" s="112">
        <f>K43-($O$52/100)</f>
        <v>0.6499999999999999</v>
      </c>
      <c r="M43" t="s" s="115">
        <v>88</v>
      </c>
      <c r="N43" s="116">
        <f>COUNTIF(J10:J35,M43)</f>
        <v>0</v>
      </c>
    </row>
    <row r="44" ht="23" customHeight="1">
      <c r="K44" s="111">
        <v>0.64</v>
      </c>
      <c r="L44" s="112">
        <f>K44-($O$52/100)</f>
        <v>0.59</v>
      </c>
      <c r="M44" t="s" s="113">
        <v>89</v>
      </c>
      <c r="N44" s="114">
        <f>COUNTIF(J11:J35,M44)</f>
        <v>0</v>
      </c>
    </row>
    <row r="45" ht="23" customHeight="1">
      <c r="K45" s="111">
        <v>0.58</v>
      </c>
      <c r="L45" s="112">
        <f>K45-($O$52/100)</f>
        <v>0.5299999999999999</v>
      </c>
      <c r="M45" t="s" s="115">
        <v>78</v>
      </c>
      <c r="N45" s="116">
        <f>COUNTIF(J12:J35,M45)</f>
        <v>0</v>
      </c>
    </row>
    <row r="46" ht="23" customHeight="1">
      <c r="K46" s="111">
        <v>0.52</v>
      </c>
      <c r="L46" s="112">
        <f>K46-($O$52/100)</f>
        <v>0.47</v>
      </c>
      <c r="M46" t="s" s="113">
        <v>90</v>
      </c>
      <c r="N46" s="114">
        <f>COUNTIF(J13:J35,M46)</f>
        <v>0</v>
      </c>
    </row>
    <row r="47" ht="23" customHeight="1">
      <c r="K47" s="111">
        <v>0.46</v>
      </c>
      <c r="L47" s="112">
        <f>K47-($O$52/100)</f>
        <v>0.41</v>
      </c>
      <c r="M47" t="s" s="115">
        <v>76</v>
      </c>
      <c r="N47" s="116">
        <f>COUNTIF(J14:J35,M47)</f>
        <v>6</v>
      </c>
    </row>
    <row r="48" ht="23" customHeight="1">
      <c r="K48" s="111">
        <v>0.4</v>
      </c>
      <c r="L48" s="112">
        <f>K48-($O$52/100)</f>
        <v>0.35</v>
      </c>
      <c r="M48" t="s" s="113">
        <v>77</v>
      </c>
      <c r="N48" s="114">
        <f>COUNTIF(J15:J35,M48)</f>
        <v>3</v>
      </c>
    </row>
    <row r="49" ht="22.6" customHeight="1">
      <c r="K49" s="117">
        <v>0</v>
      </c>
      <c r="L49" s="118">
        <f>K49-($O$52/100)</f>
        <v>-0.05</v>
      </c>
      <c r="M49" t="s" s="119">
        <v>75</v>
      </c>
      <c r="N49" s="120">
        <f>COUNTIF(J16:J35,M49)</f>
        <v>10</v>
      </c>
    </row>
    <row r="51" ht="23.1" customHeight="1">
      <c r="O51" t="s" s="122">
        <v>91</v>
      </c>
    </row>
    <row r="52" ht="25" customHeight="1">
      <c r="O52" s="123">
        <v>5</v>
      </c>
    </row>
  </sheetData>
  <mergeCells count="2">
    <mergeCell ref="A2:J2"/>
    <mergeCell ref="K37:N37"/>
  </mergeCells>
  <pageMargins left="0.25" right="0.25" top="0.25" bottom="0.8" header="0.25" footer="0.25"/>
  <pageSetup firstPageNumber="1" fitToHeight="1" fitToWidth="1" scale="100" useFirstPageNumber="0" orientation="landscape" pageOrder="downThenOver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2:Q19"/>
  <sheetViews>
    <sheetView workbookViewId="0" showGridLines="0" defaultGridColor="1"/>
  </sheetViews>
  <sheetFormatPr defaultColWidth="28.8333" defaultRowHeight="21.65" customHeight="1" outlineLevelRow="0" outlineLevelCol="0"/>
  <cols>
    <col min="1" max="1" width="28.8516" style="124" customWidth="1"/>
    <col min="2" max="2" width="28.8516" style="126" customWidth="1"/>
    <col min="3" max="3" width="20.4375" style="128" customWidth="1"/>
    <col min="4" max="8" width="9.67188" style="128" customWidth="1"/>
    <col min="9" max="9" width="13.4375" style="128" customWidth="1"/>
    <col min="10" max="10" width="55.0234" style="136" customWidth="1"/>
    <col min="11" max="12" width="12.7344" style="136" customWidth="1"/>
    <col min="13" max="15" width="16.1094" style="141" customWidth="1"/>
    <col min="16" max="16" width="15.9219" style="141" customWidth="1"/>
    <col min="17" max="17" width="16.1094" style="141" customWidth="1"/>
    <col min="18" max="256" width="28.8516" style="141" customWidth="1"/>
  </cols>
  <sheetData>
    <row r="1" ht="57" customHeight="1"/>
    <row r="2" ht="22.25" customHeight="1">
      <c r="A2" s="125"/>
    </row>
    <row r="4" ht="23.55" customHeight="1">
      <c r="B4" t="s" s="127">
        <f>$C8</f>
        <v>19</v>
      </c>
    </row>
    <row r="6" ht="22.6" customHeight="1">
      <c r="C6" t="s" s="3">
        <v>92</v>
      </c>
      <c r="D6" t="s" s="4">
        <f>'Student Data'!B$3</f>
        <v>2</v>
      </c>
      <c r="E6" t="s" s="4">
        <f>'Student Data'!C$3</f>
        <v>3</v>
      </c>
      <c r="F6" t="s" s="4">
        <f>'Student Data'!D$3</f>
        <v>4</v>
      </c>
      <c r="G6" t="s" s="4">
        <f>'Student Data'!E$3</f>
        <v>5</v>
      </c>
      <c r="H6" t="s" s="4">
        <f>'Student Data'!F$3</f>
        <v>6</v>
      </c>
      <c r="I6" t="s" s="5">
        <v>93</v>
      </c>
    </row>
    <row r="7" ht="23" customHeight="1">
      <c r="C7" t="s" s="9">
        <v>39</v>
      </c>
      <c r="D7" s="129">
        <f>VLOOKUP($C7,'Student Data'!$A$3:$G$34,2,FALSE)/'Student Data'!B4</f>
        <v>0.5735632183908046</v>
      </c>
      <c r="E7" s="130">
        <f>VLOOKUP($C7,'Student Data'!$A$3:$G$34,3,FALSE)/'Student Data'!C4</f>
        <v>0.6068965517241379</v>
      </c>
      <c r="F7" s="130">
        <f>VLOOKUP($C7,'Student Data'!$A$3:$G$34,4,FALSE)/'Student Data'!D4</f>
        <v>0.8172413793103448</v>
      </c>
      <c r="G7" s="130">
        <f>VLOOKUP($C7,'Student Data'!$A$3:$G$34,5,FALSE)/'Student Data'!E4</f>
        <v>0.5344827586206897</v>
      </c>
      <c r="H7" s="130">
        <f>VLOOKUP($C7,'Student Data'!$A$3:$G$34,6,FALSE)/'Student Data'!F4</f>
        <v>0.2310344827586207</v>
      </c>
      <c r="I7" s="131">
        <f>VLOOKUP($C7,'Student Data'!$A$3:$G$34,7,FALSE)/'Student Data'!G4</f>
        <v>0.5282758620689656</v>
      </c>
    </row>
    <row r="8" ht="22.6" customHeight="1">
      <c r="C8" t="s" s="132">
        <f>'Student Data'!$A14</f>
        <v>19</v>
      </c>
      <c r="D8" s="133">
        <f>VLOOKUP($C8,'Student Data'!$A$3:$G$34,2,FALSE)/'Student Data'!B4</f>
        <v>0.4333333333333333</v>
      </c>
      <c r="E8" s="134">
        <f>VLOOKUP($C8,'Student Data'!$A$3:$G$34,3,FALSE)/'Student Data'!C4</f>
        <v>0.3</v>
      </c>
      <c r="F8" s="134">
        <f>VLOOKUP($C8,'Student Data'!$A$3:$G$34,4,FALSE)/'Student Data'!D4</f>
        <v>0.8</v>
      </c>
      <c r="G8" s="134">
        <f>VLOOKUP($C8,'Student Data'!$A$3:$G$34,5,FALSE)/'Student Data'!E4</f>
        <v>0.45</v>
      </c>
      <c r="H8" s="134">
        <f>VLOOKUP($C8,'Student Data'!$A$3:$G$34,6,FALSE)/'Student Data'!F4</f>
        <v>0</v>
      </c>
      <c r="I8" s="135">
        <f>VLOOKUP($C8,'Student Data'!$A$3:$G$34,7,FALSE)/'Student Data'!G4</f>
        <v>0.36</v>
      </c>
    </row>
    <row r="10" ht="36.6" customHeight="1">
      <c r="J10" t="s" s="54">
        <v>94</v>
      </c>
      <c r="K10" t="s" s="4">
        <v>95</v>
      </c>
      <c r="L10" t="s" s="5">
        <v>96</v>
      </c>
    </row>
    <row r="11" ht="23" customHeight="1">
      <c r="J11" t="s" s="9">
        <v>60</v>
      </c>
      <c r="K11" t="s" s="109">
        <f>VLOOKUP(VLOOKUP($C8,'Qualitative data'!$D11:$I39,2,FALSE),'Qualitative data'!$B4:$C7,2)</f>
        <v>46</v>
      </c>
      <c r="L11" t="s" s="137">
        <f>IF(VLOOKUP($C$8,'Qualitative data'!$D$11:$I$39,2,FALSE)&lt;'Qualitative data'!$E40,"Below average","Above average")</f>
        <v>97</v>
      </c>
    </row>
    <row r="12" ht="37" customHeight="1">
      <c r="J12" t="s" s="13">
        <v>61</v>
      </c>
      <c r="K12" t="s" s="113">
        <f>VLOOKUP(VLOOKUP($C8,'Qualitative data'!$D11:$I39,3,FALSE),'Qualitative data'!$B4:$C7,2)</f>
        <v>45</v>
      </c>
      <c r="L12" t="s" s="138">
        <f>IF(VLOOKUP($C8,'Qualitative data'!$D$11:$I$39,3,FALSE)&lt;'Qualitative data'!F$40,"Below average","Above average")</f>
        <v>97</v>
      </c>
    </row>
    <row r="13" ht="51" customHeight="1">
      <c r="J13" t="s" s="13">
        <v>62</v>
      </c>
      <c r="K13" t="s" s="115">
        <f>VLOOKUP(VLOOKUP($C8,'Qualitative data'!$D11:$I39,4,FALSE),'Qualitative data'!$B4:$C7,2)</f>
        <v>45</v>
      </c>
      <c r="L13" t="s" s="139">
        <f>IF(VLOOKUP($C8,'Qualitative data'!$D$11:$I$39,4,FALSE)&lt;'Qualitative data'!G$40,"Below average","Above average")</f>
        <v>97</v>
      </c>
    </row>
    <row r="14" ht="37" customHeight="1">
      <c r="J14" t="s" s="13">
        <v>63</v>
      </c>
      <c r="K14" t="s" s="113">
        <f>VLOOKUP(VLOOKUP($C8,'Qualitative data'!$D11:$I39,5,FALSE),'Qualitative data'!$B4:$C7,2)</f>
        <v>45</v>
      </c>
      <c r="L14" t="s" s="138">
        <f>IF(VLOOKUP($C8,'Qualitative data'!$D$11:$I$39,5,FALSE)&lt;'Qualitative data'!H$40,"Below average","Above average")</f>
        <v>97</v>
      </c>
    </row>
    <row r="15" ht="36.6" customHeight="1">
      <c r="J15" t="s" s="132">
        <v>64</v>
      </c>
      <c r="K15" t="s" s="119">
        <f>VLOOKUP(VLOOKUP($C8,'Qualitative data'!$D11:$I39,6,FALSE),'Qualitative data'!$B4:$C7,2)</f>
        <v>46</v>
      </c>
      <c r="L15" t="s" s="140">
        <f>IF(VLOOKUP($C8,'Qualitative data'!$D$11:$I$39,6,FALSE)&lt;'Qualitative data'!I$40,"Below average","Above average")</f>
        <v>97</v>
      </c>
    </row>
    <row r="17" ht="29.3" customHeight="1">
      <c r="M17" t="s" s="71">
        <v>98</v>
      </c>
      <c r="N17" s="71"/>
      <c r="O17" s="71"/>
      <c r="P17" s="71"/>
      <c r="Q17" s="71"/>
    </row>
    <row r="18" ht="21.7" customHeight="1">
      <c r="M18" t="s" s="142">
        <v>99</v>
      </c>
      <c r="N18" t="s" s="143">
        <v>100</v>
      </c>
      <c r="O18" t="s" s="143">
        <v>101</v>
      </c>
      <c r="P18" t="s" s="143">
        <v>102</v>
      </c>
      <c r="Q18" t="s" s="144">
        <v>103</v>
      </c>
    </row>
    <row r="19" ht="21.45" customHeight="1">
      <c r="M19" s="145">
        <f>VLOOKUP($C8,'Grade tracker'!$A6:$J34,2,FALSE)*1.5</f>
        <v>8.699999999999999</v>
      </c>
      <c r="N19" s="146">
        <f>VLOOKUP($C8,'Grade tracker'!$A6:$J34,3,FALSE)*1.5</f>
        <v>15</v>
      </c>
      <c r="O19" s="146">
        <f>VLOOKUP($C8,'Grade tracker'!$A6:$G34,4,FALSE)*2.5</f>
        <v>0</v>
      </c>
      <c r="P19" s="146">
        <f>VLOOKUP($C8,'Grade tracker'!$A6:$I34,5,FALSE)</f>
        <v>0</v>
      </c>
      <c r="Q19" s="147">
        <f>VLOOKUP($C8,'Grade tracker'!$A6:$J34,6,FALSE)</f>
        <v>15.8</v>
      </c>
    </row>
  </sheetData>
  <mergeCells count="1">
    <mergeCell ref="M17:Q17"/>
  </mergeCells>
  <pageMargins left="0.25" right="0.25" top="0.25" bottom="0.25" header="0.25" footer="0.25"/>
  <pageSetup firstPageNumber="1" fitToHeight="1" fitToWidth="1" scale="100" useFirstPageNumber="0" orientation="portrait" pageOrder="downThenOver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