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rio\Downloads\"/>
    </mc:Choice>
  </mc:AlternateContent>
  <xr:revisionPtr revIDLastSave="0" documentId="13_ncr:1_{B29B3F79-01E2-4615-9FBE-046BC7473839}" xr6:coauthVersionLast="47" xr6:coauthVersionMax="47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Tamaño_Población" sheetId="1" r:id="rId1"/>
    <sheet name="1. ProyecciónVentas" sheetId="2" r:id="rId2"/>
    <sheet name="2. EstudioTécnico y Costos" sheetId="6" r:id="rId3"/>
    <sheet name="3. EstudioOrganizacional" sheetId="7" r:id="rId4"/>
    <sheet name="4. EstudioFinanciero" sheetId="9" r:id="rId5"/>
  </sheets>
  <definedNames>
    <definedName name="Pal_Workbook_GUID" hidden="1">"AFSFAEY79K9QVWBTI3GZ4C44"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9" l="1"/>
  <c r="D20" i="9" s="1"/>
  <c r="C19" i="9"/>
  <c r="D19" i="9" s="1"/>
  <c r="E19" i="9" s="1"/>
  <c r="F19" i="9" s="1"/>
  <c r="C28" i="9"/>
  <c r="G45" i="9" s="1"/>
  <c r="C29" i="9"/>
  <c r="E47" i="9" s="1"/>
  <c r="C31" i="9"/>
  <c r="E49" i="9" s="1"/>
  <c r="C32" i="9"/>
  <c r="E51" i="9" s="1"/>
  <c r="C33" i="9"/>
  <c r="G52" i="9" s="1"/>
  <c r="C34" i="9"/>
  <c r="F53" i="9" s="1"/>
  <c r="C35" i="9"/>
  <c r="F54" i="9" s="1"/>
  <c r="D25" i="9"/>
  <c r="E25" i="9" s="1"/>
  <c r="F25" i="9" s="1"/>
  <c r="G25" i="9" s="1"/>
  <c r="H25" i="9" s="1"/>
  <c r="F36" i="9"/>
  <c r="H36" i="9"/>
  <c r="D40" i="9"/>
  <c r="E40" i="9" s="1"/>
  <c r="F40" i="9" s="1"/>
  <c r="G40" i="9" s="1"/>
  <c r="H40" i="9" s="1"/>
  <c r="D59" i="9"/>
  <c r="E59" i="9" s="1"/>
  <c r="F59" i="9" s="1"/>
  <c r="G59" i="9" s="1"/>
  <c r="H59" i="9" s="1"/>
  <c r="D67" i="9"/>
  <c r="E67" i="9" s="1"/>
  <c r="F67" i="9" s="1"/>
  <c r="G67" i="9" s="1"/>
  <c r="H67" i="9" s="1"/>
  <c r="D84" i="9"/>
  <c r="E84" i="9" s="1"/>
  <c r="F84" i="9" s="1"/>
  <c r="G84" i="9" s="1"/>
  <c r="H84" i="9" s="1"/>
  <c r="H51" i="9" l="1"/>
  <c r="G51" i="9"/>
  <c r="F52" i="9"/>
  <c r="F49" i="9"/>
  <c r="D49" i="9"/>
  <c r="E52" i="9"/>
  <c r="H49" i="9"/>
  <c r="D54" i="9"/>
  <c r="G49" i="9"/>
  <c r="E54" i="9"/>
  <c r="D53" i="9"/>
  <c r="D45" i="9"/>
  <c r="H53" i="9"/>
  <c r="H45" i="9"/>
  <c r="D51" i="9"/>
  <c r="G53" i="9"/>
  <c r="F45" i="9"/>
  <c r="E53" i="9"/>
  <c r="E45" i="9"/>
  <c r="H47" i="9"/>
  <c r="F51" i="9"/>
  <c r="G47" i="9"/>
  <c r="H54" i="9"/>
  <c r="D47" i="9"/>
  <c r="F47" i="9"/>
  <c r="D52" i="9"/>
  <c r="G54" i="9"/>
  <c r="H52" i="9"/>
  <c r="D28" i="9"/>
  <c r="E20" i="9"/>
  <c r="F20" i="9" s="1"/>
  <c r="C104" i="9"/>
  <c r="F46" i="9" l="1"/>
  <c r="G46" i="9"/>
  <c r="H46" i="9"/>
  <c r="E46" i="9"/>
  <c r="D2" i="9" l="1"/>
  <c r="E2" i="9" s="1"/>
  <c r="F2" i="9" s="1"/>
  <c r="G2" i="9" s="1"/>
  <c r="H2" i="9" s="1"/>
  <c r="D9" i="9"/>
  <c r="E9" i="9" s="1"/>
  <c r="F9" i="9" s="1"/>
  <c r="G9" i="9" s="1"/>
  <c r="H9" i="9" s="1"/>
  <c r="G11" i="9"/>
  <c r="D16" i="9"/>
  <c r="E16" i="9" s="1"/>
  <c r="F16" i="9" s="1"/>
  <c r="G16" i="9" s="1"/>
  <c r="H16" i="9" s="1"/>
  <c r="H11" i="9" l="1"/>
  <c r="G19" i="9"/>
  <c r="G20" i="9"/>
  <c r="H20" i="9" l="1"/>
  <c r="H19" i="9"/>
  <c r="G31" i="9"/>
  <c r="H50" i="9" s="1"/>
  <c r="I50" i="9" s="1"/>
  <c r="G36" i="9"/>
  <c r="H3" i="2" l="1"/>
  <c r="G3" i="2"/>
  <c r="F3" i="2"/>
  <c r="E3" i="2"/>
  <c r="D3" i="2"/>
  <c r="C3" i="2"/>
  <c r="D48" i="1"/>
  <c r="L6" i="6"/>
  <c r="M13" i="6"/>
  <c r="O13" i="6" s="1"/>
  <c r="C18" i="9" l="1"/>
  <c r="D18" i="9" s="1"/>
  <c r="C27" i="9"/>
  <c r="F181" i="6"/>
  <c r="G168" i="6" s="1"/>
  <c r="D7" i="6"/>
  <c r="D8" i="6"/>
  <c r="D9" i="6"/>
  <c r="D10" i="6"/>
  <c r="D12" i="6"/>
  <c r="D13" i="6"/>
  <c r="D14" i="6"/>
  <c r="D17" i="6"/>
  <c r="D18" i="6"/>
  <c r="D19" i="6"/>
  <c r="D20" i="6"/>
  <c r="D21" i="6"/>
  <c r="D25" i="6"/>
  <c r="E25" i="6"/>
  <c r="D28" i="6"/>
  <c r="D29" i="6"/>
  <c r="D30" i="6"/>
  <c r="D31" i="6"/>
  <c r="D32" i="6"/>
  <c r="D34" i="6"/>
  <c r="D35" i="6"/>
  <c r="D37" i="6"/>
  <c r="D39" i="6"/>
  <c r="D40" i="6"/>
  <c r="D41" i="6"/>
  <c r="D45" i="6"/>
  <c r="E45" i="6"/>
  <c r="D64" i="6"/>
  <c r="E71" i="6"/>
  <c r="J7" i="7"/>
  <c r="J5" i="7"/>
  <c r="J8" i="7"/>
  <c r="J4" i="7"/>
  <c r="J6" i="7"/>
  <c r="E8" i="7"/>
  <c r="I8" i="7" s="1"/>
  <c r="E7" i="7"/>
  <c r="H7" i="7" s="1"/>
  <c r="J75" i="9" l="1"/>
  <c r="E94" i="6"/>
  <c r="E42" i="9"/>
  <c r="D42" i="9"/>
  <c r="H42" i="9"/>
  <c r="G42" i="9"/>
  <c r="F42" i="9"/>
  <c r="D27" i="9"/>
  <c r="D36" i="9" s="1"/>
  <c r="E18" i="9"/>
  <c r="G167" i="6"/>
  <c r="F168" i="6"/>
  <c r="D42" i="6"/>
  <c r="E42" i="6" s="1"/>
  <c r="D22" i="6"/>
  <c r="E22" i="6" s="1"/>
  <c r="R7" i="7"/>
  <c r="S8" i="7"/>
  <c r="S7" i="7"/>
  <c r="K8" i="7"/>
  <c r="K7" i="7"/>
  <c r="Q7" i="7"/>
  <c r="G7" i="7"/>
  <c r="I7" i="7"/>
  <c r="H8" i="7"/>
  <c r="Q8" i="7"/>
  <c r="G8" i="7"/>
  <c r="R8" i="7"/>
  <c r="M11" i="6"/>
  <c r="O11" i="6" s="1"/>
  <c r="M10" i="6"/>
  <c r="O10" i="6" s="1"/>
  <c r="G69" i="9" l="1"/>
  <c r="G89" i="9" s="1"/>
  <c r="D69" i="9"/>
  <c r="D89" i="9" s="1"/>
  <c r="D94" i="9" s="1"/>
  <c r="E69" i="9"/>
  <c r="E89" i="9" s="1"/>
  <c r="E94" i="9" s="1"/>
  <c r="H69" i="9"/>
  <c r="H89" i="9" s="1"/>
  <c r="F69" i="9"/>
  <c r="F89" i="9" s="1"/>
  <c r="F18" i="9"/>
  <c r="G18" i="9" s="1"/>
  <c r="H18" i="9" s="1"/>
  <c r="E27" i="9"/>
  <c r="J76" i="9"/>
  <c r="G94" i="6"/>
  <c r="I42" i="9"/>
  <c r="F167" i="6"/>
  <c r="E47" i="6"/>
  <c r="C62" i="9" s="1"/>
  <c r="D62" i="9" s="1"/>
  <c r="E62" i="9" s="1"/>
  <c r="F62" i="9" s="1"/>
  <c r="G62" i="9" s="1"/>
  <c r="T7" i="7"/>
  <c r="E49" i="6"/>
  <c r="C63" i="9" s="1"/>
  <c r="D63" i="9" s="1"/>
  <c r="E85" i="6"/>
  <c r="E97" i="6" s="1"/>
  <c r="G173" i="6"/>
  <c r="G97" i="6"/>
  <c r="F130" i="6" s="1"/>
  <c r="F147" i="6" s="1"/>
  <c r="L8" i="7"/>
  <c r="T8" i="7"/>
  <c r="L7" i="7"/>
  <c r="O8" i="7"/>
  <c r="O7" i="7"/>
  <c r="K88" i="6"/>
  <c r="M7" i="6"/>
  <c r="O7" i="6" s="1"/>
  <c r="M8" i="6"/>
  <c r="O8" i="6" s="1"/>
  <c r="M12" i="6"/>
  <c r="O12" i="6" s="1"/>
  <c r="M14" i="6"/>
  <c r="O14" i="6" s="1"/>
  <c r="M6" i="6"/>
  <c r="L22" i="6"/>
  <c r="M22" i="6" s="1"/>
  <c r="N22" i="6" s="1"/>
  <c r="O22" i="6" s="1"/>
  <c r="E130" i="6" l="1"/>
  <c r="E147" i="6" s="1"/>
  <c r="E70" i="9"/>
  <c r="E90" i="9" s="1"/>
  <c r="G70" i="9"/>
  <c r="G90" i="9" s="1"/>
  <c r="F70" i="9"/>
  <c r="F90" i="9" s="1"/>
  <c r="D70" i="9"/>
  <c r="D90" i="9" s="1"/>
  <c r="D95" i="9" s="1"/>
  <c r="H70" i="9"/>
  <c r="H90" i="9" s="1"/>
  <c r="D110" i="9"/>
  <c r="C110" i="9"/>
  <c r="G174" i="6"/>
  <c r="D85" i="6"/>
  <c r="E63" i="9"/>
  <c r="F94" i="9"/>
  <c r="F43" i="9"/>
  <c r="H43" i="9"/>
  <c r="F44" i="9"/>
  <c r="H44" i="9"/>
  <c r="G43" i="9"/>
  <c r="E43" i="9"/>
  <c r="G44" i="9"/>
  <c r="E36" i="9"/>
  <c r="G94" i="9"/>
  <c r="H62" i="9"/>
  <c r="H94" i="9" s="1"/>
  <c r="O6" i="6"/>
  <c r="F70" i="6"/>
  <c r="F69" i="6"/>
  <c r="F68" i="6"/>
  <c r="F67" i="6"/>
  <c r="J9" i="7"/>
  <c r="F13" i="7"/>
  <c r="E5" i="7"/>
  <c r="E6" i="7"/>
  <c r="E9" i="7"/>
  <c r="E4" i="7"/>
  <c r="C111" i="9" l="1"/>
  <c r="D111" i="9"/>
  <c r="F63" i="9"/>
  <c r="E95" i="9"/>
  <c r="F71" i="6"/>
  <c r="H6" i="7"/>
  <c r="Q6" i="7"/>
  <c r="I4" i="7"/>
  <c r="K4" i="7"/>
  <c r="H4" i="7"/>
  <c r="S4" i="7"/>
  <c r="R4" i="7"/>
  <c r="R5" i="7"/>
  <c r="S5" i="7"/>
  <c r="R6" i="7"/>
  <c r="S6" i="7"/>
  <c r="R9" i="7"/>
  <c r="S9" i="7"/>
  <c r="Q5" i="7"/>
  <c r="Q9" i="7"/>
  <c r="Q4" i="7"/>
  <c r="K9" i="7"/>
  <c r="K6" i="7"/>
  <c r="K5" i="7"/>
  <c r="H9" i="7"/>
  <c r="H5" i="7"/>
  <c r="F95" i="9" l="1"/>
  <c r="G63" i="9"/>
  <c r="T6" i="7"/>
  <c r="T5" i="7"/>
  <c r="T4" i="7"/>
  <c r="T9" i="7"/>
  <c r="L4" i="7"/>
  <c r="G5" i="7"/>
  <c r="G6" i="7"/>
  <c r="G9" i="7"/>
  <c r="G4" i="7"/>
  <c r="I5" i="7"/>
  <c r="L5" i="7" s="1"/>
  <c r="I6" i="7"/>
  <c r="I9" i="7"/>
  <c r="L9" i="7" s="1"/>
  <c r="U2" i="7"/>
  <c r="L2" i="7"/>
  <c r="T2" i="7"/>
  <c r="M2" i="7"/>
  <c r="H63" i="9" l="1"/>
  <c r="H95" i="9" s="1"/>
  <c r="G95" i="9"/>
  <c r="M8" i="7"/>
  <c r="M7" i="7"/>
  <c r="U8" i="7"/>
  <c r="U7" i="7"/>
  <c r="N6" i="7"/>
  <c r="M6" i="7"/>
  <c r="O6" i="7"/>
  <c r="L6" i="7"/>
  <c r="U5" i="7"/>
  <c r="U6" i="7"/>
  <c r="U4" i="7"/>
  <c r="U9" i="7"/>
  <c r="M4" i="7"/>
  <c r="M5" i="7"/>
  <c r="O5" i="7"/>
  <c r="O4" i="7"/>
  <c r="O9" i="7"/>
  <c r="M9" i="7"/>
  <c r="N2" i="7"/>
  <c r="P6" i="7" l="1"/>
  <c r="V6" i="7" s="1"/>
  <c r="N8" i="7"/>
  <c r="P8" i="7" s="1"/>
  <c r="V8" i="7" s="1"/>
  <c r="N7" i="7"/>
  <c r="P7" i="7"/>
  <c r="V7" i="7" s="1"/>
  <c r="P2" i="7"/>
  <c r="N4" i="7"/>
  <c r="P4" i="7" s="1"/>
  <c r="V4" i="7" s="1"/>
  <c r="E58" i="6" s="1"/>
  <c r="N5" i="7"/>
  <c r="N9" i="7"/>
  <c r="P9" i="7" s="1"/>
  <c r="V9" i="7" s="1"/>
  <c r="P5" i="7"/>
  <c r="V5" i="7" s="1"/>
  <c r="L9" i="6"/>
  <c r="D12" i="2"/>
  <c r="E12" i="2" s="1"/>
  <c r="F12" i="2" s="1"/>
  <c r="G12" i="2" s="1"/>
  <c r="H12" i="2" s="1"/>
  <c r="D7" i="2"/>
  <c r="E7" i="2" s="1"/>
  <c r="F7" i="2" s="1"/>
  <c r="G7" i="2" s="1"/>
  <c r="H7" i="2" s="1"/>
  <c r="D8" i="2"/>
  <c r="E8" i="2" s="1"/>
  <c r="F8" i="2" s="1"/>
  <c r="G8" i="2" s="1"/>
  <c r="H8" i="2" s="1"/>
  <c r="C10" i="2"/>
  <c r="C14" i="2" s="1"/>
  <c r="M9" i="6" l="1"/>
  <c r="M15" i="6" s="1"/>
  <c r="C30" i="9"/>
  <c r="E59" i="6"/>
  <c r="F59" i="6" s="1"/>
  <c r="E63" i="6"/>
  <c r="F63" i="6" s="1"/>
  <c r="E62" i="6"/>
  <c r="F62" i="6" s="1"/>
  <c r="E61" i="6"/>
  <c r="F61" i="6" s="1"/>
  <c r="E60" i="6"/>
  <c r="F60" i="6" s="1"/>
  <c r="F58" i="6"/>
  <c r="G10" i="2"/>
  <c r="G14" i="2" s="1"/>
  <c r="O23" i="6" s="1"/>
  <c r="O24" i="6" s="1"/>
  <c r="E10" i="2"/>
  <c r="E14" i="2" s="1"/>
  <c r="M23" i="6" s="1"/>
  <c r="M24" i="6" s="1"/>
  <c r="D10" i="2"/>
  <c r="D14" i="2" s="1"/>
  <c r="O9" i="6"/>
  <c r="O15" i="6" s="1"/>
  <c r="F75" i="6" s="1"/>
  <c r="F10" i="2"/>
  <c r="F14" i="2" s="1"/>
  <c r="N23" i="6" s="1"/>
  <c r="N24" i="6" s="1"/>
  <c r="H10" i="2"/>
  <c r="H14" i="2" s="1"/>
  <c r="D48" i="9" l="1"/>
  <c r="D55" i="9" s="1"/>
  <c r="D96" i="9" s="1"/>
  <c r="D112" i="9" s="1"/>
  <c r="H48" i="9"/>
  <c r="H55" i="9" s="1"/>
  <c r="H96" i="9" s="1"/>
  <c r="E48" i="9"/>
  <c r="E55" i="9" s="1"/>
  <c r="E96" i="9" s="1"/>
  <c r="F48" i="9"/>
  <c r="F55" i="9" s="1"/>
  <c r="F96" i="9" s="1"/>
  <c r="G48" i="9"/>
  <c r="G55" i="9" s="1"/>
  <c r="G96" i="9" s="1"/>
  <c r="C36" i="9"/>
  <c r="E136" i="6"/>
  <c r="J184" i="6"/>
  <c r="F64" i="6"/>
  <c r="E64" i="6"/>
  <c r="F73" i="6"/>
  <c r="C61" i="9" s="1"/>
  <c r="D61" i="9" s="1"/>
  <c r="L23" i="6"/>
  <c r="L24" i="6" s="1"/>
  <c r="E61" i="9" l="1"/>
  <c r="D93" i="9"/>
  <c r="D72" i="9"/>
  <c r="D78" i="9" s="1"/>
  <c r="D80" i="9" s="1"/>
  <c r="D88" i="9" s="1"/>
  <c r="D71" i="9"/>
  <c r="D77" i="9" s="1"/>
  <c r="D79" i="9" s="1"/>
  <c r="D87" i="9" s="1"/>
  <c r="D91" i="9" s="1"/>
  <c r="J182" i="6"/>
  <c r="J183" i="6"/>
  <c r="E126" i="6"/>
  <c r="F126" i="6"/>
  <c r="F146" i="6" s="1"/>
  <c r="E82" i="6"/>
  <c r="D82" i="6"/>
  <c r="D83" i="6" s="1"/>
  <c r="E127" i="6" s="1"/>
  <c r="G170" i="6" l="1"/>
  <c r="H168" i="6" s="1"/>
  <c r="E146" i="6"/>
  <c r="C107" i="9"/>
  <c r="C109" i="9"/>
  <c r="C113" i="9" s="1"/>
  <c r="D109" i="9"/>
  <c r="D113" i="9" s="1"/>
  <c r="D97" i="9"/>
  <c r="D99" i="9" s="1"/>
  <c r="E93" i="9"/>
  <c r="E97" i="9" s="1"/>
  <c r="E72" i="9"/>
  <c r="E78" i="9" s="1"/>
  <c r="E80" i="9" s="1"/>
  <c r="E88" i="9" s="1"/>
  <c r="E71" i="9"/>
  <c r="E77" i="9" s="1"/>
  <c r="E79" i="9" s="1"/>
  <c r="E87" i="9" s="1"/>
  <c r="F61" i="9"/>
  <c r="H167" i="6"/>
  <c r="G96" i="6"/>
  <c r="G99" i="6" s="1"/>
  <c r="F107" i="6" s="1"/>
  <c r="E83" i="6"/>
  <c r="F127" i="6" s="1"/>
  <c r="F116" i="6"/>
  <c r="F111" i="6"/>
  <c r="F112" i="6" s="1"/>
  <c r="E96" i="6"/>
  <c r="K86" i="6"/>
  <c r="K89" i="6" s="1"/>
  <c r="E99" i="6" l="1"/>
  <c r="E107" i="6" s="1"/>
  <c r="F93" i="9"/>
  <c r="F97" i="9" s="1"/>
  <c r="F71" i="9"/>
  <c r="F77" i="9" s="1"/>
  <c r="F79" i="9" s="1"/>
  <c r="F87" i="9" s="1"/>
  <c r="F72" i="9"/>
  <c r="F78" i="9" s="1"/>
  <c r="F80" i="9" s="1"/>
  <c r="F88" i="9" s="1"/>
  <c r="G61" i="9"/>
  <c r="E91" i="9"/>
  <c r="E99" i="9" s="1"/>
  <c r="C115" i="9"/>
  <c r="D107" i="9"/>
  <c r="D115" i="9" s="1"/>
  <c r="H170" i="6"/>
  <c r="F115" i="6"/>
  <c r="F117" i="6" s="1"/>
  <c r="F119" i="6" s="1"/>
  <c r="F129" i="6"/>
  <c r="E116" i="6" l="1"/>
  <c r="E111" i="6"/>
  <c r="E112" i="6" s="1"/>
  <c r="F132" i="6"/>
  <c r="F148" i="6"/>
  <c r="F149" i="6" s="1"/>
  <c r="F150" i="6" s="1"/>
  <c r="F151" i="6" s="1"/>
  <c r="F91" i="9"/>
  <c r="F99" i="9" s="1"/>
  <c r="G72" i="9"/>
  <c r="G78" i="9" s="1"/>
  <c r="G80" i="9" s="1"/>
  <c r="G88" i="9" s="1"/>
  <c r="G71" i="9"/>
  <c r="G77" i="9" s="1"/>
  <c r="G79" i="9" s="1"/>
  <c r="G87" i="9" s="1"/>
  <c r="G93" i="9"/>
  <c r="G97" i="9" s="1"/>
  <c r="H61" i="9"/>
  <c r="D117" i="9"/>
  <c r="D119" i="9" s="1"/>
  <c r="D121" i="9" s="1"/>
  <c r="C117" i="9"/>
  <c r="D124" i="9" s="1"/>
  <c r="F134" i="6"/>
  <c r="E129" i="6"/>
  <c r="E132" i="6" s="1"/>
  <c r="F174" i="6"/>
  <c r="H174" i="6" s="1"/>
  <c r="F173" i="6"/>
  <c r="H173" i="6" s="1"/>
  <c r="E115" i="6"/>
  <c r="E117" i="6" s="1"/>
  <c r="E119" i="6" s="1"/>
  <c r="C119" i="9" l="1"/>
  <c r="C121" i="9" s="1"/>
  <c r="D123" i="9" s="1"/>
  <c r="E134" i="6"/>
  <c r="H72" i="9"/>
  <c r="H78" i="9" s="1"/>
  <c r="H80" i="9" s="1"/>
  <c r="H88" i="9" s="1"/>
  <c r="H71" i="9"/>
  <c r="H77" i="9" s="1"/>
  <c r="H79" i="9" s="1"/>
  <c r="H87" i="9" s="1"/>
  <c r="H93" i="9"/>
  <c r="H97" i="9" s="1"/>
  <c r="G91" i="9"/>
  <c r="G99" i="9" s="1"/>
  <c r="F53" i="6"/>
  <c r="E148" i="6"/>
  <c r="E149" i="6" s="1"/>
  <c r="E150" i="6" s="1"/>
  <c r="E151" i="6" s="1"/>
  <c r="E138" i="6" l="1"/>
  <c r="F52" i="6"/>
  <c r="H91" i="9"/>
  <c r="H99" i="9" s="1"/>
</calcChain>
</file>

<file path=xl/sharedStrings.xml><?xml version="1.0" encoding="utf-8"?>
<sst xmlns="http://schemas.openxmlformats.org/spreadsheetml/2006/main" count="538" uniqueCount="317">
  <si>
    <t>Departamento Administrativo de Planeación</t>
  </si>
  <si>
    <t xml:space="preserve"> Subdirección de Prospectiva, Información y Evaluación Estratégica</t>
  </si>
  <si>
    <t>Proyecciones de población por Comunas y Corregimientos, años 2018 - 2030</t>
  </si>
  <si>
    <t>Comuna</t>
  </si>
  <si>
    <t>Total</t>
  </si>
  <si>
    <t>01 Popular</t>
  </si>
  <si>
    <t>02 Santa Cruz</t>
  </si>
  <si>
    <t>03 Manrique</t>
  </si>
  <si>
    <t>04 Aranjuez</t>
  </si>
  <si>
    <t>05 Castilla</t>
  </si>
  <si>
    <t>06 Doce De Octubre</t>
  </si>
  <si>
    <t>07 Robledo</t>
  </si>
  <si>
    <t>08 Villa Hermosa</t>
  </si>
  <si>
    <t>09 Buenos Aires</t>
  </si>
  <si>
    <t>10 La Candelaria</t>
  </si>
  <si>
    <t>11 Laureles - Estadio</t>
  </si>
  <si>
    <t>12 La América</t>
  </si>
  <si>
    <t>13 San Javier</t>
  </si>
  <si>
    <t>14 El Poblado</t>
  </si>
  <si>
    <t>15 Guayabal</t>
  </si>
  <si>
    <t>16 Belen</t>
  </si>
  <si>
    <t>50 San Sebastián De Palmitas</t>
  </si>
  <si>
    <t>60 San Cristóbal</t>
  </si>
  <si>
    <t>70 Altavista</t>
  </si>
  <si>
    <t>80 San Antonio de Prado</t>
  </si>
  <si>
    <t>90 Santa Elena</t>
  </si>
  <si>
    <t>Totales</t>
  </si>
  <si>
    <t>Fuente: DANE.</t>
  </si>
  <si>
    <t>Contrato interadministrativo No. 4600085225 de 2020, Dane - Municipio de Medellín, Base de proyección Censo 2018</t>
  </si>
  <si>
    <t>Año 0</t>
  </si>
  <si>
    <t>Año 1</t>
  </si>
  <si>
    <t>Año 2</t>
  </si>
  <si>
    <t>Año 3</t>
  </si>
  <si>
    <t>Año 4</t>
  </si>
  <si>
    <t>Año 5</t>
  </si>
  <si>
    <r>
      <rPr>
        <b/>
        <sz val="10"/>
        <color theme="1"/>
        <rFont val="Arial"/>
        <family val="2"/>
      </rPr>
      <t>Población:</t>
    </r>
    <r>
      <rPr>
        <sz val="10"/>
        <color theme="1"/>
        <rFont val="Arial"/>
        <family val="2"/>
      </rPr>
      <t xml:space="preserve"> personas de todas las edades que viven en Medellín</t>
    </r>
  </si>
  <si>
    <t>% Personas que compraría</t>
  </si>
  <si>
    <t># Postres, promedio / semana</t>
  </si>
  <si>
    <t>Proyección Ventas TOTAL</t>
  </si>
  <si>
    <t>% Participación Proyecto</t>
  </si>
  <si>
    <t>Proyección Ventas Citrón ANUAL</t>
  </si>
  <si>
    <t>COSTOS</t>
  </si>
  <si>
    <t>INVERSIÓN</t>
  </si>
  <si>
    <t>Cantidades</t>
  </si>
  <si>
    <t>Costo Unitario</t>
  </si>
  <si>
    <t>Clasificación</t>
  </si>
  <si>
    <t>Activos</t>
  </si>
  <si>
    <t>Cantidad</t>
  </si>
  <si>
    <t>Precio Unitario</t>
  </si>
  <si>
    <t>Precio TOTAL</t>
  </si>
  <si>
    <t>Vida útil [años]</t>
  </si>
  <si>
    <t>Depreciación ANUAL</t>
  </si>
  <si>
    <t>Enseres Cocina</t>
  </si>
  <si>
    <t>Costo TOTAL Variable Directo</t>
  </si>
  <si>
    <t>Computador</t>
  </si>
  <si>
    <t>Escritorios</t>
  </si>
  <si>
    <t>Costo TOTAL Variable Indirecto</t>
  </si>
  <si>
    <t>TOTAL</t>
  </si>
  <si>
    <t>Costo Mes</t>
  </si>
  <si>
    <t>Costo Año</t>
  </si>
  <si>
    <t>Repostero</t>
  </si>
  <si>
    <t>Supervisor</t>
  </si>
  <si>
    <t>Asistente</t>
  </si>
  <si>
    <t>Costo TOTAL Mano de Obra</t>
  </si>
  <si>
    <t>CALENDARIO DE INVERSIONES</t>
  </si>
  <si>
    <t>Software Facturación</t>
  </si>
  <si>
    <t>Servicios Públicos</t>
  </si>
  <si>
    <t>Arrendamiento</t>
  </si>
  <si>
    <t>Proyección DIA Demanda [Q]</t>
  </si>
  <si>
    <t>Costo TOTAL de otros ítems</t>
  </si>
  <si>
    <t># Licuadoras</t>
  </si>
  <si>
    <t>Costos Contables</t>
  </si>
  <si>
    <t>FUNCIONES DE COSTO</t>
  </si>
  <si>
    <t>Proyección de ventas</t>
  </si>
  <si>
    <t>Costos Fijo TOTAL [Sin costos contables]</t>
  </si>
  <si>
    <t>Costos Fijo TOTAL [Con costos contables]</t>
  </si>
  <si>
    <t>Costo Variable UNITARIO</t>
  </si>
  <si>
    <t xml:space="preserve">Función Costos: </t>
  </si>
  <si>
    <t>TAMAÑO DE PROYECTO</t>
  </si>
  <si>
    <t>COSTO TOTAL MEDIO o UNITARIO [CTMe]</t>
  </si>
  <si>
    <t>Valor Inversión</t>
  </si>
  <si>
    <t># SMMLV [inversión]</t>
  </si>
  <si>
    <t>Costo Fijo Medio o Unitario [CFME]: sin costos contables</t>
  </si>
  <si>
    <t># Empleados</t>
  </si>
  <si>
    <t>Costo Variable Medio o Unitario [CVMe]</t>
  </si>
  <si>
    <t>Tamaño Proyecto</t>
  </si>
  <si>
    <t>Costo TOTAL Medio o Unitario [CTMe = CFMe + CVMe]</t>
  </si>
  <si>
    <t>PRECIO UNITARIO</t>
  </si>
  <si>
    <t>Costo Total Medio o Unitario</t>
  </si>
  <si>
    <t>j: Margen ganancia DESEADO</t>
  </si>
  <si>
    <t>% Descuento</t>
  </si>
  <si>
    <t>Precio Lista</t>
  </si>
  <si>
    <t>Precio Promocional</t>
  </si>
  <si>
    <t>MARGEN REAL</t>
  </si>
  <si>
    <t>Ventas</t>
  </si>
  <si>
    <t>Utilidad o Ganancia</t>
  </si>
  <si>
    <t>j: Margen ganancia REAL</t>
  </si>
  <si>
    <t>PUNTO DE EQUILIBRIO</t>
  </si>
  <si>
    <t>Utilidad Objetivo</t>
  </si>
  <si>
    <t>Precio Unitario [Considerando el Precio PROMOCIONAL]</t>
  </si>
  <si>
    <t>Costo Variable Unitario</t>
  </si>
  <si>
    <t>Q equilibrio [Sin costos contables]</t>
  </si>
  <si>
    <t>Q Equilibrio [Con costos contables]</t>
  </si>
  <si>
    <t>Proyección Mercado [Q]</t>
  </si>
  <si>
    <t>Conclusión:</t>
  </si>
  <si>
    <t>Ventas de Equilibrio</t>
  </si>
  <si>
    <t>Cvu</t>
  </si>
  <si>
    <t>A</t>
  </si>
  <si>
    <t>Ventas [$] de equilibrio</t>
  </si>
  <si>
    <t>#</t>
  </si>
  <si>
    <t>Cargo</t>
  </si>
  <si>
    <t>Auxilio Transporte</t>
  </si>
  <si>
    <t>Total Devengado</t>
  </si>
  <si>
    <t>Salud</t>
  </si>
  <si>
    <t xml:space="preserve">Pensión </t>
  </si>
  <si>
    <t>ARL</t>
  </si>
  <si>
    <t>Total Seguridad Social</t>
  </si>
  <si>
    <t>Cesantias</t>
  </si>
  <si>
    <t>Prima de Servicios</t>
  </si>
  <si>
    <t>Interés Cesantias</t>
  </si>
  <si>
    <t>Total Prestaciones Sociales</t>
  </si>
  <si>
    <t>Caja de Compensación Familia</t>
  </si>
  <si>
    <t>Total Parafiscales</t>
  </si>
  <si>
    <t>Vacaciones</t>
  </si>
  <si>
    <t>Costo Unitario - Tamaño Grande</t>
  </si>
  <si>
    <t>Costo Unitario - Tamaño Personal</t>
  </si>
  <si>
    <t>Costo Variable TOTAL</t>
  </si>
  <si>
    <t>Salario</t>
  </si>
  <si>
    <t>Cargos</t>
  </si>
  <si>
    <t>Sueldo / Salario</t>
  </si>
  <si>
    <t>Tipo Riesgo​</t>
  </si>
  <si>
    <t>Definición​</t>
  </si>
  <si>
    <t>%​</t>
  </si>
  <si>
    <t>Ejemplo​</t>
  </si>
  <si>
    <t>Clase I​</t>
  </si>
  <si>
    <t>Riesgo Mínimo​</t>
  </si>
  <si>
    <t>Mayoría de las actividades comerciales y financieras, trabajos de oficina, centros educativos, restaurantes. ​</t>
  </si>
  <si>
    <t>Clase II​</t>
  </si>
  <si>
    <t>Riesgo Bajo​</t>
  </si>
  <si>
    <t>Algunos procesos manufactureros como la fabricación de tapetes, tejidos, confecciones y flores artificiales; almacenes por departamento y algunas labores agrícolas. ​</t>
  </si>
  <si>
    <t>Clase III​</t>
  </si>
  <si>
    <t>Riesgo Medio​</t>
  </si>
  <si>
    <t>Procesos manufactureros como fabricación de agujas, alcoholes, alimentos, automotores y artículos de cuero. ​</t>
  </si>
  <si>
    <t>Clase IV​</t>
  </si>
  <si>
    <t>Riesgo Alto​</t>
  </si>
  <si>
    <t>Procesos manufactureros como aceites, cervezas, vidrios, procesos de galvanización, transporte aéreo o terrestre. ​</t>
  </si>
  <si>
    <t>Clase V​</t>
  </si>
  <si>
    <t>Riesgo Máximo​</t>
  </si>
  <si>
    <t>Areneras, manejo de asbestos, bomberos, manejo de explosivos, construcción, explotación petrolera y minera, entre otros. ​</t>
  </si>
  <si>
    <t>% ARL</t>
  </si>
  <si>
    <t>Clasificación Riesgo</t>
  </si>
  <si>
    <t>Riesgo medio</t>
  </si>
  <si>
    <t>Riesgo mínimo</t>
  </si>
  <si>
    <t>SENA*</t>
  </si>
  <si>
    <t>ICBF*</t>
  </si>
  <si>
    <t>Costo TOTAL [Mensual]</t>
  </si>
  <si>
    <t>Costo Variable: 2023</t>
  </si>
  <si>
    <t>Costos Fijos: 2023</t>
  </si>
  <si>
    <t>Costo variable - Directo</t>
  </si>
  <si>
    <t>Costo variable - Indirecto</t>
  </si>
  <si>
    <t>SMMLV [2023]</t>
  </si>
  <si>
    <t># SMMLV</t>
  </si>
  <si>
    <t>Salario Aux Transporte</t>
  </si>
  <si>
    <t>Costo Fijo - Directo</t>
  </si>
  <si>
    <t>Costo Fijo - Indirecto</t>
  </si>
  <si>
    <t>Costos Fijos TOTALES</t>
  </si>
  <si>
    <t>Margen sobre Precio</t>
  </si>
  <si>
    <t>CFT [Sin costos contables]</t>
  </si>
  <si>
    <r>
      <t xml:space="preserve">(1-A): </t>
    </r>
    <r>
      <rPr>
        <sz val="11"/>
        <color rgb="FFC00000"/>
        <rFont val="Arial"/>
        <family val="2"/>
      </rPr>
      <t>Margen de contribución</t>
    </r>
  </si>
  <si>
    <t>SMMLV 2023</t>
  </si>
  <si>
    <t>Proyección Anual Demanda [Q]</t>
  </si>
  <si>
    <t>X [1]</t>
  </si>
  <si>
    <t>X [3]</t>
  </si>
  <si>
    <t>X [4]</t>
  </si>
  <si>
    <t>X [2]</t>
  </si>
  <si>
    <r>
      <t xml:space="preserve">BALANCE DE INVERSIONES: </t>
    </r>
    <r>
      <rPr>
        <sz val="11"/>
        <color theme="1"/>
        <rFont val="Arial"/>
        <family val="2"/>
      </rPr>
      <t>2023</t>
    </r>
  </si>
  <si>
    <t>Costo Fijo - Indirecto - Contable</t>
  </si>
  <si>
    <t>Microempresa</t>
  </si>
  <si>
    <t>Harina</t>
  </si>
  <si>
    <t>250g</t>
  </si>
  <si>
    <t>Cacao en polvo</t>
  </si>
  <si>
    <t>60g</t>
  </si>
  <si>
    <t>Bicarbonato</t>
  </si>
  <si>
    <t>1 cucharada</t>
  </si>
  <si>
    <t>Azúcar morena</t>
  </si>
  <si>
    <t>300g</t>
  </si>
  <si>
    <t>Pure de Manzana</t>
  </si>
  <si>
    <t>130grs</t>
  </si>
  <si>
    <t>420grs</t>
  </si>
  <si>
    <t>Chocolate semiamargo</t>
  </si>
  <si>
    <t>Aceite de Coco</t>
  </si>
  <si>
    <t>100ml</t>
  </si>
  <si>
    <t>Esencia de Vainilla</t>
  </si>
  <si>
    <t>1 Cucharadita</t>
  </si>
  <si>
    <t>Jugo de Limon</t>
  </si>
  <si>
    <t>15ml</t>
  </si>
  <si>
    <t>6 Scoop</t>
  </si>
  <si>
    <t>Leche de Almendras</t>
  </si>
  <si>
    <t>370 ml</t>
  </si>
  <si>
    <t>Sal</t>
  </si>
  <si>
    <t>1/2 cucharada</t>
  </si>
  <si>
    <t xml:space="preserve">Crema de mani </t>
  </si>
  <si>
    <t>250gr</t>
  </si>
  <si>
    <t xml:space="preserve">Leche de Coco </t>
  </si>
  <si>
    <t>450ml</t>
  </si>
  <si>
    <t>Polvo para hornear</t>
  </si>
  <si>
    <t>Producto A (torta de chocolate)</t>
  </si>
  <si>
    <t>Producto B (torta de vainilla)</t>
  </si>
  <si>
    <t>Scoop de Proteina chocolate</t>
  </si>
  <si>
    <t>Scoop de Proteina vainilla</t>
  </si>
  <si>
    <t>350 ml</t>
  </si>
  <si>
    <t xml:space="preserve">Mantequilla vegana </t>
  </si>
  <si>
    <t>Azucar XXX</t>
  </si>
  <si>
    <t>200ml</t>
  </si>
  <si>
    <t>130g</t>
  </si>
  <si>
    <t>5 cucharadas</t>
  </si>
  <si>
    <t xml:space="preserve">4 tazas </t>
  </si>
  <si>
    <t>Mesero/a</t>
  </si>
  <si>
    <t>Costo Variable TOTAL UNITARIO [Cvu] (Producto A)</t>
  </si>
  <si>
    <t>Costo Variable TOTAL UNITARIO [Cvu] (Producto B)</t>
  </si>
  <si>
    <t>Producto A</t>
  </si>
  <si>
    <t>Producto B</t>
  </si>
  <si>
    <t>Repostero/a</t>
  </si>
  <si>
    <t>Supervisor/a</t>
  </si>
  <si>
    <t>Cajero/a</t>
  </si>
  <si>
    <t xml:space="preserve">Limpieza </t>
  </si>
  <si>
    <t>Limpieza</t>
  </si>
  <si>
    <t>Riesgo bajo</t>
  </si>
  <si>
    <t>Servicio internet</t>
  </si>
  <si>
    <t>CVT = $9.610 * Q</t>
  </si>
  <si>
    <t>CVT = $8.488 * Q</t>
  </si>
  <si>
    <t>Burbuja Redonda</t>
  </si>
  <si>
    <t>Producto B = Vainilla</t>
  </si>
  <si>
    <t>CFT</t>
  </si>
  <si>
    <t>Personas</t>
  </si>
  <si>
    <t>Porcentajes</t>
  </si>
  <si>
    <t>Pu</t>
  </si>
  <si>
    <t>CTMe</t>
  </si>
  <si>
    <t>Demanda</t>
  </si>
  <si>
    <t>ProductoA = Chocolate</t>
  </si>
  <si>
    <t>Batidora</t>
  </si>
  <si>
    <t>Nevera industrial</t>
  </si>
  <si>
    <t>Punto de equilibrio TOTAL</t>
  </si>
  <si>
    <t xml:space="preserve">Mesón cocina </t>
  </si>
  <si>
    <t>Sillas Clientes</t>
  </si>
  <si>
    <t>Sillas Trabajadores</t>
  </si>
  <si>
    <t xml:space="preserve">Mesas </t>
  </si>
  <si>
    <t>X [5]</t>
  </si>
  <si>
    <t>Mesón cocina</t>
  </si>
  <si>
    <t>Nevera Industrial</t>
  </si>
  <si>
    <t>X [10]</t>
  </si>
  <si>
    <t>X [0]</t>
  </si>
  <si>
    <r>
      <rPr>
        <b/>
        <sz val="10"/>
        <color theme="1"/>
        <rFont val="Arial"/>
        <family val="2"/>
      </rPr>
      <t>Tamaño muestra IDEAL:</t>
    </r>
    <r>
      <rPr>
        <sz val="10"/>
        <color theme="1"/>
        <rFont val="Arial"/>
        <family val="2"/>
      </rPr>
      <t xml:space="preserve"> para garantizar representatividad (de acuerdo con el tamaño de muestra obtenido con la calculadora)</t>
    </r>
  </si>
  <si>
    <t>Tamaño de muestra IDEAL: Según el numero de personas que se lograron encuestar</t>
  </si>
  <si>
    <t># Mesón cocina</t>
  </si>
  <si>
    <t># Nevera Industrial</t>
  </si>
  <si>
    <t># Enseres Cocina</t>
  </si>
  <si>
    <t># Computador</t>
  </si>
  <si>
    <t># Escritorios</t>
  </si>
  <si>
    <t># Sillas Trabajadores</t>
  </si>
  <si>
    <t xml:space="preserve"># Mesas </t>
  </si>
  <si>
    <t># Sillas Clientes</t>
  </si>
  <si>
    <t xml:space="preserve">Dado que punto de equilibrio es 33.979 postres y la proyección de ventas es 117.658 postres, se concluye que el proyecto es viable en términos de mercado. </t>
  </si>
  <si>
    <t>Ahorro tributario</t>
  </si>
  <si>
    <t>Variación Absoluta FC</t>
  </si>
  <si>
    <t>Flujo Caja OPERACIÓN</t>
  </si>
  <si>
    <t>Utilidad Operativa Después de Impuestos</t>
  </si>
  <si>
    <t>Impuestos [40%]</t>
  </si>
  <si>
    <t>Utilidad Operativa [Ventas - CT]</t>
  </si>
  <si>
    <t>Costos TOTALES [CT]</t>
  </si>
  <si>
    <t>Costos Contables [Depreciación + Amortización]</t>
  </si>
  <si>
    <t>Ventas TOTALES [Pu*Q]</t>
  </si>
  <si>
    <t>Escenario 2: CON costos contables</t>
  </si>
  <si>
    <t>Escenario 1: SIN costos contables</t>
  </si>
  <si>
    <t>Beneficio tributario asociado con costos contables</t>
  </si>
  <si>
    <t>Flujo caja operación</t>
  </si>
  <si>
    <t>Proyección Utilidad Operativa</t>
  </si>
  <si>
    <t xml:space="preserve">% Descuento </t>
  </si>
  <si>
    <t>Margen esperado [j]</t>
  </si>
  <si>
    <t>Proyección de precio</t>
  </si>
  <si>
    <t>Costos Fijos TOTAL [CFT]</t>
  </si>
  <si>
    <t>Proyección de costos fijos [no contables] y costo variable unitario</t>
  </si>
  <si>
    <t>Depreciación anual TOTAL</t>
  </si>
  <si>
    <t>Depreciación Acumulada</t>
  </si>
  <si>
    <t>Proyección de costos contables anuales</t>
  </si>
  <si>
    <t>Inversión TOTAL</t>
  </si>
  <si>
    <t>Proyección de precio de activos</t>
  </si>
  <si>
    <t>Tasa impuesto</t>
  </si>
  <si>
    <t>Tasa de inflación [promedio anual]</t>
  </si>
  <si>
    <t>Proyección de variables macroeconómicas</t>
  </si>
  <si>
    <t>Flujo caja inversión</t>
  </si>
  <si>
    <t>Meson Cocina</t>
  </si>
  <si>
    <t>Batidoras [2023]</t>
  </si>
  <si>
    <t>Batidora [2025]</t>
  </si>
  <si>
    <t>Batidoras [2024]</t>
  </si>
  <si>
    <t>Meson Cocina [2023]</t>
  </si>
  <si>
    <t>Meson Cocina [2024]</t>
  </si>
  <si>
    <t>Computador [2023]</t>
  </si>
  <si>
    <t>Computador [2027]</t>
  </si>
  <si>
    <t>Sillas Trabajdores</t>
  </si>
  <si>
    <t>Mesas</t>
  </si>
  <si>
    <t>Costo variable Unitario [CVu] (Producto A)</t>
  </si>
  <si>
    <t>Costo variable Unitario [CVu] (Producto B)</t>
  </si>
  <si>
    <t>Costo Total Unitario [CTMe o CTu] (Producto A)</t>
  </si>
  <si>
    <t>Costo Total Unitario [CTMe o CTu] (Producto B)</t>
  </si>
  <si>
    <t>Precio Lista (Producto B)</t>
  </si>
  <si>
    <t>Precio Lista (Producto A)</t>
  </si>
  <si>
    <t>Precio Promocional (Producto A)</t>
  </si>
  <si>
    <t>Precio Promocional (Producto B)</t>
  </si>
  <si>
    <t>Precio unitario promocional [Pd] (Producto A)</t>
  </si>
  <si>
    <t>Precio unitario promocional [Pd] (Producto B)</t>
  </si>
  <si>
    <t>Proyección ventas [Q, unidades de postre] (Producto A)</t>
  </si>
  <si>
    <t>Proyección ventas [Q, unidades de postre] (Producto B)</t>
  </si>
  <si>
    <t>Proyección de ventas [Q] (Producto A)</t>
  </si>
  <si>
    <t>Proyección de ventas [Q] (Producto B)</t>
  </si>
  <si>
    <t>Costos Variables TOTALES [CVu*Q] (Producto B)</t>
  </si>
  <si>
    <t>Costos Variables TOTALES [CVu*Q] (Producto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</si>
</sst>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&quot;$&quot;\ #,##0;[Red]\-&quot;$&quot;\ #,##0"/>
    <numFmt numFmtId="165" formatCode="_-&quot;$&quot;\ * #,##0.00_-;\-&quot;$&quot;\ * #,##0.00_-;_-&quot;$&quot;\ * &quot;-&quot;??_-;_-@_-"/>
    <numFmt numFmtId="166" formatCode="&quot;$&quot;#,##0_);\(&quot;$&quot;#,##0\)"/>
    <numFmt numFmtId="167" formatCode="_-* #,##0_-;\-* #,##0_-;_-* &quot;-&quot;??_-;_-@_-"/>
    <numFmt numFmtId="168" formatCode="&quot;$&quot;#,##0"/>
    <numFmt numFmtId="169" formatCode="&quot;$&quot;\ #,##0"/>
    <numFmt numFmtId="170" formatCode="0.0%"/>
    <numFmt numFmtId="171" formatCode="0.000%"/>
    <numFmt numFmtId="172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2" tint="-0.499984740745262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1"/>
      <color rgb="FFC00000"/>
      <name val="Arial"/>
      <family val="2"/>
    </font>
    <font>
      <sz val="11"/>
      <color rgb="FF0000FF"/>
      <name val="Arial"/>
      <family val="2"/>
    </font>
    <font>
      <u/>
      <sz val="11"/>
      <color theme="1"/>
      <name val="Arial"/>
      <family val="2"/>
    </font>
    <font>
      <u/>
      <sz val="11"/>
      <color rgb="FFFF0000"/>
      <name val="Arial"/>
      <family val="2"/>
    </font>
    <font>
      <b/>
      <sz val="18"/>
      <color theme="1"/>
      <name val="Arial"/>
      <family val="2"/>
    </font>
    <font>
      <b/>
      <sz val="11"/>
      <color theme="0" tint="-0.499984740745262"/>
      <name val="Arial"/>
      <family val="2"/>
    </font>
    <font>
      <b/>
      <sz val="11"/>
      <color rgb="FFC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8E8E8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80">
    <xf numFmtId="0" fontId="0" fillId="0" borderId="0" xfId="0"/>
    <xf numFmtId="0" fontId="2" fillId="0" borderId="0" xfId="0" applyFont="1"/>
    <xf numFmtId="0" fontId="4" fillId="0" borderId="0" xfId="0" applyFont="1"/>
    <xf numFmtId="0" fontId="8" fillId="2" borderId="0" xfId="0" applyFont="1" applyFill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67" fontId="10" fillId="0" borderId="12" xfId="1" applyNumberFormat="1" applyFont="1" applyFill="1" applyBorder="1" applyAlignment="1"/>
    <xf numFmtId="167" fontId="11" fillId="0" borderId="0" xfId="1" applyNumberFormat="1" applyFont="1" applyFill="1" applyBorder="1" applyAlignment="1"/>
    <xf numFmtId="167" fontId="11" fillId="0" borderId="13" xfId="1" applyNumberFormat="1" applyFont="1" applyFill="1" applyBorder="1" applyAlignment="1"/>
    <xf numFmtId="167" fontId="10" fillId="3" borderId="14" xfId="1" applyNumberFormat="1" applyFont="1" applyFill="1" applyBorder="1" applyAlignment="1"/>
    <xf numFmtId="167" fontId="11" fillId="3" borderId="0" xfId="1" applyNumberFormat="1" applyFont="1" applyFill="1" applyBorder="1" applyAlignment="1"/>
    <xf numFmtId="167" fontId="11" fillId="3" borderId="13" xfId="1" applyNumberFormat="1" applyFont="1" applyFill="1" applyBorder="1" applyAlignment="1"/>
    <xf numFmtId="167" fontId="10" fillId="0" borderId="14" xfId="1" applyNumberFormat="1" applyFont="1" applyFill="1" applyBorder="1" applyAlignment="1"/>
    <xf numFmtId="167" fontId="10" fillId="0" borderId="15" xfId="1" applyNumberFormat="1" applyFont="1" applyFill="1" applyBorder="1" applyAlignment="1"/>
    <xf numFmtId="167" fontId="11" fillId="3" borderId="16" xfId="1" applyNumberFormat="1" applyFont="1" applyFill="1" applyBorder="1" applyAlignment="1"/>
    <xf numFmtId="167" fontId="11" fillId="3" borderId="17" xfId="1" applyNumberFormat="1" applyFont="1" applyFill="1" applyBorder="1" applyAlignment="1"/>
    <xf numFmtId="167" fontId="10" fillId="0" borderId="18" xfId="1" applyNumberFormat="1" applyFont="1" applyFill="1" applyBorder="1" applyAlignment="1"/>
    <xf numFmtId="167" fontId="10" fillId="3" borderId="18" xfId="1" applyNumberFormat="1" applyFont="1" applyFill="1" applyBorder="1" applyAlignment="1"/>
    <xf numFmtId="167" fontId="10" fillId="3" borderId="19" xfId="1" applyNumberFormat="1" applyFont="1" applyFill="1" applyBorder="1" applyAlignment="1"/>
    <xf numFmtId="167" fontId="11" fillId="0" borderId="20" xfId="1" applyNumberFormat="1" applyFont="1" applyFill="1" applyBorder="1" applyAlignment="1"/>
    <xf numFmtId="167" fontId="11" fillId="0" borderId="21" xfId="1" applyNumberFormat="1" applyFont="1" applyFill="1" applyBorder="1" applyAlignment="1"/>
    <xf numFmtId="3" fontId="5" fillId="4" borderId="22" xfId="0" applyNumberFormat="1" applyFont="1" applyFill="1" applyBorder="1"/>
    <xf numFmtId="3" fontId="5" fillId="4" borderId="20" xfId="0" applyNumberFormat="1" applyFont="1" applyFill="1" applyBorder="1"/>
    <xf numFmtId="3" fontId="5" fillId="4" borderId="21" xfId="0" applyNumberFormat="1" applyFont="1" applyFill="1" applyBorder="1"/>
    <xf numFmtId="0" fontId="8" fillId="0" borderId="0" xfId="0" applyFont="1"/>
    <xf numFmtId="0" fontId="12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8" fillId="0" borderId="20" xfId="0" applyFont="1" applyBorder="1" applyAlignment="1">
      <alignment vertical="center"/>
    </xf>
    <xf numFmtId="0" fontId="9" fillId="0" borderId="20" xfId="0" applyFont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8" fillId="0" borderId="20" xfId="0" applyFont="1" applyBorder="1" applyAlignment="1">
      <alignment vertical="center" wrapText="1"/>
    </xf>
    <xf numFmtId="3" fontId="8" fillId="0" borderId="20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vertical="center" wrapText="1"/>
    </xf>
    <xf numFmtId="0" fontId="8" fillId="0" borderId="24" xfId="0" applyFont="1" applyBorder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3" fontId="9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3" fontId="9" fillId="7" borderId="0" xfId="0" applyNumberFormat="1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5" borderId="28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11" borderId="30" xfId="0" applyFont="1" applyFill="1" applyBorder="1" applyAlignment="1">
      <alignment horizontal="center" vertical="center" wrapText="1"/>
    </xf>
    <xf numFmtId="0" fontId="3" fillId="11" borderId="31" xfId="0" applyFont="1" applyFill="1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33" xfId="0" applyFont="1" applyBorder="1" applyAlignment="1">
      <alignment vertical="center"/>
    </xf>
    <xf numFmtId="166" fontId="2" fillId="0" borderId="0" xfId="0" applyNumberFormat="1" applyFont="1" applyAlignment="1">
      <alignment horizontal="center" vertical="center"/>
    </xf>
    <xf numFmtId="37" fontId="2" fillId="0" borderId="0" xfId="0" applyNumberFormat="1" applyFont="1" applyAlignment="1">
      <alignment horizontal="center" vertical="center"/>
    </xf>
    <xf numFmtId="0" fontId="2" fillId="0" borderId="3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168" fontId="2" fillId="0" borderId="20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168" fontId="3" fillId="7" borderId="0" xfId="0" applyNumberFormat="1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12" borderId="33" xfId="0" applyFont="1" applyFill="1" applyBorder="1" applyAlignment="1">
      <alignment horizontal="center" vertical="center"/>
    </xf>
    <xf numFmtId="3" fontId="2" fillId="12" borderId="34" xfId="0" applyNumberFormat="1" applyFont="1" applyFill="1" applyBorder="1" applyAlignment="1">
      <alignment horizontal="center" vertical="center"/>
    </xf>
    <xf numFmtId="1" fontId="2" fillId="0" borderId="34" xfId="0" applyNumberFormat="1" applyFont="1" applyBorder="1" applyAlignment="1">
      <alignment horizontal="center" vertical="center"/>
    </xf>
    <xf numFmtId="0" fontId="3" fillId="13" borderId="0" xfId="0" applyFont="1" applyFill="1" applyAlignment="1">
      <alignment vertical="center"/>
    </xf>
    <xf numFmtId="166" fontId="3" fillId="13" borderId="0" xfId="0" applyNumberFormat="1" applyFont="1" applyFill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3" fillId="0" borderId="39" xfId="0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2" fillId="12" borderId="33" xfId="0" applyFont="1" applyFill="1" applyBorder="1" applyAlignment="1">
      <alignment vertical="center"/>
    </xf>
    <xf numFmtId="168" fontId="2" fillId="0" borderId="0" xfId="0" applyNumberFormat="1" applyFont="1" applyAlignment="1">
      <alignment vertical="center"/>
    </xf>
    <xf numFmtId="168" fontId="2" fillId="0" borderId="37" xfId="0" applyNumberFormat="1" applyFont="1" applyBorder="1" applyAlignment="1">
      <alignment horizontal="center" vertical="center"/>
    </xf>
    <xf numFmtId="168" fontId="2" fillId="0" borderId="38" xfId="0" applyNumberFormat="1" applyFont="1" applyBorder="1" applyAlignment="1">
      <alignment horizontal="center" vertical="center"/>
    </xf>
    <xf numFmtId="0" fontId="3" fillId="7" borderId="25" xfId="0" applyFont="1" applyFill="1" applyBorder="1" applyAlignment="1">
      <alignment vertical="center"/>
    </xf>
    <xf numFmtId="3" fontId="2" fillId="0" borderId="0" xfId="0" applyNumberFormat="1" applyFont="1" applyAlignment="1">
      <alignment horizontal="center" vertical="center"/>
    </xf>
    <xf numFmtId="0" fontId="2" fillId="0" borderId="33" xfId="0" applyFont="1" applyBorder="1" applyAlignment="1">
      <alignment vertical="center" wrapText="1"/>
    </xf>
    <xf numFmtId="168" fontId="2" fillId="0" borderId="34" xfId="0" applyNumberFormat="1" applyFont="1" applyBorder="1" applyAlignment="1">
      <alignment horizontal="center" vertical="center"/>
    </xf>
    <xf numFmtId="0" fontId="3" fillId="14" borderId="36" xfId="0" applyFont="1" applyFill="1" applyBorder="1" applyAlignment="1">
      <alignment vertical="center"/>
    </xf>
    <xf numFmtId="0" fontId="2" fillId="14" borderId="37" xfId="0" applyFont="1" applyFill="1" applyBorder="1" applyAlignment="1">
      <alignment vertical="center"/>
    </xf>
    <xf numFmtId="0" fontId="2" fillId="14" borderId="38" xfId="0" applyFont="1" applyFill="1" applyBorder="1" applyAlignment="1">
      <alignment vertical="center"/>
    </xf>
    <xf numFmtId="0" fontId="3" fillId="7" borderId="36" xfId="0" applyFont="1" applyFill="1" applyBorder="1" applyAlignment="1">
      <alignment horizontal="left" vertical="center"/>
    </xf>
    <xf numFmtId="0" fontId="3" fillId="7" borderId="37" xfId="0" applyFont="1" applyFill="1" applyBorder="1" applyAlignment="1">
      <alignment horizontal="center" vertical="center"/>
    </xf>
    <xf numFmtId="168" fontId="3" fillId="7" borderId="37" xfId="0" applyNumberFormat="1" applyFont="1" applyFill="1" applyBorder="1" applyAlignment="1">
      <alignment horizontal="center" vertical="center"/>
    </xf>
    <xf numFmtId="168" fontId="3" fillId="7" borderId="38" xfId="0" applyNumberFormat="1" applyFont="1" applyFill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34" xfId="0" applyFont="1" applyBorder="1" applyAlignment="1">
      <alignment horizontal="center" vertical="center"/>
    </xf>
    <xf numFmtId="9" fontId="2" fillId="0" borderId="34" xfId="0" applyNumberFormat="1" applyFont="1" applyBorder="1" applyAlignment="1">
      <alignment horizontal="center" vertical="center"/>
    </xf>
    <xf numFmtId="0" fontId="3" fillId="7" borderId="33" xfId="0" applyFont="1" applyFill="1" applyBorder="1" applyAlignment="1">
      <alignment vertical="center"/>
    </xf>
    <xf numFmtId="168" fontId="3" fillId="7" borderId="34" xfId="0" applyNumberFormat="1" applyFont="1" applyFill="1" applyBorder="1" applyAlignment="1">
      <alignment horizontal="center" vertical="center"/>
    </xf>
    <xf numFmtId="0" fontId="3" fillId="7" borderId="36" xfId="0" applyFont="1" applyFill="1" applyBorder="1" applyAlignment="1">
      <alignment vertical="center"/>
    </xf>
    <xf numFmtId="0" fontId="3" fillId="7" borderId="37" xfId="0" applyFont="1" applyFill="1" applyBorder="1" applyAlignment="1">
      <alignment vertical="center"/>
    </xf>
    <xf numFmtId="0" fontId="3" fillId="16" borderId="36" xfId="0" applyFont="1" applyFill="1" applyBorder="1" applyAlignment="1">
      <alignment vertical="center"/>
    </xf>
    <xf numFmtId="0" fontId="3" fillId="16" borderId="37" xfId="0" applyFont="1" applyFill="1" applyBorder="1" applyAlignment="1">
      <alignment vertical="center"/>
    </xf>
    <xf numFmtId="0" fontId="3" fillId="0" borderId="0" xfId="0" applyFont="1" applyAlignment="1">
      <alignment vertical="center" wrapText="1"/>
    </xf>
    <xf numFmtId="9" fontId="2" fillId="0" borderId="0" xfId="2" applyFont="1" applyAlignment="1">
      <alignment vertical="center"/>
    </xf>
    <xf numFmtId="168" fontId="2" fillId="0" borderId="40" xfId="0" applyNumberFormat="1" applyFont="1" applyBorder="1" applyAlignment="1">
      <alignment vertical="center"/>
    </xf>
    <xf numFmtId="169" fontId="2" fillId="0" borderId="41" xfId="0" applyNumberFormat="1" applyFont="1" applyBorder="1" applyAlignment="1">
      <alignment horizontal="center" vertical="center"/>
    </xf>
    <xf numFmtId="0" fontId="3" fillId="13" borderId="33" xfId="0" applyFont="1" applyFill="1" applyBorder="1" applyAlignment="1">
      <alignment vertical="center"/>
    </xf>
    <xf numFmtId="3" fontId="3" fillId="13" borderId="34" xfId="0" applyNumberFormat="1" applyFont="1" applyFill="1" applyBorder="1" applyAlignment="1">
      <alignment horizontal="center" vertical="center"/>
    </xf>
    <xf numFmtId="0" fontId="3" fillId="13" borderId="36" xfId="0" applyFont="1" applyFill="1" applyBorder="1" applyAlignment="1">
      <alignment vertical="center"/>
    </xf>
    <xf numFmtId="0" fontId="3" fillId="13" borderId="37" xfId="0" applyFont="1" applyFill="1" applyBorder="1" applyAlignment="1">
      <alignment vertical="center"/>
    </xf>
    <xf numFmtId="3" fontId="3" fillId="13" borderId="38" xfId="0" applyNumberFormat="1" applyFont="1" applyFill="1" applyBorder="1" applyAlignment="1">
      <alignment horizontal="center" vertical="center"/>
    </xf>
    <xf numFmtId="0" fontId="3" fillId="12" borderId="0" xfId="0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0" fontId="2" fillId="0" borderId="39" xfId="0" applyFont="1" applyBorder="1" applyAlignment="1">
      <alignment horizontal="left" vertical="center"/>
    </xf>
    <xf numFmtId="0" fontId="2" fillId="0" borderId="40" xfId="0" applyFont="1" applyBorder="1" applyAlignment="1">
      <alignment horizontal="center" vertical="center"/>
    </xf>
    <xf numFmtId="168" fontId="2" fillId="0" borderId="41" xfId="0" applyNumberFormat="1" applyFont="1" applyBorder="1" applyAlignment="1">
      <alignment horizontal="center" vertical="center"/>
    </xf>
    <xf numFmtId="9" fontId="2" fillId="0" borderId="34" xfId="2" applyFont="1" applyBorder="1" applyAlignment="1">
      <alignment horizontal="center" vertical="center"/>
    </xf>
    <xf numFmtId="169" fontId="3" fillId="13" borderId="36" xfId="0" applyNumberFormat="1" applyFont="1" applyFill="1" applyBorder="1" applyAlignment="1">
      <alignment vertical="center"/>
    </xf>
    <xf numFmtId="169" fontId="3" fillId="13" borderId="37" xfId="0" applyNumberFormat="1" applyFont="1" applyFill="1" applyBorder="1" applyAlignment="1">
      <alignment vertical="center"/>
    </xf>
    <xf numFmtId="10" fontId="2" fillId="2" borderId="4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10" fontId="3" fillId="14" borderId="48" xfId="0" applyNumberFormat="1" applyFont="1" applyFill="1" applyBorder="1" applyAlignment="1">
      <alignment horizontal="center" vertical="center" wrapText="1"/>
    </xf>
    <xf numFmtId="49" fontId="3" fillId="14" borderId="48" xfId="0" applyNumberFormat="1" applyFont="1" applyFill="1" applyBorder="1" applyAlignment="1">
      <alignment horizontal="center" vertical="center" wrapText="1"/>
    </xf>
    <xf numFmtId="169" fontId="2" fillId="0" borderId="48" xfId="0" applyNumberFormat="1" applyFont="1" applyBorder="1" applyAlignment="1">
      <alignment horizontal="center" vertical="center"/>
    </xf>
    <xf numFmtId="169" fontId="3" fillId="14" borderId="48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2" borderId="0" xfId="0" applyFont="1" applyFill="1" applyAlignment="1">
      <alignment vertical="center" wrapText="1"/>
    </xf>
    <xf numFmtId="168" fontId="2" fillId="2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166" fontId="3" fillId="0" borderId="0" xfId="0" applyNumberFormat="1" applyFont="1" applyAlignment="1">
      <alignment horizontal="center" vertical="center"/>
    </xf>
    <xf numFmtId="0" fontId="3" fillId="12" borderId="26" xfId="0" applyFont="1" applyFill="1" applyBorder="1" applyAlignment="1">
      <alignment horizontal="center" vertical="center"/>
    </xf>
    <xf numFmtId="168" fontId="3" fillId="12" borderId="27" xfId="0" applyNumberFormat="1" applyFont="1" applyFill="1" applyBorder="1" applyAlignment="1">
      <alignment horizontal="center" vertical="center"/>
    </xf>
    <xf numFmtId="0" fontId="3" fillId="12" borderId="25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vertical="center"/>
    </xf>
    <xf numFmtId="0" fontId="3" fillId="12" borderId="26" xfId="0" applyFont="1" applyFill="1" applyBorder="1" applyAlignment="1">
      <alignment vertical="center"/>
    </xf>
    <xf numFmtId="0" fontId="2" fillId="0" borderId="48" xfId="0" applyFont="1" applyBorder="1" applyAlignment="1">
      <alignment horizontal="left" vertical="center"/>
    </xf>
    <xf numFmtId="49" fontId="3" fillId="2" borderId="48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171" fontId="16" fillId="0" borderId="0" xfId="0" applyNumberFormat="1" applyFont="1" applyAlignment="1">
      <alignment horizontal="center" vertical="center" wrapText="1"/>
    </xf>
    <xf numFmtId="0" fontId="16" fillId="0" borderId="34" xfId="0" applyFont="1" applyBorder="1" applyAlignment="1">
      <alignment vertical="center" wrapText="1"/>
    </xf>
    <xf numFmtId="0" fontId="16" fillId="0" borderId="36" xfId="0" applyFont="1" applyBorder="1" applyAlignment="1">
      <alignment vertical="center" wrapText="1"/>
    </xf>
    <xf numFmtId="0" fontId="16" fillId="0" borderId="37" xfId="0" applyFont="1" applyBorder="1" applyAlignment="1">
      <alignment vertical="center" wrapText="1"/>
    </xf>
    <xf numFmtId="171" fontId="16" fillId="0" borderId="37" xfId="0" applyNumberFormat="1" applyFont="1" applyBorder="1" applyAlignment="1">
      <alignment horizontal="center" vertical="center" wrapText="1"/>
    </xf>
    <xf numFmtId="0" fontId="16" fillId="0" borderId="38" xfId="0" applyFont="1" applyBorder="1" applyAlignment="1">
      <alignment vertical="center" wrapText="1"/>
    </xf>
    <xf numFmtId="171" fontId="2" fillId="18" borderId="48" xfId="2" applyNumberFormat="1" applyFont="1" applyFill="1" applyBorder="1" applyAlignment="1">
      <alignment horizontal="center" vertical="center"/>
    </xf>
    <xf numFmtId="170" fontId="3" fillId="19" borderId="48" xfId="2" applyNumberFormat="1" applyFont="1" applyFill="1" applyBorder="1" applyAlignment="1">
      <alignment horizontal="center" vertical="center" wrapText="1"/>
    </xf>
    <xf numFmtId="171" fontId="3" fillId="19" borderId="48" xfId="2" applyNumberFormat="1" applyFont="1" applyFill="1" applyBorder="1" applyAlignment="1">
      <alignment horizontal="center" vertical="center" wrapText="1"/>
    </xf>
    <xf numFmtId="169" fontId="3" fillId="19" borderId="48" xfId="0" applyNumberFormat="1" applyFont="1" applyFill="1" applyBorder="1" applyAlignment="1">
      <alignment horizontal="center" vertical="center"/>
    </xf>
    <xf numFmtId="0" fontId="2" fillId="12" borderId="0" xfId="0" applyFont="1" applyFill="1" applyAlignment="1">
      <alignment vertical="center"/>
    </xf>
    <xf numFmtId="3" fontId="2" fillId="12" borderId="0" xfId="0" applyNumberFormat="1" applyFont="1" applyFill="1" applyAlignment="1">
      <alignment horizontal="center" vertical="center"/>
    </xf>
    <xf numFmtId="168" fontId="3" fillId="0" borderId="34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3" fontId="2" fillId="0" borderId="34" xfId="0" applyNumberFormat="1" applyFont="1" applyBorder="1" applyAlignment="1">
      <alignment horizontal="center" vertical="center"/>
    </xf>
    <xf numFmtId="168" fontId="2" fillId="0" borderId="41" xfId="3" applyNumberFormat="1" applyFont="1" applyBorder="1" applyAlignment="1">
      <alignment horizontal="center" vertical="center"/>
    </xf>
    <xf numFmtId="168" fontId="3" fillId="0" borderId="38" xfId="3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/>
    </xf>
    <xf numFmtId="166" fontId="3" fillId="12" borderId="26" xfId="0" applyNumberFormat="1" applyFont="1" applyFill="1" applyBorder="1" applyAlignment="1">
      <alignment vertical="center"/>
    </xf>
    <xf numFmtId="168" fontId="18" fillId="12" borderId="27" xfId="0" applyNumberFormat="1" applyFont="1" applyFill="1" applyBorder="1" applyAlignment="1">
      <alignment horizontal="center" vertical="center"/>
    </xf>
    <xf numFmtId="169" fontId="3" fillId="13" borderId="38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3" fillId="11" borderId="31" xfId="0" applyFont="1" applyFill="1" applyBorder="1" applyAlignment="1">
      <alignment horizontal="center" vertical="top" wrapText="1"/>
    </xf>
    <xf numFmtId="0" fontId="20" fillId="2" borderId="0" xfId="0" applyFont="1" applyFill="1" applyAlignment="1">
      <alignment horizontal="left" vertical="center"/>
    </xf>
    <xf numFmtId="166" fontId="20" fillId="13" borderId="0" xfId="0" applyNumberFormat="1" applyFont="1" applyFill="1" applyAlignment="1">
      <alignment horizontal="center" vertical="center"/>
    </xf>
    <xf numFmtId="0" fontId="3" fillId="14" borderId="37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vertical="center"/>
    </xf>
    <xf numFmtId="0" fontId="2" fillId="7" borderId="16" xfId="0" applyFont="1" applyFill="1" applyBorder="1" applyAlignment="1">
      <alignment vertical="center"/>
    </xf>
    <xf numFmtId="168" fontId="3" fillId="7" borderId="1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12" borderId="26" xfId="0" applyFont="1" applyFill="1" applyBorder="1" applyAlignment="1">
      <alignment vertical="center"/>
    </xf>
    <xf numFmtId="0" fontId="3" fillId="12" borderId="33" xfId="0" applyFont="1" applyFill="1" applyBorder="1" applyAlignment="1">
      <alignment vertical="center"/>
    </xf>
    <xf numFmtId="0" fontId="3" fillId="12" borderId="34" xfId="0" applyFont="1" applyFill="1" applyBorder="1" applyAlignment="1">
      <alignment vertical="center"/>
    </xf>
    <xf numFmtId="0" fontId="3" fillId="12" borderId="36" xfId="0" applyFont="1" applyFill="1" applyBorder="1" applyAlignment="1">
      <alignment vertical="center"/>
    </xf>
    <xf numFmtId="0" fontId="3" fillId="12" borderId="37" xfId="0" applyFont="1" applyFill="1" applyBorder="1" applyAlignment="1">
      <alignment vertical="center"/>
    </xf>
    <xf numFmtId="0" fontId="3" fillId="12" borderId="38" xfId="0" applyFont="1" applyFill="1" applyBorder="1" applyAlignment="1">
      <alignment vertical="center"/>
    </xf>
    <xf numFmtId="0" fontId="3" fillId="12" borderId="30" xfId="0" applyFont="1" applyFill="1" applyBorder="1" applyAlignment="1">
      <alignment vertical="center"/>
    </xf>
    <xf numFmtId="0" fontId="3" fillId="12" borderId="31" xfId="0" applyFont="1" applyFill="1" applyBorder="1" applyAlignment="1">
      <alignment vertical="center"/>
    </xf>
    <xf numFmtId="0" fontId="3" fillId="12" borderId="32" xfId="0" applyFont="1" applyFill="1" applyBorder="1" applyAlignment="1">
      <alignment vertical="center"/>
    </xf>
    <xf numFmtId="0" fontId="13" fillId="2" borderId="34" xfId="0" applyFont="1" applyFill="1" applyBorder="1" applyAlignment="1">
      <alignment horizontal="center" vertical="center"/>
    </xf>
    <xf numFmtId="0" fontId="2" fillId="0" borderId="52" xfId="0" applyFont="1" applyBorder="1" applyAlignment="1">
      <alignment vertical="center"/>
    </xf>
    <xf numFmtId="0" fontId="3" fillId="0" borderId="51" xfId="0" applyFont="1" applyBorder="1" applyAlignment="1">
      <alignment horizontal="center" vertical="center"/>
    </xf>
    <xf numFmtId="166" fontId="3" fillId="0" borderId="51" xfId="0" applyNumberFormat="1" applyFont="1" applyBorder="1" applyAlignment="1">
      <alignment horizontal="center" vertical="center"/>
    </xf>
    <xf numFmtId="37" fontId="3" fillId="0" borderId="51" xfId="0" applyNumberFormat="1" applyFont="1" applyBorder="1" applyAlignment="1">
      <alignment horizontal="center" vertical="center"/>
    </xf>
    <xf numFmtId="168" fontId="2" fillId="0" borderId="48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69" fontId="2" fillId="0" borderId="0" xfId="0" applyNumberFormat="1" applyFont="1" applyAlignment="1">
      <alignment horizontal="center" vertical="center"/>
    </xf>
    <xf numFmtId="169" fontId="2" fillId="0" borderId="0" xfId="0" applyNumberFormat="1" applyFont="1" applyAlignment="1">
      <alignment horizontal="right" vertical="center"/>
    </xf>
    <xf numFmtId="9" fontId="3" fillId="16" borderId="37" xfId="2" applyFont="1" applyFill="1" applyBorder="1" applyAlignment="1">
      <alignment horizontal="center" vertical="center"/>
    </xf>
    <xf numFmtId="0" fontId="3" fillId="15" borderId="48" xfId="0" applyFont="1" applyFill="1" applyBorder="1" applyAlignment="1">
      <alignment horizontal="center" vertical="center"/>
    </xf>
    <xf numFmtId="0" fontId="2" fillId="0" borderId="53" xfId="0" applyFont="1" applyBorder="1" applyAlignment="1">
      <alignment vertical="center"/>
    </xf>
    <xf numFmtId="168" fontId="2" fillId="0" borderId="53" xfId="0" applyNumberFormat="1" applyFont="1" applyBorder="1" applyAlignment="1">
      <alignment vertical="center"/>
    </xf>
    <xf numFmtId="9" fontId="3" fillId="16" borderId="50" xfId="2" applyFont="1" applyFill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43" fontId="2" fillId="0" borderId="0" xfId="1" applyFont="1" applyAlignment="1">
      <alignment horizontal="center" vertical="center"/>
    </xf>
    <xf numFmtId="43" fontId="2" fillId="0" borderId="0" xfId="0" applyNumberFormat="1" applyFont="1" applyAlignment="1">
      <alignment vertical="center"/>
    </xf>
    <xf numFmtId="165" fontId="2" fillId="2" borderId="0" xfId="3" applyFont="1" applyFill="1" applyAlignment="1">
      <alignment vertical="center"/>
    </xf>
    <xf numFmtId="165" fontId="2" fillId="2" borderId="0" xfId="3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70" fontId="2" fillId="0" borderId="0" xfId="2" applyNumberFormat="1" applyFont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170" fontId="2" fillId="2" borderId="0" xfId="0" applyNumberFormat="1" applyFont="1" applyFill="1" applyAlignment="1">
      <alignment vertical="center"/>
    </xf>
    <xf numFmtId="170" fontId="2" fillId="0" borderId="0" xfId="2" applyNumberFormat="1" applyFont="1" applyAlignment="1">
      <alignment vertical="center"/>
    </xf>
    <xf numFmtId="170" fontId="2" fillId="0" borderId="0" xfId="0" applyNumberFormat="1" applyFont="1" applyAlignment="1">
      <alignment vertical="center"/>
    </xf>
    <xf numFmtId="0" fontId="3" fillId="9" borderId="25" xfId="0" applyFont="1" applyFill="1" applyBorder="1" applyAlignment="1">
      <alignment horizontal="center" vertical="center"/>
    </xf>
    <xf numFmtId="0" fontId="3" fillId="9" borderId="26" xfId="0" applyFont="1" applyFill="1" applyBorder="1" applyAlignment="1">
      <alignment horizontal="center" vertical="center"/>
    </xf>
    <xf numFmtId="0" fontId="3" fillId="9" borderId="27" xfId="0" applyFont="1" applyFill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165" fontId="3" fillId="12" borderId="34" xfId="3" applyFont="1" applyFill="1" applyBorder="1" applyAlignment="1">
      <alignment horizontal="center" vertical="center"/>
    </xf>
    <xf numFmtId="165" fontId="3" fillId="12" borderId="38" xfId="3" applyFont="1" applyFill="1" applyBorder="1" applyAlignment="1">
      <alignment horizontal="center" vertical="center"/>
    </xf>
    <xf numFmtId="172" fontId="2" fillId="0" borderId="0" xfId="0" applyNumberFormat="1" applyFont="1" applyAlignment="1">
      <alignment vertical="center"/>
    </xf>
    <xf numFmtId="3" fontId="2" fillId="2" borderId="0" xfId="0" applyNumberFormat="1" applyFont="1" applyFill="1" applyAlignment="1">
      <alignment vertical="center"/>
    </xf>
    <xf numFmtId="167" fontId="2" fillId="0" borderId="0" xfId="0" applyNumberFormat="1" applyFont="1"/>
    <xf numFmtId="3" fontId="3" fillId="13" borderId="0" xfId="0" applyNumberFormat="1" applyFont="1" applyFill="1" applyAlignment="1">
      <alignment vertical="center"/>
    </xf>
    <xf numFmtId="0" fontId="3" fillId="0" borderId="51" xfId="0" applyFont="1" applyBorder="1" applyAlignment="1">
      <alignment vertical="center"/>
    </xf>
    <xf numFmtId="167" fontId="2" fillId="21" borderId="0" xfId="0" applyNumberFormat="1" applyFont="1" applyFill="1"/>
    <xf numFmtId="0" fontId="8" fillId="0" borderId="0" xfId="0" applyFont="1" applyAlignment="1">
      <alignment vertical="center" wrapText="1"/>
    </xf>
    <xf numFmtId="0" fontId="2" fillId="0" borderId="38" xfId="0" applyFont="1" applyBorder="1" applyAlignment="1">
      <alignment vertical="center"/>
    </xf>
    <xf numFmtId="1" fontId="21" fillId="0" borderId="34" xfId="0" applyNumberFormat="1" applyFont="1" applyBorder="1" applyAlignment="1">
      <alignment horizontal="center" vertical="center"/>
    </xf>
    <xf numFmtId="169" fontId="2" fillId="0" borderId="38" xfId="0" applyNumberFormat="1" applyFont="1" applyBorder="1"/>
    <xf numFmtId="0" fontId="2" fillId="0" borderId="37" xfId="0" applyFont="1" applyBorder="1"/>
    <xf numFmtId="0" fontId="2" fillId="0" borderId="36" xfId="0" applyFont="1" applyBorder="1"/>
    <xf numFmtId="169" fontId="2" fillId="0" borderId="34" xfId="0" applyNumberFormat="1" applyFont="1" applyBorder="1"/>
    <xf numFmtId="0" fontId="2" fillId="0" borderId="33" xfId="0" applyFont="1" applyBorder="1"/>
    <xf numFmtId="0" fontId="2" fillId="0" borderId="34" xfId="0" applyFont="1" applyBorder="1"/>
    <xf numFmtId="169" fontId="2" fillId="0" borderId="34" xfId="0" applyNumberFormat="1" applyFont="1" applyBorder="1" applyAlignment="1">
      <alignment horizontal="center" vertical="center"/>
    </xf>
    <xf numFmtId="169" fontId="3" fillId="15" borderId="34" xfId="0" applyNumberFormat="1" applyFont="1" applyFill="1" applyBorder="1" applyAlignment="1">
      <alignment horizontal="center" vertical="center"/>
    </xf>
    <xf numFmtId="169" fontId="3" fillId="15" borderId="0" xfId="0" applyNumberFormat="1" applyFont="1" applyFill="1" applyAlignment="1">
      <alignment horizontal="center" vertical="center"/>
    </xf>
    <xf numFmtId="0" fontId="3" fillId="15" borderId="33" xfId="0" applyFont="1" applyFill="1" applyBorder="1" applyAlignment="1">
      <alignment vertical="center"/>
    </xf>
    <xf numFmtId="169" fontId="3" fillId="22" borderId="34" xfId="0" applyNumberFormat="1" applyFont="1" applyFill="1" applyBorder="1" applyAlignment="1">
      <alignment horizontal="center" vertical="center"/>
    </xf>
    <xf numFmtId="169" fontId="3" fillId="22" borderId="0" xfId="0" applyNumberFormat="1" applyFont="1" applyFill="1" applyAlignment="1">
      <alignment horizontal="center" vertical="center"/>
    </xf>
    <xf numFmtId="0" fontId="3" fillId="22" borderId="33" xfId="0" applyFont="1" applyFill="1" applyBorder="1"/>
    <xf numFmtId="169" fontId="2" fillId="0" borderId="0" xfId="0" applyNumberFormat="1" applyFont="1"/>
    <xf numFmtId="169" fontId="2" fillId="18" borderId="34" xfId="0" applyNumberFormat="1" applyFont="1" applyFill="1" applyBorder="1" applyAlignment="1">
      <alignment horizontal="center" vertical="center"/>
    </xf>
    <xf numFmtId="169" fontId="2" fillId="18" borderId="0" xfId="0" applyNumberFormat="1" applyFont="1" applyFill="1" applyAlignment="1">
      <alignment horizontal="center" vertical="center"/>
    </xf>
    <xf numFmtId="0" fontId="3" fillId="18" borderId="33" xfId="0" applyFont="1" applyFill="1" applyBorder="1"/>
    <xf numFmtId="0" fontId="3" fillId="0" borderId="3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0" borderId="39" xfId="0" applyFont="1" applyBorder="1"/>
    <xf numFmtId="169" fontId="3" fillId="15" borderId="38" xfId="0" applyNumberFormat="1" applyFont="1" applyFill="1" applyBorder="1" applyAlignment="1">
      <alignment horizontal="center" vertical="center"/>
    </xf>
    <xf numFmtId="169" fontId="3" fillId="15" borderId="37" xfId="0" applyNumberFormat="1" applyFont="1" applyFill="1" applyBorder="1" applyAlignment="1">
      <alignment horizontal="center" vertical="center"/>
    </xf>
    <xf numFmtId="0" fontId="3" fillId="15" borderId="37" xfId="0" applyFont="1" applyFill="1" applyBorder="1" applyAlignment="1">
      <alignment vertical="center"/>
    </xf>
    <xf numFmtId="0" fontId="3" fillId="15" borderId="36" xfId="0" applyFont="1" applyFill="1" applyBorder="1" applyAlignment="1">
      <alignment vertical="center"/>
    </xf>
    <xf numFmtId="0" fontId="3" fillId="22" borderId="0" xfId="0" applyFont="1" applyFill="1"/>
    <xf numFmtId="169" fontId="3" fillId="18" borderId="0" xfId="0" applyNumberFormat="1" applyFont="1" applyFill="1" applyAlignment="1">
      <alignment horizontal="center" vertical="center"/>
    </xf>
    <xf numFmtId="0" fontId="3" fillId="18" borderId="0" xfId="0" applyFont="1" applyFill="1"/>
    <xf numFmtId="169" fontId="3" fillId="18" borderId="38" xfId="0" applyNumberFormat="1" applyFont="1" applyFill="1" applyBorder="1" applyAlignment="1">
      <alignment horizontal="center" vertical="center"/>
    </xf>
    <xf numFmtId="169" fontId="3" fillId="18" borderId="37" xfId="0" applyNumberFormat="1" applyFont="1" applyFill="1" applyBorder="1" applyAlignment="1">
      <alignment horizontal="center" vertical="center"/>
    </xf>
    <xf numFmtId="0" fontId="2" fillId="18" borderId="37" xfId="0" applyFont="1" applyFill="1" applyBorder="1" applyAlignment="1">
      <alignment vertical="center"/>
    </xf>
    <xf numFmtId="0" fontId="3" fillId="18" borderId="36" xfId="0" applyFont="1" applyFill="1" applyBorder="1" applyAlignment="1">
      <alignment vertical="center"/>
    </xf>
    <xf numFmtId="169" fontId="3" fillId="0" borderId="34" xfId="0" applyNumberFormat="1" applyFont="1" applyBorder="1" applyAlignment="1">
      <alignment horizontal="center" vertical="center"/>
    </xf>
    <xf numFmtId="169" fontId="3" fillId="0" borderId="0" xfId="0" applyNumberFormat="1" applyFont="1" applyAlignment="1">
      <alignment horizontal="center" vertical="center"/>
    </xf>
    <xf numFmtId="0" fontId="3" fillId="0" borderId="33" xfId="0" applyFont="1" applyBorder="1" applyAlignment="1">
      <alignment vertical="center"/>
    </xf>
    <xf numFmtId="9" fontId="2" fillId="24" borderId="34" xfId="0" applyNumberFormat="1" applyFont="1" applyFill="1" applyBorder="1" applyAlignment="1">
      <alignment horizontal="center" vertical="center"/>
    </xf>
    <xf numFmtId="9" fontId="2" fillId="24" borderId="0" xfId="0" applyNumberFormat="1" applyFont="1" applyFill="1" applyAlignment="1">
      <alignment horizontal="center" vertical="center"/>
    </xf>
    <xf numFmtId="9" fontId="2" fillId="11" borderId="0" xfId="0" applyNumberFormat="1" applyFont="1" applyFill="1" applyAlignment="1">
      <alignment horizontal="center" vertical="center"/>
    </xf>
    <xf numFmtId="0" fontId="2" fillId="0" borderId="33" xfId="0" applyFont="1" applyBorder="1" applyAlignment="1">
      <alignment vertical="top"/>
    </xf>
    <xf numFmtId="169" fontId="2" fillId="0" borderId="37" xfId="0" applyNumberFormat="1" applyFont="1" applyBorder="1" applyAlignment="1">
      <alignment horizontal="center" vertical="center"/>
    </xf>
    <xf numFmtId="169" fontId="24" fillId="0" borderId="0" xfId="0" applyNumberFormat="1" applyFont="1" applyAlignment="1">
      <alignment horizontal="center" vertical="center"/>
    </xf>
    <xf numFmtId="169" fontId="3" fillId="8" borderId="38" xfId="0" applyNumberFormat="1" applyFont="1" applyFill="1" applyBorder="1" applyAlignment="1">
      <alignment horizontal="center" vertical="center"/>
    </xf>
    <xf numFmtId="169" fontId="3" fillId="8" borderId="37" xfId="0" applyNumberFormat="1" applyFont="1" applyFill="1" applyBorder="1" applyAlignment="1">
      <alignment horizontal="center" vertical="center"/>
    </xf>
    <xf numFmtId="0" fontId="2" fillId="8" borderId="37" xfId="0" applyFont="1" applyFill="1" applyBorder="1"/>
    <xf numFmtId="0" fontId="3" fillId="8" borderId="36" xfId="0" applyFont="1" applyFill="1" applyBorder="1"/>
    <xf numFmtId="169" fontId="2" fillId="0" borderId="20" xfId="0" applyNumberFormat="1" applyFont="1" applyBorder="1" applyAlignment="1">
      <alignment horizontal="center" vertical="center"/>
    </xf>
    <xf numFmtId="0" fontId="2" fillId="0" borderId="55" xfId="0" applyFont="1" applyBorder="1" applyAlignment="1">
      <alignment vertical="center"/>
    </xf>
    <xf numFmtId="0" fontId="2" fillId="0" borderId="56" xfId="0" applyFont="1" applyBorder="1"/>
    <xf numFmtId="0" fontId="2" fillId="14" borderId="57" xfId="0" applyFont="1" applyFill="1" applyBorder="1" applyAlignment="1">
      <alignment horizontal="center" vertical="center"/>
    </xf>
    <xf numFmtId="9" fontId="2" fillId="0" borderId="38" xfId="0" applyNumberFormat="1" applyFont="1" applyBorder="1" applyAlignment="1">
      <alignment horizontal="center" vertical="center"/>
    </xf>
    <xf numFmtId="9" fontId="2" fillId="0" borderId="37" xfId="0" applyNumberFormat="1" applyFont="1" applyBorder="1" applyAlignment="1">
      <alignment horizontal="center" vertical="center"/>
    </xf>
    <xf numFmtId="10" fontId="2" fillId="0" borderId="34" xfId="0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17" fillId="21" borderId="0" xfId="0" applyFont="1" applyFill="1" applyAlignment="1">
      <alignment horizontal="center" vertical="center" wrapText="1"/>
    </xf>
    <xf numFmtId="0" fontId="2" fillId="0" borderId="60" xfId="0" applyFont="1" applyBorder="1" applyAlignment="1">
      <alignment vertical="center"/>
    </xf>
    <xf numFmtId="0" fontId="25" fillId="0" borderId="61" xfId="0" applyFont="1" applyBorder="1"/>
    <xf numFmtId="164" fontId="19" fillId="0" borderId="51" xfId="0" applyNumberFormat="1" applyFont="1" applyBorder="1" applyAlignment="1">
      <alignment horizontal="center" vertical="center"/>
    </xf>
    <xf numFmtId="164" fontId="19" fillId="0" borderId="52" xfId="0" applyNumberFormat="1" applyFont="1" applyBorder="1" applyAlignment="1">
      <alignment horizontal="center" vertical="center"/>
    </xf>
    <xf numFmtId="169" fontId="2" fillId="25" borderId="0" xfId="0" applyNumberFormat="1" applyFont="1" applyFill="1" applyAlignment="1">
      <alignment horizontal="center" vertical="center"/>
    </xf>
    <xf numFmtId="169" fontId="2" fillId="25" borderId="37" xfId="0" applyNumberFormat="1" applyFont="1" applyFill="1" applyBorder="1" applyAlignment="1">
      <alignment horizontal="center" vertical="center"/>
    </xf>
    <xf numFmtId="169" fontId="2" fillId="0" borderId="17" xfId="0" applyNumberFormat="1" applyFont="1" applyBorder="1" applyAlignment="1">
      <alignment horizontal="center" vertical="center"/>
    </xf>
    <xf numFmtId="169" fontId="2" fillId="0" borderId="13" xfId="0" applyNumberFormat="1" applyFont="1" applyBorder="1" applyAlignment="1">
      <alignment horizontal="center" vertical="center"/>
    </xf>
    <xf numFmtId="169" fontId="24" fillId="0" borderId="20" xfId="0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0" fontId="3" fillId="8" borderId="26" xfId="0" applyFont="1" applyFill="1" applyBorder="1" applyAlignment="1">
      <alignment horizontal="center" vertical="center"/>
    </xf>
    <xf numFmtId="0" fontId="3" fillId="8" borderId="27" xfId="0" applyFont="1" applyFill="1" applyBorder="1" applyAlignment="1">
      <alignment horizontal="center" vertical="center"/>
    </xf>
    <xf numFmtId="0" fontId="3" fillId="15" borderId="30" xfId="0" applyFont="1" applyFill="1" applyBorder="1" applyAlignment="1">
      <alignment horizontal="center" vertical="center"/>
    </xf>
    <xf numFmtId="0" fontId="3" fillId="15" borderId="31" xfId="0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center" vertical="center"/>
    </xf>
    <xf numFmtId="0" fontId="3" fillId="7" borderId="45" xfId="0" applyFont="1" applyFill="1" applyBorder="1" applyAlignment="1">
      <alignment horizontal="center" vertical="center"/>
    </xf>
    <xf numFmtId="0" fontId="2" fillId="7" borderId="43" xfId="0" applyFont="1" applyFill="1" applyBorder="1" applyAlignment="1">
      <alignment horizontal="left" vertical="center" wrapText="1"/>
    </xf>
    <xf numFmtId="0" fontId="2" fillId="7" borderId="44" xfId="0" applyFont="1" applyFill="1" applyBorder="1" applyAlignment="1">
      <alignment horizontal="left" vertical="center" wrapText="1"/>
    </xf>
    <xf numFmtId="0" fontId="2" fillId="7" borderId="46" xfId="0" applyFont="1" applyFill="1" applyBorder="1" applyAlignment="1">
      <alignment horizontal="left" vertical="center" wrapText="1"/>
    </xf>
    <xf numFmtId="0" fontId="2" fillId="7" borderId="47" xfId="0" applyFont="1" applyFill="1" applyBorder="1" applyAlignment="1">
      <alignment horizontal="left" vertical="center" wrapText="1"/>
    </xf>
    <xf numFmtId="0" fontId="2" fillId="7" borderId="26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51" xfId="0" applyFont="1" applyBorder="1" applyAlignment="1">
      <alignment horizontal="center" vertical="center"/>
    </xf>
    <xf numFmtId="0" fontId="3" fillId="9" borderId="25" xfId="0" applyFont="1" applyFill="1" applyBorder="1" applyAlignment="1">
      <alignment horizontal="center" vertical="center"/>
    </xf>
    <xf numFmtId="0" fontId="3" fillId="9" borderId="26" xfId="0" applyFont="1" applyFill="1" applyBorder="1" applyAlignment="1">
      <alignment horizontal="center" vertical="center"/>
    </xf>
    <xf numFmtId="0" fontId="3" fillId="9" borderId="27" xfId="0" applyFont="1" applyFill="1" applyBorder="1" applyAlignment="1">
      <alignment horizontal="center" vertical="center"/>
    </xf>
    <xf numFmtId="0" fontId="3" fillId="17" borderId="25" xfId="0" applyFont="1" applyFill="1" applyBorder="1" applyAlignment="1">
      <alignment horizontal="center" vertical="center"/>
    </xf>
    <xf numFmtId="0" fontId="3" fillId="17" borderId="26" xfId="0" applyFont="1" applyFill="1" applyBorder="1" applyAlignment="1">
      <alignment horizontal="center" vertical="center"/>
    </xf>
    <xf numFmtId="0" fontId="3" fillId="17" borderId="27" xfId="0" applyFont="1" applyFill="1" applyBorder="1" applyAlignment="1">
      <alignment horizontal="center" vertical="center"/>
    </xf>
    <xf numFmtId="0" fontId="3" fillId="10" borderId="25" xfId="0" applyFont="1" applyFill="1" applyBorder="1" applyAlignment="1">
      <alignment horizontal="center" vertical="center"/>
    </xf>
    <xf numFmtId="0" fontId="3" fillId="10" borderId="26" xfId="0" applyFont="1" applyFill="1" applyBorder="1" applyAlignment="1">
      <alignment horizontal="center" vertical="center"/>
    </xf>
    <xf numFmtId="0" fontId="3" fillId="10" borderId="27" xfId="0" applyFont="1" applyFill="1" applyBorder="1" applyAlignment="1">
      <alignment horizontal="center" vertical="center"/>
    </xf>
    <xf numFmtId="0" fontId="15" fillId="0" borderId="39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49" fontId="17" fillId="20" borderId="48" xfId="0" applyNumberFormat="1" applyFont="1" applyFill="1" applyBorder="1" applyAlignment="1">
      <alignment horizontal="center" vertical="center" wrapText="1"/>
    </xf>
    <xf numFmtId="10" fontId="3" fillId="14" borderId="48" xfId="0" applyNumberFormat="1" applyFont="1" applyFill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49" fontId="3" fillId="2" borderId="49" xfId="0" applyNumberFormat="1" applyFont="1" applyFill="1" applyBorder="1" applyAlignment="1">
      <alignment horizontal="center" vertical="center" wrapText="1"/>
    </xf>
    <xf numFmtId="49" fontId="3" fillId="2" borderId="50" xfId="0" applyNumberFormat="1" applyFont="1" applyFill="1" applyBorder="1" applyAlignment="1">
      <alignment horizontal="center" vertical="center" wrapText="1"/>
    </xf>
    <xf numFmtId="49" fontId="3" fillId="18" borderId="49" xfId="0" applyNumberFormat="1" applyFont="1" applyFill="1" applyBorder="1" applyAlignment="1">
      <alignment horizontal="center" vertical="center" wrapText="1"/>
    </xf>
    <xf numFmtId="49" fontId="3" fillId="18" borderId="50" xfId="0" applyNumberFormat="1" applyFont="1" applyFill="1" applyBorder="1" applyAlignment="1">
      <alignment horizontal="center" vertical="center" wrapText="1"/>
    </xf>
    <xf numFmtId="0" fontId="3" fillId="15" borderId="16" xfId="0" applyFont="1" applyFill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13" borderId="58" xfId="0" applyFont="1" applyFill="1" applyBorder="1" applyAlignment="1">
      <alignment horizontal="center" vertical="center" wrapText="1"/>
    </xf>
    <xf numFmtId="0" fontId="3" fillId="13" borderId="57" xfId="0" applyFont="1" applyFill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15" borderId="54" xfId="0" applyFont="1" applyFill="1" applyBorder="1" applyAlignment="1">
      <alignment horizontal="center" vertical="center"/>
    </xf>
    <xf numFmtId="9" fontId="2" fillId="0" borderId="41" xfId="2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0000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666750</xdr:colOff>
      <xdr:row>0</xdr:row>
      <xdr:rowOff>152400</xdr:rowOff>
    </xdr:from>
    <xdr:to>
      <xdr:col>11</xdr:col>
      <xdr:colOff>628651</xdr:colOff>
      <xdr:row>8</xdr:row>
      <xdr:rowOff>28574</xdr:rowOff>
    </xdr:to>
    <xdr:pic>
      <xdr:nvPicPr>
        <xdr:cNvPr id="2" name="0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48" b="84742"/>
        <a:stretch/>
      </xdr:blipFill>
      <xdr:spPr>
        <a:xfrm>
          <a:off x="2095500" y="152400"/>
          <a:ext cx="7581901" cy="1323974"/>
        </a:xfrm>
        <a:prstGeom prst="rect">
          <a:avLst/>
        </a:prstGeom>
      </xdr:spPr>
    </xdr:pic>
    <xdr:clientData/>
  </xdr:twoCellAnchor>
  <xdr:twoCellAnchor>
    <xdr:from>
      <xdr:col>6</xdr:col>
      <xdr:colOff>708660</xdr:colOff>
      <xdr:row>42</xdr:row>
      <xdr:rowOff>30480</xdr:rowOff>
    </xdr:from>
    <xdr:to>
      <xdr:col>13</xdr:col>
      <xdr:colOff>22860</xdr:colOff>
      <xdr:row>47</xdr:row>
      <xdr:rowOff>38100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C8A6325-D2B0-A79F-5714-838B4045EE63}"/>
            </a:ext>
          </a:extLst>
        </xdr:cNvPr>
        <xdr:cNvSpPr txBox="1"/>
      </xdr:nvSpPr>
      <xdr:spPr>
        <a:xfrm>
          <a:off x="6103620" y="7391400"/>
          <a:ext cx="4808220" cy="88392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Se</a:t>
          </a:r>
          <a:r>
            <a:rPr lang="es-CO" sz="1100" baseline="0"/>
            <a:t> tomó como tamaño de poblacion [2.303.062] teniendo en cuenta que este valor toma a las personas de todas las edades y no solo a los mayores de 18 años como se habia planteado al principio de la poblacion objetiva del proyecto debido a que no se encontraron fuentes confiables que brindaramn este dato.</a:t>
          </a:r>
          <a:endParaRPr lang="es-CO" sz="1100"/>
        </a:p>
      </xdr:txBody>
    </xdr:sp>
    <xdr:clientData/>
  </xdr:twoCellAnchor>
  <xdr:twoCellAnchor>
    <xdr:from>
      <xdr:col>2</xdr:col>
      <xdr:colOff>291101</xdr:colOff>
      <xdr:row>51</xdr:row>
      <xdr:rowOff>145551</xdr:rowOff>
    </xdr:from>
    <xdr:to>
      <xdr:col>4</xdr:col>
      <xdr:colOff>607888</xdr:colOff>
      <xdr:row>55</xdr:row>
      <xdr:rowOff>77056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6DF06064-9E15-EED8-A00B-11539B685718}"/>
            </a:ext>
          </a:extLst>
        </xdr:cNvPr>
        <xdr:cNvSpPr txBox="1"/>
      </xdr:nvSpPr>
      <xdr:spPr>
        <a:xfrm>
          <a:off x="2551416" y="8878585"/>
          <a:ext cx="1892157" cy="6164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Suma de las personas solo de la comuna 1 a la</a:t>
          </a:r>
          <a:r>
            <a:rPr lang="es-CO" sz="1100" baseline="0"/>
            <a:t> 16</a:t>
          </a:r>
          <a:endParaRPr lang="es-CO" sz="1100"/>
        </a:p>
      </xdr:txBody>
    </xdr:sp>
    <xdr:clientData/>
  </xdr:twoCellAnchor>
  <xdr:twoCellAnchor>
    <xdr:from>
      <xdr:col>3</xdr:col>
      <xdr:colOff>299663</xdr:colOff>
      <xdr:row>48</xdr:row>
      <xdr:rowOff>77055</xdr:rowOff>
    </xdr:from>
    <xdr:to>
      <xdr:col>3</xdr:col>
      <xdr:colOff>462337</xdr:colOff>
      <xdr:row>51</xdr:row>
      <xdr:rowOff>68493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A5BE292D-DCF7-8B76-B81B-A9B5F045EB38}"/>
            </a:ext>
          </a:extLst>
        </xdr:cNvPr>
        <xdr:cNvSpPr/>
      </xdr:nvSpPr>
      <xdr:spPr>
        <a:xfrm>
          <a:off x="3347663" y="8296381"/>
          <a:ext cx="162674" cy="505146"/>
        </a:xfrm>
        <a:prstGeom prst="down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134711</xdr:colOff>
      <xdr:row>6</xdr:row>
      <xdr:rowOff>99332</xdr:rowOff>
    </xdr:from>
    <xdr:to>
      <xdr:col>14</xdr:col>
      <xdr:colOff>624568</xdr:colOff>
      <xdr:row>14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392886" y="1289957"/>
          <a:ext cx="5061857" cy="129131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CO" sz="1050" b="1">
              <a:latin typeface="Verdana" panose="020B0604030504040204" pitchFamily="34" charset="0"/>
              <a:ea typeface="Verdana" panose="020B0604030504040204" pitchFamily="34" charset="0"/>
            </a:rPr>
            <a:t>Supuestos:</a:t>
          </a:r>
        </a:p>
        <a:p>
          <a:r>
            <a:rPr lang="es-CO" sz="1050">
              <a:latin typeface="Verdana" panose="020B0604030504040204" pitchFamily="34" charset="0"/>
              <a:ea typeface="Verdana" panose="020B0604030504040204" pitchFamily="34" charset="0"/>
            </a:rPr>
            <a:t>1</a:t>
          </a:r>
          <a:r>
            <a:rPr lang="es-CO" sz="1050" baseline="0">
              <a:latin typeface="Verdana" panose="020B0604030504040204" pitchFamily="34" charset="0"/>
              <a:ea typeface="Verdana" panose="020B0604030504040204" pitchFamily="34" charset="0"/>
            </a:rPr>
            <a:t>. Intención de compra de los clientes se mantiene durante el tiempo. </a:t>
          </a:r>
        </a:p>
        <a:p>
          <a:r>
            <a:rPr lang="es-CO" sz="1050" baseline="0">
              <a:latin typeface="Verdana" panose="020B0604030504040204" pitchFamily="34" charset="0"/>
              <a:ea typeface="Verdana" panose="020B0604030504040204" pitchFamily="34" charset="0"/>
            </a:rPr>
            <a:t>2.  Cantidad promedio de tortas / semana que compran los clientes se mantiene en el tiempo.</a:t>
          </a:r>
        </a:p>
        <a:p>
          <a:r>
            <a:rPr lang="es-CO" sz="1050" baseline="0">
              <a:latin typeface="Verdana" panose="020B0604030504040204" pitchFamily="34" charset="0"/>
              <a:ea typeface="Verdana" panose="020B0604030504040204" pitchFamily="34" charset="0"/>
            </a:rPr>
            <a:t>3. Se asume una participación de mercado de 0,05%</a:t>
          </a:r>
        </a:p>
        <a:p>
          <a:r>
            <a:rPr lang="es-CO" sz="1050" baseline="0">
              <a:latin typeface="Verdana" panose="020B0604030504040204" pitchFamily="34" charset="0"/>
              <a:ea typeface="Verdana" panose="020B0604030504040204" pitchFamily="34" charset="0"/>
            </a:rPr>
            <a:t>4. El % Participación de mercado del proyecto se mantiene</a:t>
          </a:r>
          <a:endParaRPr lang="es-CO" sz="105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1403747</xdr:colOff>
      <xdr:row>86</xdr:row>
      <xdr:rowOff>125016</xdr:rowOff>
    </xdr:from>
    <xdr:ext cx="12995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1546622" y="10802541"/>
              <a:ext cx="12995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𝐶𝑇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𝐶𝐹𝑇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𝐶𝑉𝑢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𝑄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80841F2-A016-450F-A55C-FD5ABFC1A02D}"/>
                </a:ext>
              </a:extLst>
            </xdr:cNvPr>
            <xdr:cNvSpPr txBox="1"/>
          </xdr:nvSpPr>
          <xdr:spPr>
            <a:xfrm>
              <a:off x="1546622" y="10802541"/>
              <a:ext cx="12995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𝐶𝑇=𝐶𝐹𝑇+𝐶𝑉𝑢∗𝑄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123719</xdr:colOff>
      <xdr:row>102</xdr:row>
      <xdr:rowOff>55684</xdr:rowOff>
    </xdr:from>
    <xdr:ext cx="2476832" cy="3484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6210194" y="11666659"/>
              <a:ext cx="2476832" cy="3484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𝐿𝑖𝑠𝑡𝑎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𝐶𝑇𝑀𝑒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[</m:t>
                        </m:r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e>
                        </m:d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1−%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𝐷𝑒𝑠𝑐𝑢𝑒𝑛𝑡𝑜</m:t>
                            </m:r>
                          </m:e>
                        </m:d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]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E49EF69-180E-4D38-91F1-EC8D134ACAC8}"/>
                </a:ext>
              </a:extLst>
            </xdr:cNvPr>
            <xdr:cNvSpPr txBox="1"/>
          </xdr:nvSpPr>
          <xdr:spPr>
            <a:xfrm>
              <a:off x="6210194" y="11666659"/>
              <a:ext cx="2476832" cy="3484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𝑃𝑢_𝐿𝑖𝑠𝑡𝑎=𝐶𝑇𝑀𝑒/([(1−𝑗)∗(1−% 𝐷𝑒𝑠𝑐𝑢𝑒𝑛𝑡𝑜)])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450220</xdr:colOff>
      <xdr:row>121</xdr:row>
      <xdr:rowOff>121208</xdr:rowOff>
    </xdr:from>
    <xdr:ext cx="2813527" cy="3844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5917570" y="18990233"/>
              <a:ext cx="2813527" cy="384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2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𝑄</m:t>
                    </m:r>
                    <m:r>
                      <a:rPr lang="es-CO" sz="12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|</m:t>
                    </m:r>
                    <m:r>
                      <a:rPr lang="es-CO" sz="12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𝑈𝑡𝑖𝑙𝑖𝑑𝑎𝑑</m:t>
                    </m:r>
                    <m:r>
                      <a:rPr lang="es-CO" sz="12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CO" sz="12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2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O" sz="12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𝑈𝑡𝑖𝑙𝑖𝑑𝑎𝑑</m:t>
                        </m:r>
                        <m:r>
                          <a:rPr lang="es-CO" sz="12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2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𝑂𝑏𝑗𝑒𝑡𝑖𝑣𝑜</m:t>
                        </m:r>
                        <m:r>
                          <a:rPr lang="es-CO" sz="12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CO" sz="12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𝐶𝐹𝑇</m:t>
                        </m:r>
                        <m:r>
                          <a:rPr lang="es-CO" sz="12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CO" sz="12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O" sz="12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𝑃𝑢</m:t>
                        </m:r>
                        <m:r>
                          <a:rPr lang="es-CO" sz="12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2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𝐶𝑉𝑢</m:t>
                        </m:r>
                        <m:r>
                          <a:rPr lang="es-CO" sz="12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200">
                <a:solidFill>
                  <a:srgbClr val="C00000"/>
                </a:solidFill>
              </a:endParaRPr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78BF89C-4B61-456E-8A75-7F1B199E832D}"/>
                </a:ext>
              </a:extLst>
            </xdr:cNvPr>
            <xdr:cNvSpPr txBox="1"/>
          </xdr:nvSpPr>
          <xdr:spPr>
            <a:xfrm>
              <a:off x="5917570" y="18990233"/>
              <a:ext cx="2813527" cy="3844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200" b="0" i="0">
                  <a:solidFill>
                    <a:srgbClr val="C00000"/>
                  </a:solidFill>
                  <a:latin typeface="Cambria Math" panose="02040503050406030204" pitchFamily="18" charset="0"/>
                </a:rPr>
                <a:t>𝑄|𝑈𝑡𝑖𝑙𝑖𝑑𝑎𝑑=  ((𝑈𝑡𝑖𝑙𝑖𝑑𝑎𝑑 𝑂𝑏𝑗𝑒𝑡𝑖𝑣𝑜+𝐶𝐹𝑇))/((𝑃𝑢−𝐶𝑉𝑢))</a:t>
              </a:r>
              <a:endParaRPr lang="es-CO" sz="1200">
                <a:solidFill>
                  <a:srgbClr val="C00000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578126</xdr:colOff>
      <xdr:row>142</xdr:row>
      <xdr:rowOff>122580</xdr:rowOff>
    </xdr:from>
    <xdr:ext cx="1631857" cy="3480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400-00000C000000}"/>
                </a:ext>
              </a:extLst>
            </xdr:cNvPr>
            <xdr:cNvSpPr txBox="1"/>
          </xdr:nvSpPr>
          <xdr:spPr>
            <a:xfrm>
              <a:off x="5712101" y="19820280"/>
              <a:ext cx="1631857" cy="3480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𝑉𝑒𝑛𝑡𝑎</m:t>
                    </m:r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𝐸𝑞𝑢𝑖𝑙𝑖𝑏𝑟𝑖𝑜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𝐶𝐹𝑇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(1−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759E0DCC-BF87-4BCD-BDD9-120D934ADF55}"/>
                </a:ext>
              </a:extLst>
            </xdr:cNvPr>
            <xdr:cNvSpPr txBox="1"/>
          </xdr:nvSpPr>
          <xdr:spPr>
            <a:xfrm>
              <a:off x="5712101" y="19820280"/>
              <a:ext cx="1631857" cy="3480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𝑉𝑒𝑛𝑡𝑎𝑠_𝐸𝑞𝑢𝑖𝑙𝑖𝑏𝑟𝑖𝑜=𝐶𝐹𝑇/((1−𝐴))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6</xdr:col>
      <xdr:colOff>114300</xdr:colOff>
      <xdr:row>23</xdr:row>
      <xdr:rowOff>170329</xdr:rowOff>
    </xdr:from>
    <xdr:to>
      <xdr:col>8</xdr:col>
      <xdr:colOff>314325</xdr:colOff>
      <xdr:row>26</xdr:row>
      <xdr:rowOff>143436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10172700" y="6087035"/>
          <a:ext cx="3301813" cy="67235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1">
              <a:latin typeface="Arial" panose="020B0604020202020204" pitchFamily="34" charset="0"/>
              <a:cs typeface="Arial" panose="020B0604020202020204" pitchFamily="34" charset="0"/>
            </a:rPr>
            <a:t>Supuesto: </a:t>
          </a:r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De la refractaria</a:t>
          </a:r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 grande se pueden tener aproximadamente 7 o 8 porciones personales</a:t>
          </a:r>
          <a:endParaRPr lang="es-CO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308220</xdr:colOff>
      <xdr:row>104</xdr:row>
      <xdr:rowOff>111250</xdr:rowOff>
    </xdr:from>
    <xdr:to>
      <xdr:col>9</xdr:col>
      <xdr:colOff>221201</xdr:colOff>
      <xdr:row>108</xdr:row>
      <xdr:rowOff>41154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10073657" y="25801007"/>
          <a:ext cx="3612010" cy="7067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1">
              <a:latin typeface="Arial" panose="020B0604020202020204" pitchFamily="34" charset="0"/>
              <a:cs typeface="Arial" panose="020B0604020202020204" pitchFamily="34" charset="0"/>
            </a:rPr>
            <a:t>Supuesto: </a:t>
          </a:r>
        </a:p>
        <a:p>
          <a:r>
            <a:rPr lang="es-CO" sz="1100" b="0">
              <a:latin typeface="Arial" panose="020B0604020202020204" pitchFamily="34" charset="0"/>
              <a:cs typeface="Arial" panose="020B0604020202020204" pitchFamily="34" charset="0"/>
            </a:rPr>
            <a:t>*</a:t>
          </a:r>
          <a:r>
            <a:rPr lang="es-CO" sz="1100" b="0" baseline="0">
              <a:latin typeface="Arial" panose="020B0604020202020204" pitchFamily="34" charset="0"/>
              <a:cs typeface="Arial" panose="020B0604020202020204" pitchFamily="34" charset="0"/>
            </a:rPr>
            <a:t> % ganancia DESEADO 20%</a:t>
          </a:r>
        </a:p>
        <a:p>
          <a:r>
            <a:rPr lang="es-CO" sz="1100" b="0" baseline="0">
              <a:latin typeface="Arial" panose="020B0604020202020204" pitchFamily="34" charset="0"/>
              <a:cs typeface="Arial" panose="020B0604020202020204" pitchFamily="34" charset="0"/>
            </a:rPr>
            <a:t>* % Descuento máximo ofrecido a los clientes 15%</a:t>
          </a:r>
          <a:endParaRPr lang="es-CO" sz="11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1</xdr:col>
      <xdr:colOff>1143000</xdr:colOff>
      <xdr:row>110</xdr:row>
      <xdr:rowOff>19050</xdr:rowOff>
    </xdr:from>
    <xdr:ext cx="2185727" cy="3484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SpPr txBox="1"/>
          </xdr:nvSpPr>
          <xdr:spPr>
            <a:xfrm>
              <a:off x="1285875" y="15954375"/>
              <a:ext cx="2185727" cy="3484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𝑃𝑢</m:t>
                    </m:r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𝐶𝑇𝑀𝑒</m:t>
                        </m:r>
                      </m:num>
                      <m:den>
                        <m: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[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rgbClr val="C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rgbClr val="C00000"/>
                                </a:solidFill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s-CO" sz="1100" b="0" i="1">
                                <a:solidFill>
                                  <a:srgbClr val="C00000"/>
                                </a:solidFill>
                                <a:latin typeface="Cambria Math" panose="02040503050406030204" pitchFamily="18" charset="0"/>
                              </a:rPr>
                              <m:t>𝑗</m:t>
                            </m:r>
                          </m:e>
                        </m:d>
                        <m: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rgbClr val="C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rgbClr val="C00000"/>
                                </a:solidFill>
                                <a:latin typeface="Cambria Math" panose="02040503050406030204" pitchFamily="18" charset="0"/>
                              </a:rPr>
                              <m:t>1−%</m:t>
                            </m:r>
                            <m:r>
                              <a:rPr lang="es-CO" sz="1100" b="0" i="1">
                                <a:solidFill>
                                  <a:srgbClr val="C00000"/>
                                </a:solidFill>
                                <a:latin typeface="Cambria Math" panose="02040503050406030204" pitchFamily="18" charset="0"/>
                              </a:rPr>
                              <m:t>𝐷𝑒𝑠𝑐𝑢𝑒𝑛𝑡𝑜</m:t>
                            </m:r>
                          </m:e>
                        </m:d>
                        <m: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]</m:t>
                        </m:r>
                      </m:den>
                    </m:f>
                  </m:oMath>
                </m:oMathPara>
              </a14:m>
              <a:endParaRPr lang="es-CO" sz="1100">
                <a:solidFill>
                  <a:srgbClr val="C00000"/>
                </a:solidFill>
              </a:endParaRPr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1285875" y="15954375"/>
              <a:ext cx="2185727" cy="3484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solidFill>
                    <a:srgbClr val="C00000"/>
                  </a:solidFill>
                  <a:latin typeface="Cambria Math" panose="02040503050406030204" pitchFamily="18" charset="0"/>
                </a:rPr>
                <a:t>𝑃𝑢=𝐶𝑇𝑀𝑒/([(1−𝑗)∗(1−%𝐷𝑒𝑠𝑐𝑢𝑒𝑛𝑡𝑜)])</a:t>
              </a:r>
              <a:endParaRPr lang="es-CO" sz="1100">
                <a:solidFill>
                  <a:srgbClr val="C00000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1581150</xdr:colOff>
      <xdr:row>111</xdr:row>
      <xdr:rowOff>152400</xdr:rowOff>
    </xdr:from>
    <xdr:ext cx="18249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400-00000E000000}"/>
                </a:ext>
              </a:extLst>
            </xdr:cNvPr>
            <xdr:cNvSpPr txBox="1"/>
          </xdr:nvSpPr>
          <xdr:spPr>
            <a:xfrm>
              <a:off x="1724025" y="16535400"/>
              <a:ext cx="18249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sub>
                    </m:sSub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𝑃𝑢</m:t>
                    </m:r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∗(1−%</m:t>
                    </m:r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𝐷𝑒𝑠𝑐𝑢𝑒𝑛𝑡𝑜</m:t>
                    </m:r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>
                <a:solidFill>
                  <a:srgbClr val="C00000"/>
                </a:solidFill>
              </a:endParaRPr>
            </a:p>
          </xdr:txBody>
        </xdr:sp>
      </mc:Choice>
      <mc:Fallback xmlns="">
        <xdr:sp macro="" textlink="">
          <xdr:nvSpPr>
            <xdr:cNvPr id="14" name="CuadroTexto 13"/>
            <xdr:cNvSpPr txBox="1"/>
          </xdr:nvSpPr>
          <xdr:spPr>
            <a:xfrm>
              <a:off x="1724025" y="16535400"/>
              <a:ext cx="18249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solidFill>
                    <a:srgbClr val="C00000"/>
                  </a:solidFill>
                  <a:latin typeface="Cambria Math" panose="02040503050406030204" pitchFamily="18" charset="0"/>
                </a:rPr>
                <a:t>𝑃_𝐷=𝑃𝑢∗(1−%𝐷𝑒𝑠𝑐𝑢𝑒𝑛𝑡𝑜)</a:t>
              </a:r>
              <a:endParaRPr lang="es-CO" sz="1100">
                <a:solidFill>
                  <a:srgbClr val="C00000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2257425</xdr:colOff>
      <xdr:row>118</xdr:row>
      <xdr:rowOff>57150</xdr:rowOff>
    </xdr:from>
    <xdr:ext cx="805670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00000000-0008-0000-0400-000011000000}"/>
                </a:ext>
              </a:extLst>
            </xdr:cNvPr>
            <xdr:cNvSpPr txBox="1"/>
          </xdr:nvSpPr>
          <xdr:spPr>
            <a:xfrm>
              <a:off x="2400300" y="17983200"/>
              <a:ext cx="80567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𝐽</m:t>
                    </m:r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𝑈𝑡𝑖𝑙𝑖𝑑𝑎𝑑</m:t>
                        </m:r>
                      </m:num>
                      <m:den>
                        <m: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𝑉𝑒𝑛𝑡𝑎𝑠</m:t>
                        </m:r>
                      </m:den>
                    </m:f>
                  </m:oMath>
                </m:oMathPara>
              </a14:m>
              <a:endParaRPr lang="es-CO" sz="1100">
                <a:solidFill>
                  <a:srgbClr val="C00000"/>
                </a:solidFill>
              </a:endParaRPr>
            </a:p>
          </xdr:txBody>
        </xdr:sp>
      </mc:Choice>
      <mc:Fallback xmlns="">
        <xdr:sp macro="" textlink="">
          <xdr:nvSpPr>
            <xdr:cNvPr id="17" name="CuadroTexto 16"/>
            <xdr:cNvSpPr txBox="1"/>
          </xdr:nvSpPr>
          <xdr:spPr>
            <a:xfrm>
              <a:off x="2400300" y="17983200"/>
              <a:ext cx="805670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solidFill>
                    <a:srgbClr val="C00000"/>
                  </a:solidFill>
                  <a:latin typeface="Cambria Math" panose="02040503050406030204" pitchFamily="18" charset="0"/>
                </a:rPr>
                <a:t>𝐽=𝑈𝑡𝑖𝑙𝑖𝑑𝑎𝑑/𝑉𝑒𝑛𝑡𝑎𝑠</a:t>
              </a:r>
              <a:endParaRPr lang="es-CO" sz="1100">
                <a:solidFill>
                  <a:srgbClr val="C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19050</xdr:colOff>
      <xdr:row>50</xdr:row>
      <xdr:rowOff>66675</xdr:rowOff>
    </xdr:from>
    <xdr:ext cx="9623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6886015" y="12393146"/>
              <a:ext cx="962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𝐶𝑉𝑇</m:t>
                    </m:r>
                    <m:r>
                      <a:rPr lang="en-US" sz="1100" b="0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𝐶𝑉𝑢</m:t>
                    </m:r>
                    <m:r>
                      <a:rPr lang="en-US" sz="1100" b="0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𝑄</m:t>
                    </m:r>
                  </m:oMath>
                </m:oMathPara>
              </a14:m>
              <a:endParaRPr lang="en-US" sz="1100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6886015" y="12393146"/>
              <a:ext cx="9623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𝐶𝑉𝑇=</a:t>
              </a:r>
              <a:r>
                <a:rPr lang="es-ES" sz="11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𝐶𝑉𝑢</a:t>
              </a:r>
              <a:r>
                <a:rPr lang="en-US" sz="11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∗𝑄</a:t>
              </a:r>
              <a:endParaRPr lang="en-US" sz="1100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66675</xdr:colOff>
      <xdr:row>72</xdr:row>
      <xdr:rowOff>57150</xdr:rowOff>
    </xdr:from>
    <xdr:ext cx="270625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 txBox="1"/>
          </xdr:nvSpPr>
          <xdr:spPr>
            <a:xfrm>
              <a:off x="5534025" y="8439150"/>
              <a:ext cx="270625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𝐶𝐹𝑇</m:t>
                    </m:r>
                    <m:r>
                      <a:rPr lang="es-CO" sz="1400" b="0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400" b="0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𝐶𝑜𝑠𝑡</m:t>
                    </m:r>
                    <m:sSub>
                      <m:sSubPr>
                        <m:ctrlPr>
                          <a:rPr lang="es-CO" sz="1400" b="0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400" b="0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b>
                        <m:r>
                          <a:rPr lang="es-CO" sz="1400" b="0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𝑚𝑎𝑛𝑜</m:t>
                        </m:r>
                        <m:r>
                          <a:rPr lang="es-CO" sz="1400" b="0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400" b="0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  <m:t>𝑜𝑏𝑟𝑎</m:t>
                        </m:r>
                      </m:sub>
                    </m:sSub>
                    <m:r>
                      <a:rPr lang="es-CO" sz="1400" b="0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400" b="0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𝑂𝑡𝑟𝑜𝑠</m:t>
                    </m:r>
                    <m:r>
                      <a:rPr lang="es-CO" sz="1400" b="0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1400" b="0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𝐶𝐹</m:t>
                    </m:r>
                  </m:oMath>
                </m:oMathPara>
              </a14:m>
              <a:endParaRPr lang="en-US" sz="1400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5534025" y="8439150"/>
              <a:ext cx="270625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400" b="0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𝐶𝐹𝑇=𝐶𝑜𝑠𝑡𝑜_(𝑚𝑎𝑛𝑜 𝑜𝑏𝑟𝑎)+𝑂𝑡𝑟𝑜𝑠 𝐶𝐹</a:t>
              </a:r>
              <a:endParaRPr lang="en-US" sz="1400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637620</xdr:colOff>
      <xdr:row>85</xdr:row>
      <xdr:rowOff>178479</xdr:rowOff>
    </xdr:from>
    <xdr:ext cx="289643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 txBox="1"/>
          </xdr:nvSpPr>
          <xdr:spPr>
            <a:xfrm>
              <a:off x="5150436" y="21096489"/>
              <a:ext cx="289643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𝑪𝑻</m:t>
                    </m:r>
                    <m:r>
                      <a:rPr lang="es-CO" sz="14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=$</m:t>
                    </m:r>
                    <m:r>
                      <a:rPr lang="es-MX" sz="14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𝟐𝟏𝟑</m:t>
                    </m:r>
                    <m:r>
                      <a:rPr lang="es-MX" sz="14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𝟓𝟒𝟐</m:t>
                    </m:r>
                    <m:r>
                      <a:rPr lang="es-MX" sz="14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𝟒𝟕𝟔</m:t>
                    </m:r>
                    <m:r>
                      <a:rPr lang="es-CO" sz="14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+$</m:t>
                    </m:r>
                    <m:r>
                      <a:rPr lang="es-MX" sz="14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𝟏𝟎</m:t>
                    </m:r>
                    <m:r>
                      <a:rPr lang="es-MX" sz="14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𝟏𝟏𝟎</m:t>
                    </m:r>
                    <m:r>
                      <a:rPr lang="es-CO" sz="14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∗</m:t>
                    </m:r>
                    <m:r>
                      <a:rPr lang="es-CO" sz="14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𝑸</m:t>
                    </m:r>
                  </m:oMath>
                </m:oMathPara>
              </a14:m>
              <a:endParaRPr lang="en-US" sz="14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 txBox="1"/>
          </xdr:nvSpPr>
          <xdr:spPr>
            <a:xfrm>
              <a:off x="5150436" y="21096489"/>
              <a:ext cx="289643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𝑪𝑻=$</a:t>
              </a:r>
              <a:r>
                <a:rPr lang="es-MX" sz="14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𝟐𝟏𝟑.𝟓𝟒𝟐.𝟒𝟕𝟔</a:t>
              </a:r>
              <a:r>
                <a:rPr lang="es-CO" sz="14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+$</a:t>
              </a:r>
              <a:r>
                <a:rPr lang="es-MX" sz="14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𝟏𝟎.𝟏𝟏𝟎</a:t>
              </a:r>
              <a:r>
                <a:rPr lang="es-CO" sz="14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∗𝑸</a:t>
              </a:r>
              <a:endParaRPr lang="en-US" sz="14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1026757</xdr:colOff>
      <xdr:row>98</xdr:row>
      <xdr:rowOff>240992</xdr:rowOff>
    </xdr:from>
    <xdr:ext cx="170456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SpPr txBox="1"/>
          </xdr:nvSpPr>
          <xdr:spPr>
            <a:xfrm>
              <a:off x="6494107" y="24063017"/>
              <a:ext cx="170456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6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𝑪𝑻</m:t>
                    </m:r>
                    <m:r>
                      <a:rPr lang="es-CO" sz="16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=$</m:t>
                    </m:r>
                    <m:r>
                      <a:rPr lang="es-MX" sz="16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𝟏𝟑</m:t>
                    </m:r>
                    <m:r>
                      <a:rPr lang="es-MX" sz="16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6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𝟑𝟐𝟎</m:t>
                    </m:r>
                    <m:r>
                      <a:rPr lang="es-CO" sz="16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∗</m:t>
                    </m:r>
                    <m:r>
                      <a:rPr lang="es-CO" sz="16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𝑸</m:t>
                    </m:r>
                  </m:oMath>
                </m:oMathPara>
              </a14:m>
              <a:endParaRPr lang="en-US" sz="16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SpPr txBox="1"/>
          </xdr:nvSpPr>
          <xdr:spPr>
            <a:xfrm>
              <a:off x="6494107" y="24063017"/>
              <a:ext cx="170456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6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𝑪𝑻=$</a:t>
              </a:r>
              <a:r>
                <a:rPr lang="es-MX" sz="16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𝟏𝟑.𝟑𝟐𝟎</a:t>
              </a:r>
              <a:r>
                <a:rPr lang="es-CO" sz="16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∗𝑸</a:t>
              </a:r>
              <a:endParaRPr lang="en-US" sz="16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twoCellAnchor>
    <xdr:from>
      <xdr:col>6</xdr:col>
      <xdr:colOff>281032</xdr:colOff>
      <xdr:row>108</xdr:row>
      <xdr:rowOff>93027</xdr:rowOff>
    </xdr:from>
    <xdr:to>
      <xdr:col>8</xdr:col>
      <xdr:colOff>471626</xdr:colOff>
      <xdr:row>112</xdr:row>
      <xdr:rowOff>90253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pSpPr/>
      </xdr:nvGrpSpPr>
      <xdr:grpSpPr>
        <a:xfrm>
          <a:off x="10044157" y="26505852"/>
          <a:ext cx="3219544" cy="1235476"/>
          <a:chOff x="8020050" y="15973425"/>
          <a:chExt cx="2809875" cy="1239684"/>
        </a:xfrm>
      </xdr:grpSpPr>
      <xdr:sp macro="" textlink="">
        <xdr:nvSpPr>
          <xdr:cNvPr id="11" name="Llamada rectangular 10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/>
        </xdr:nvSpPr>
        <xdr:spPr>
          <a:xfrm>
            <a:off x="8020050" y="15973425"/>
            <a:ext cx="2809875" cy="1152525"/>
          </a:xfrm>
          <a:prstGeom prst="wedgeRectCallou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CuadroTexto 14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/>
        </xdr:nvSpPr>
        <xdr:spPr>
          <a:xfrm>
            <a:off x="8020050" y="16049625"/>
            <a:ext cx="1704975" cy="8858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HOY, oferta de postres:</a:t>
            </a:r>
          </a:p>
          <a:p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Antes:</a:t>
            </a:r>
            <a:r>
              <a:rPr lang="en-US" sz="1100" baseline="0">
                <a:latin typeface="Arial" panose="020B0604020202020204" pitchFamily="34" charset="0"/>
                <a:cs typeface="Arial" panose="020B0604020202020204" pitchFamily="34" charset="0"/>
              </a:rPr>
              <a:t> $19.589</a:t>
            </a:r>
          </a:p>
          <a:p>
            <a:endParaRPr lang="en-US" sz="1100" baseline="0"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1100" b="1" baseline="0">
                <a:latin typeface="Arial" panose="020B0604020202020204" pitchFamily="34" charset="0"/>
                <a:cs typeface="Arial" panose="020B0604020202020204" pitchFamily="34" charset="0"/>
              </a:rPr>
              <a:t>Hoy: $16.650</a:t>
            </a:r>
            <a:endParaRPr lang="en-US" sz="11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8" name="CuadroTexto 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/>
        </xdr:nvSpPr>
        <xdr:spPr>
          <a:xfrm>
            <a:off x="8811696" y="16774959"/>
            <a:ext cx="1704975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rgbClr val="0000FF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15%</a:t>
            </a:r>
            <a:r>
              <a:rPr lang="en-US" sz="1100" baseline="0">
                <a:solidFill>
                  <a:srgbClr val="0000FF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descuento</a:t>
            </a:r>
          </a:p>
          <a:p>
            <a:r>
              <a:rPr lang="en-US" sz="1100" b="1" baseline="0">
                <a:solidFill>
                  <a:srgbClr val="0000FF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¡Aprovecha!</a:t>
            </a:r>
            <a:endParaRPr lang="en-US" sz="1100" b="1">
              <a:solidFill>
                <a:srgbClr val="0000FF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6</xdr:col>
      <xdr:colOff>178385</xdr:colOff>
      <xdr:row>124</xdr:row>
      <xdr:rowOff>19327</xdr:rowOff>
    </xdr:from>
    <xdr:to>
      <xdr:col>6</xdr:col>
      <xdr:colOff>1342839</xdr:colOff>
      <xdr:row>124</xdr:row>
      <xdr:rowOff>143152</xdr:rowOff>
    </xdr:to>
    <xdr:sp macro="" textlink="">
      <xdr:nvSpPr>
        <xdr:cNvPr id="19" name="Flecha derecha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9943822" y="30517822"/>
          <a:ext cx="1164454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1299376</xdr:colOff>
      <xdr:row>123</xdr:row>
      <xdr:rowOff>47070</xdr:rowOff>
    </xdr:from>
    <xdr:to>
      <xdr:col>9</xdr:col>
      <xdr:colOff>259857</xdr:colOff>
      <xdr:row>125</xdr:row>
      <xdr:rowOff>123270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11064813" y="30351366"/>
          <a:ext cx="2659510" cy="4553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En</a:t>
          </a:r>
          <a: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  <a:t> Punto de Equilibrio no se gana, no se pierde. Utilidad Objetivo = $0.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1</xdr:col>
      <xdr:colOff>271669</xdr:colOff>
      <xdr:row>148</xdr:row>
      <xdr:rowOff>139147</xdr:rowOff>
    </xdr:from>
    <xdr:ext cx="563231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00000000-0008-0000-0400-000015000000}"/>
                </a:ext>
              </a:extLst>
            </xdr:cNvPr>
            <xdr:cNvSpPr txBox="1"/>
          </xdr:nvSpPr>
          <xdr:spPr>
            <a:xfrm>
              <a:off x="412473" y="25144343"/>
              <a:ext cx="56323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𝐶𝑉𝑢</m:t>
                        </m:r>
                      </m:num>
                      <m:den>
                        <m:r>
                          <a:rPr lang="en-US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𝑃𝑢</m:t>
                        </m:r>
                      </m:den>
                    </m:f>
                  </m:oMath>
                </m:oMathPara>
              </a14:m>
              <a:endParaRPr lang="en-US" sz="1100" b="0">
                <a:solidFill>
                  <a:srgbClr val="C00000"/>
                </a:solidFill>
              </a:endParaRPr>
            </a:p>
          </xdr:txBody>
        </xdr:sp>
      </mc:Choice>
      <mc:Fallback xmlns="">
        <xdr:sp macro="" textlink="">
          <xdr:nvSpPr>
            <xdr:cNvPr id="21" name="CuadroTexto 20"/>
            <xdr:cNvSpPr txBox="1"/>
          </xdr:nvSpPr>
          <xdr:spPr>
            <a:xfrm>
              <a:off x="412473" y="25144343"/>
              <a:ext cx="56323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rgbClr val="C00000"/>
                  </a:solidFill>
                  <a:latin typeface="Cambria Math" panose="02040503050406030204" pitchFamily="18" charset="0"/>
                </a:rPr>
                <a:t>𝐴=𝐶𝑉𝑢/𝑃𝑢</a:t>
              </a:r>
              <a:endParaRPr lang="en-US" sz="1100" b="0">
                <a:solidFill>
                  <a:srgbClr val="C00000"/>
                </a:solidFill>
              </a:endParaRPr>
            </a:p>
          </xdr:txBody>
        </xdr:sp>
      </mc:Fallback>
    </mc:AlternateContent>
    <xdr:clientData/>
  </xdr:oneCellAnchor>
  <xdr:twoCellAnchor>
    <xdr:from>
      <xdr:col>1</xdr:col>
      <xdr:colOff>1374912</xdr:colOff>
      <xdr:row>152</xdr:row>
      <xdr:rowOff>149088</xdr:rowOff>
    </xdr:from>
    <xdr:to>
      <xdr:col>4</xdr:col>
      <xdr:colOff>331304</xdr:colOff>
      <xdr:row>154</xdr:row>
      <xdr:rowOff>85707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1515716" y="26686566"/>
          <a:ext cx="5483088" cy="3010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40000"/>
              <a:lumOff val="6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2062369</xdr:colOff>
      <xdr:row>153</xdr:row>
      <xdr:rowOff>33130</xdr:rowOff>
    </xdr:from>
    <xdr:to>
      <xdr:col>2</xdr:col>
      <xdr:colOff>422413</xdr:colOff>
      <xdr:row>154</xdr:row>
      <xdr:rowOff>33130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2203173" y="26752826"/>
          <a:ext cx="2733262" cy="18221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accent3">
              <a:lumMod val="40000"/>
              <a:lumOff val="6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Ventas = $100</a:t>
          </a:r>
        </a:p>
      </xdr:txBody>
    </xdr:sp>
    <xdr:clientData/>
  </xdr:twoCellAnchor>
  <xdr:twoCellAnchor>
    <xdr:from>
      <xdr:col>1</xdr:col>
      <xdr:colOff>1366631</xdr:colOff>
      <xdr:row>154</xdr:row>
      <xdr:rowOff>165652</xdr:rowOff>
    </xdr:from>
    <xdr:to>
      <xdr:col>1</xdr:col>
      <xdr:colOff>3685761</xdr:colOff>
      <xdr:row>156</xdr:row>
      <xdr:rowOff>132522</xdr:rowOff>
    </xdr:to>
    <xdr:sp macro="" textlink="">
      <xdr:nvSpPr>
        <xdr:cNvPr id="28" name="Rectángulo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1507435" y="27067565"/>
          <a:ext cx="2319130" cy="33130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1366632</xdr:colOff>
      <xdr:row>155</xdr:row>
      <xdr:rowOff>74543</xdr:rowOff>
    </xdr:from>
    <xdr:to>
      <xdr:col>1</xdr:col>
      <xdr:colOff>3623562</xdr:colOff>
      <xdr:row>156</xdr:row>
      <xdr:rowOff>31823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507436" y="27158673"/>
          <a:ext cx="2256930" cy="13949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accent6">
              <a:lumMod val="40000"/>
              <a:lumOff val="6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Costo Variable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= $65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3718892</xdr:colOff>
      <xdr:row>154</xdr:row>
      <xdr:rowOff>165652</xdr:rowOff>
    </xdr:from>
    <xdr:to>
      <xdr:col>2</xdr:col>
      <xdr:colOff>712304</xdr:colOff>
      <xdr:row>156</xdr:row>
      <xdr:rowOff>132522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3859696" y="27067565"/>
          <a:ext cx="1366630" cy="33130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3801717</xdr:colOff>
      <xdr:row>155</xdr:row>
      <xdr:rowOff>16567</xdr:rowOff>
    </xdr:from>
    <xdr:to>
      <xdr:col>2</xdr:col>
      <xdr:colOff>720587</xdr:colOff>
      <xdr:row>156</xdr:row>
      <xdr:rowOff>107675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/>
      </xdr:nvSpPr>
      <xdr:spPr>
        <a:xfrm>
          <a:off x="3942521" y="27100697"/>
          <a:ext cx="1292088" cy="27332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accent6">
              <a:lumMod val="40000"/>
              <a:lumOff val="6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Costo Fijo 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= $15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762000</xdr:colOff>
      <xdr:row>154</xdr:row>
      <xdr:rowOff>157370</xdr:rowOff>
    </xdr:from>
    <xdr:to>
      <xdr:col>4</xdr:col>
      <xdr:colOff>356152</xdr:colOff>
      <xdr:row>156</xdr:row>
      <xdr:rowOff>124240</xdr:rowOff>
    </xdr:to>
    <xdr:sp macro="" textlink="">
      <xdr:nvSpPr>
        <xdr:cNvPr id="32" name="Rectángulo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5276022" y="27059283"/>
          <a:ext cx="1747630" cy="33130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40000"/>
              <a:lumOff val="6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844825</xdr:colOff>
      <xdr:row>155</xdr:row>
      <xdr:rowOff>8285</xdr:rowOff>
    </xdr:from>
    <xdr:to>
      <xdr:col>4</xdr:col>
      <xdr:colOff>331304</xdr:colOff>
      <xdr:row>156</xdr:row>
      <xdr:rowOff>99393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5358847" y="27092415"/>
          <a:ext cx="1639957" cy="27332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accent2">
              <a:lumMod val="40000"/>
              <a:lumOff val="6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Ganancia [ j ] = $20</a:t>
          </a:r>
        </a:p>
      </xdr:txBody>
    </xdr:sp>
    <xdr:clientData/>
  </xdr:twoCellAnchor>
  <xdr:twoCellAnchor>
    <xdr:from>
      <xdr:col>1</xdr:col>
      <xdr:colOff>3710609</xdr:colOff>
      <xdr:row>154</xdr:row>
      <xdr:rowOff>107674</xdr:rowOff>
    </xdr:from>
    <xdr:to>
      <xdr:col>4</xdr:col>
      <xdr:colOff>414130</xdr:colOff>
      <xdr:row>157</xdr:row>
      <xdr:rowOff>24848</xdr:rowOff>
    </xdr:to>
    <xdr:sp macro="" textlink="">
      <xdr:nvSpPr>
        <xdr:cNvPr id="34" name="Rectángulo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3851413" y="27009587"/>
          <a:ext cx="3230217" cy="463826"/>
        </a:xfrm>
        <a:prstGeom prst="rect">
          <a:avLst/>
        </a:prstGeom>
        <a:noFill/>
        <a:ln w="28575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3702326</xdr:colOff>
      <xdr:row>157</xdr:row>
      <xdr:rowOff>157370</xdr:rowOff>
    </xdr:from>
    <xdr:to>
      <xdr:col>4</xdr:col>
      <xdr:colOff>438978</xdr:colOff>
      <xdr:row>163</xdr:row>
      <xdr:rowOff>149086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3843130" y="27605935"/>
          <a:ext cx="3263348" cy="10850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$15 + $20 es el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margen de contribución. Es la ganancia que queda después de pagar los costos variables. Por tanto, con esta ganancia se deben pagar los costos fijos y lo que queda es la ganancia de toda la operación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14</xdr:col>
      <xdr:colOff>627821</xdr:colOff>
      <xdr:row>4</xdr:row>
      <xdr:rowOff>230257</xdr:rowOff>
    </xdr:from>
    <xdr:ext cx="2281266" cy="32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00000000-0008-0000-0400-000024000000}"/>
                </a:ext>
              </a:extLst>
            </xdr:cNvPr>
            <xdr:cNvSpPr txBox="1"/>
          </xdr:nvSpPr>
          <xdr:spPr>
            <a:xfrm>
              <a:off x="21914125" y="1199322"/>
              <a:ext cx="2281266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𝐷𝑒𝑝𝑟𝑒𝑐𝑖𝑎𝑐𝑖</m:t>
                    </m:r>
                    <m:r>
                      <a:rPr lang="en-US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ó</m:t>
                    </m:r>
                    <m:r>
                      <a:rPr lang="en-US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𝑃𝑟𝑒𝑐𝑖𝑜</m:t>
                        </m:r>
                        <m:r>
                          <a:rPr lang="en-US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𝐴𝑐𝑡𝑖𝑣𝑜</m:t>
                        </m:r>
                      </m:num>
                      <m:den>
                        <m:r>
                          <a:rPr lang="en-US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ñ</m:t>
                        </m:r>
                        <m:r>
                          <a:rPr lang="en-US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𝑜𝑠</m:t>
                        </m:r>
                        <m:r>
                          <a:rPr lang="en-US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𝑣𝑖𝑑𝑎</m:t>
                        </m:r>
                        <m:r>
                          <a:rPr lang="en-US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 ú</m:t>
                        </m:r>
                        <m:r>
                          <a:rPr lang="en-US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𝑡𝑖𝑙</m:t>
                        </m:r>
                      </m:den>
                    </m:f>
                  </m:oMath>
                </m:oMathPara>
              </a14:m>
              <a:endParaRPr lang="en-US" sz="1100">
                <a:solidFill>
                  <a:srgbClr val="C00000"/>
                </a:solidFill>
              </a:endParaRPr>
            </a:p>
          </xdr:txBody>
        </xdr:sp>
      </mc:Choice>
      <mc:Fallback xmlns="">
        <xdr:sp macro="" textlink="">
          <xdr:nvSpPr>
            <xdr:cNvPr id="36" name="CuadroTexto 35"/>
            <xdr:cNvSpPr txBox="1"/>
          </xdr:nvSpPr>
          <xdr:spPr>
            <a:xfrm>
              <a:off x="21914125" y="1199322"/>
              <a:ext cx="2281266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rgbClr val="C00000"/>
                  </a:solidFill>
                  <a:latin typeface="Cambria Math" panose="02040503050406030204" pitchFamily="18" charset="0"/>
                </a:rPr>
                <a:t>𝐷𝑒𝑝𝑟𝑒𝑐𝑖𝑎𝑐𝑖ó𝑛=(𝑃𝑟𝑒𝑐𝑖𝑜 𝑇𝑜𝑡𝑎𝑙 𝐴𝑐𝑡𝑖𝑣𝑜)/(𝐴ñ𝑜𝑠 𝑣𝑖𝑑𝑎 ú𝑡𝑖𝑙)</a:t>
              </a:r>
              <a:endParaRPr lang="en-US" sz="1100">
                <a:solidFill>
                  <a:srgbClr val="C00000"/>
                </a:solidFill>
              </a:endParaRPr>
            </a:p>
          </xdr:txBody>
        </xdr:sp>
      </mc:Fallback>
    </mc:AlternateContent>
    <xdr:clientData/>
  </xdr:oneCellAnchor>
  <xdr:oneCellAnchor>
    <xdr:from>
      <xdr:col>5</xdr:col>
      <xdr:colOff>1382605</xdr:colOff>
      <xdr:row>98</xdr:row>
      <xdr:rowOff>236184</xdr:rowOff>
    </xdr:from>
    <xdr:ext cx="170456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92FD09BA-9673-4CDE-A1AD-255C8D0EAFC9}"/>
                </a:ext>
              </a:extLst>
            </xdr:cNvPr>
            <xdr:cNvSpPr txBox="1"/>
          </xdr:nvSpPr>
          <xdr:spPr>
            <a:xfrm>
              <a:off x="9555055" y="24058209"/>
              <a:ext cx="170456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6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𝑪𝑻</m:t>
                    </m:r>
                    <m:r>
                      <a:rPr lang="es-CO" sz="16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=$</m:t>
                    </m:r>
                    <m:r>
                      <a:rPr lang="es-MX" sz="16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𝟏𝟐</m:t>
                    </m:r>
                    <m:r>
                      <a:rPr lang="es-MX" sz="16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6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𝟏𝟗𝟖</m:t>
                    </m:r>
                    <m:r>
                      <a:rPr lang="es-CO" sz="16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∗</m:t>
                    </m:r>
                    <m:r>
                      <a:rPr lang="es-CO" sz="16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𝑸</m:t>
                    </m:r>
                  </m:oMath>
                </m:oMathPara>
              </a14:m>
              <a:endParaRPr lang="en-US" sz="16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92FD09BA-9673-4CDE-A1AD-255C8D0EAFC9}"/>
                </a:ext>
              </a:extLst>
            </xdr:cNvPr>
            <xdr:cNvSpPr txBox="1"/>
          </xdr:nvSpPr>
          <xdr:spPr>
            <a:xfrm>
              <a:off x="9555055" y="24058209"/>
              <a:ext cx="170456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6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𝑪𝑻=$</a:t>
              </a:r>
              <a:r>
                <a:rPr lang="es-MX" sz="16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𝟏𝟐.𝟏𝟗𝟖</a:t>
              </a:r>
              <a:r>
                <a:rPr lang="es-CO" sz="16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∗𝑸</a:t>
              </a:r>
              <a:endParaRPr lang="en-US" sz="16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twoCellAnchor>
    <xdr:from>
      <xdr:col>7</xdr:col>
      <xdr:colOff>290282</xdr:colOff>
      <xdr:row>108</xdr:row>
      <xdr:rowOff>176257</xdr:rowOff>
    </xdr:from>
    <xdr:to>
      <xdr:col>8</xdr:col>
      <xdr:colOff>479755</xdr:colOff>
      <xdr:row>111</xdr:row>
      <xdr:rowOff>255198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80396317-8D94-4882-8146-77669801DE8C}"/>
            </a:ext>
          </a:extLst>
        </xdr:cNvPr>
        <xdr:cNvSpPr txBox="1"/>
      </xdr:nvSpPr>
      <xdr:spPr>
        <a:xfrm>
          <a:off x="11572321" y="26642810"/>
          <a:ext cx="1706075" cy="883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HOY, oferta de postres:</a:t>
          </a: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Antes: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$17.938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Hoy: $15.247</a:t>
          </a:r>
        </a:p>
        <a:p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462377</xdr:colOff>
      <xdr:row>165</xdr:row>
      <xdr:rowOff>138713</xdr:rowOff>
    </xdr:from>
    <xdr:to>
      <xdr:col>2</xdr:col>
      <xdr:colOff>320487</xdr:colOff>
      <xdr:row>183</xdr:row>
      <xdr:rowOff>129466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71500BEA-4D2E-3237-BFA3-F1358D324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91" y="39801553"/>
          <a:ext cx="4232212" cy="3319879"/>
        </a:xfrm>
        <a:prstGeom prst="rect">
          <a:avLst/>
        </a:prstGeom>
      </xdr:spPr>
    </xdr:pic>
    <xdr:clientData/>
  </xdr:twoCellAnchor>
  <xdr:oneCellAnchor>
    <xdr:from>
      <xdr:col>2</xdr:col>
      <xdr:colOff>614317</xdr:colOff>
      <xdr:row>86</xdr:row>
      <xdr:rowOff>192164</xdr:rowOff>
    </xdr:from>
    <xdr:ext cx="2789033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D387931B-10B6-450E-9041-7586CAF16C4D}"/>
                </a:ext>
              </a:extLst>
            </xdr:cNvPr>
            <xdr:cNvSpPr txBox="1"/>
          </xdr:nvSpPr>
          <xdr:spPr>
            <a:xfrm>
              <a:off x="5127133" y="21304373"/>
              <a:ext cx="278903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𝑪𝑻</m:t>
                    </m:r>
                    <m:r>
                      <a:rPr lang="es-CO" sz="14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=$</m:t>
                    </m:r>
                    <m:r>
                      <a:rPr lang="es-MX" sz="14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𝟐𝟏𝟑</m:t>
                    </m:r>
                    <m:r>
                      <a:rPr lang="es-MX" sz="14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𝟓𝟒𝟐</m:t>
                    </m:r>
                    <m:r>
                      <a:rPr lang="es-MX" sz="14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𝟒𝟕𝟔</m:t>
                    </m:r>
                    <m:r>
                      <a:rPr lang="es-CO" sz="14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+$</m:t>
                    </m:r>
                    <m:r>
                      <a:rPr lang="es-MX" sz="14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𝟖</m:t>
                    </m:r>
                    <m:r>
                      <a:rPr lang="es-MX" sz="14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𝟗𝟖𝟖</m:t>
                    </m:r>
                    <m:r>
                      <a:rPr lang="es-CO" sz="14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∗</m:t>
                    </m:r>
                    <m:r>
                      <a:rPr lang="es-CO" sz="14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𝑸</m:t>
                    </m:r>
                  </m:oMath>
                </m:oMathPara>
              </a14:m>
              <a:endParaRPr lang="en-US" sz="14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D387931B-10B6-450E-9041-7586CAF16C4D}"/>
                </a:ext>
              </a:extLst>
            </xdr:cNvPr>
            <xdr:cNvSpPr txBox="1"/>
          </xdr:nvSpPr>
          <xdr:spPr>
            <a:xfrm>
              <a:off x="5127133" y="21304373"/>
              <a:ext cx="278903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𝑪𝑻=$</a:t>
              </a:r>
              <a:r>
                <a:rPr lang="es-MX" sz="14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𝟐𝟏𝟑.𝟓𝟒𝟐.𝟒𝟕𝟔</a:t>
              </a:r>
              <a:r>
                <a:rPr lang="es-CO" sz="14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+$</a:t>
              </a:r>
              <a:r>
                <a:rPr lang="es-MX" sz="14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𝟖.𝟗𝟖𝟖</a:t>
              </a:r>
              <a:r>
                <a:rPr lang="es-CO" sz="14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∗𝑸</a:t>
              </a:r>
              <a:endParaRPr lang="en-US" sz="14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twoCellAnchor>
    <xdr:from>
      <xdr:col>5</xdr:col>
      <xdr:colOff>293077</xdr:colOff>
      <xdr:row>137</xdr:row>
      <xdr:rowOff>87923</xdr:rowOff>
    </xdr:from>
    <xdr:to>
      <xdr:col>5</xdr:col>
      <xdr:colOff>1457531</xdr:colOff>
      <xdr:row>137</xdr:row>
      <xdr:rowOff>211748</xdr:rowOff>
    </xdr:to>
    <xdr:sp macro="" textlink="">
      <xdr:nvSpPr>
        <xdr:cNvPr id="41" name="Flecha derecha 18">
          <a:extLst>
            <a:ext uri="{FF2B5EF4-FFF2-40B4-BE49-F238E27FC236}">
              <a16:creationId xmlns:a16="http://schemas.microsoft.com/office/drawing/2014/main" id="{AF7822CD-F35E-4EC7-807E-A055EB4C554E}"/>
            </a:ext>
          </a:extLst>
        </xdr:cNvPr>
        <xdr:cNvSpPr/>
      </xdr:nvSpPr>
      <xdr:spPr>
        <a:xfrm>
          <a:off x="8694615" y="33020000"/>
          <a:ext cx="1164454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1582616</xdr:colOff>
      <xdr:row>136</xdr:row>
      <xdr:rowOff>127000</xdr:rowOff>
    </xdr:from>
    <xdr:to>
      <xdr:col>7</xdr:col>
      <xdr:colOff>1139020</xdr:colOff>
      <xdr:row>138</xdr:row>
      <xdr:rowOff>105507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C59E6291-ACEB-4A97-ACAB-E1BF3FD04BF1}"/>
            </a:ext>
          </a:extLst>
        </xdr:cNvPr>
        <xdr:cNvSpPr txBox="1"/>
      </xdr:nvSpPr>
      <xdr:spPr>
        <a:xfrm>
          <a:off x="9984154" y="32883231"/>
          <a:ext cx="2750943" cy="4376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Calculado con los costos contables</a:t>
          </a:r>
        </a:p>
      </xdr:txBody>
    </xdr:sp>
    <xdr:clientData/>
  </xdr:twoCellAnchor>
  <xdr:twoCellAnchor>
    <xdr:from>
      <xdr:col>15</xdr:col>
      <xdr:colOff>294410</xdr:colOff>
      <xdr:row>22</xdr:row>
      <xdr:rowOff>86590</xdr:rowOff>
    </xdr:from>
    <xdr:to>
      <xdr:col>16</xdr:col>
      <xdr:colOff>727364</xdr:colOff>
      <xdr:row>24</xdr:row>
      <xdr:rowOff>233794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926541D9-C27A-AB97-33FC-420848961F73}"/>
            </a:ext>
          </a:extLst>
        </xdr:cNvPr>
        <xdr:cNvSpPr txBox="1"/>
      </xdr:nvSpPr>
      <xdr:spPr>
        <a:xfrm>
          <a:off x="25475046" y="5784272"/>
          <a:ext cx="2242704" cy="61479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1"/>
            <a:t>Supuestos:</a:t>
          </a:r>
        </a:p>
        <a:p>
          <a:r>
            <a:rPr lang="es-CO" sz="1100" b="1" baseline="0"/>
            <a:t>1. </a:t>
          </a:r>
          <a:r>
            <a:rPr lang="es-CO" sz="1100" baseline="0"/>
            <a:t>El año tiene 360 días</a:t>
          </a:r>
        </a:p>
        <a:p>
          <a:r>
            <a:rPr lang="es-CO" sz="1100" b="1" baseline="0"/>
            <a:t>2. </a:t>
          </a:r>
          <a:r>
            <a:rPr lang="es-CO" sz="1100" b="0" baseline="0"/>
            <a:t>Se fabrican tortas todos los días</a:t>
          </a:r>
          <a:endParaRPr lang="es-CO" sz="1100" b="1"/>
        </a:p>
      </xdr:txBody>
    </xdr:sp>
    <xdr:clientData/>
  </xdr:twoCellAnchor>
  <xdr:twoCellAnchor>
    <xdr:from>
      <xdr:col>15</xdr:col>
      <xdr:colOff>277091</xdr:colOff>
      <xdr:row>30</xdr:row>
      <xdr:rowOff>138547</xdr:rowOff>
    </xdr:from>
    <xdr:to>
      <xdr:col>17</xdr:col>
      <xdr:colOff>701386</xdr:colOff>
      <xdr:row>32</xdr:row>
      <xdr:rowOff>173184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72C72E67-C2C2-46C5-A869-0FFEEC816E4F}"/>
            </a:ext>
          </a:extLst>
        </xdr:cNvPr>
        <xdr:cNvSpPr txBox="1"/>
      </xdr:nvSpPr>
      <xdr:spPr>
        <a:xfrm>
          <a:off x="25457727" y="7879774"/>
          <a:ext cx="3022023" cy="502228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1">
              <a:latin typeface="Arial" panose="020B0604020202020204" pitchFamily="34" charset="0"/>
              <a:cs typeface="Arial" panose="020B0604020202020204" pitchFamily="34" charset="0"/>
            </a:rPr>
            <a:t>Supuesto: </a:t>
          </a:r>
          <a:r>
            <a:rPr lang="es-CO" sz="1100" b="0">
              <a:latin typeface="Arial" panose="020B0604020202020204" pitchFamily="34" charset="0"/>
              <a:cs typeface="Arial" panose="020B0604020202020204" pitchFamily="34" charset="0"/>
            </a:rPr>
            <a:t>Se</a:t>
          </a:r>
          <a:r>
            <a:rPr lang="es-CO" sz="1100" b="0" baseline="0">
              <a:latin typeface="Arial" panose="020B0604020202020204" pitchFamily="34" charset="0"/>
              <a:cs typeface="Arial" panose="020B0604020202020204" pitchFamily="34" charset="0"/>
            </a:rPr>
            <a:t> asume que los activos se adquiere el año anterior al que se necesitan. </a:t>
          </a:r>
          <a:endParaRPr lang="es-CO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548640</xdr:colOff>
      <xdr:row>14</xdr:row>
      <xdr:rowOff>10160</xdr:rowOff>
    </xdr:from>
    <xdr:to>
      <xdr:col>13</xdr:col>
      <xdr:colOff>0</xdr:colOff>
      <xdr:row>18</xdr:row>
      <xdr:rowOff>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F82193DF-4160-14D2-C0A0-88060776648E}"/>
            </a:ext>
          </a:extLst>
        </xdr:cNvPr>
        <xdr:cNvSpPr txBox="1"/>
      </xdr:nvSpPr>
      <xdr:spPr>
        <a:xfrm>
          <a:off x="8930640" y="4124960"/>
          <a:ext cx="1798320" cy="6807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127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/>
            <a:t>Propietarios</a:t>
          </a:r>
        </a:p>
      </xdr:txBody>
    </xdr:sp>
    <xdr:clientData/>
  </xdr:twoCellAnchor>
  <xdr:twoCellAnchor>
    <xdr:from>
      <xdr:col>10</xdr:col>
      <xdr:colOff>365760</xdr:colOff>
      <xdr:row>20</xdr:row>
      <xdr:rowOff>0</xdr:rowOff>
    </xdr:from>
    <xdr:to>
      <xdr:col>13</xdr:col>
      <xdr:colOff>193040</xdr:colOff>
      <xdr:row>23</xdr:row>
      <xdr:rowOff>172720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68435ED7-CB58-0D46-4718-D5DBA6D0C82E}"/>
            </a:ext>
          </a:extLst>
        </xdr:cNvPr>
        <xdr:cNvSpPr txBox="1"/>
      </xdr:nvSpPr>
      <xdr:spPr>
        <a:xfrm>
          <a:off x="8747760" y="5151120"/>
          <a:ext cx="2174240" cy="69088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/>
            <a:t>Supervisor/a</a:t>
          </a:r>
        </a:p>
      </xdr:txBody>
    </xdr:sp>
    <xdr:clientData/>
  </xdr:twoCellAnchor>
  <xdr:twoCellAnchor>
    <xdr:from>
      <xdr:col>8</xdr:col>
      <xdr:colOff>254000</xdr:colOff>
      <xdr:row>26</xdr:row>
      <xdr:rowOff>0</xdr:rowOff>
    </xdr:from>
    <xdr:to>
      <xdr:col>10</xdr:col>
      <xdr:colOff>487680</xdr:colOff>
      <xdr:row>29</xdr:row>
      <xdr:rowOff>162560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8FFFE251-D635-46FB-97FC-B42EAFF5888D}"/>
            </a:ext>
          </a:extLst>
        </xdr:cNvPr>
        <xdr:cNvSpPr txBox="1"/>
      </xdr:nvSpPr>
      <xdr:spPr>
        <a:xfrm>
          <a:off x="7071360" y="6197600"/>
          <a:ext cx="1798320" cy="6807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/>
            <a:t>Mesero/a</a:t>
          </a:r>
        </a:p>
      </xdr:txBody>
    </xdr:sp>
    <xdr:clientData/>
  </xdr:twoCellAnchor>
  <xdr:twoCellAnchor>
    <xdr:from>
      <xdr:col>10</xdr:col>
      <xdr:colOff>548640</xdr:colOff>
      <xdr:row>26</xdr:row>
      <xdr:rowOff>0</xdr:rowOff>
    </xdr:from>
    <xdr:to>
      <xdr:col>13</xdr:col>
      <xdr:colOff>0</xdr:colOff>
      <xdr:row>29</xdr:row>
      <xdr:rowOff>162560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A37E31B0-C2CA-4414-A1DB-7084D77301B0}"/>
            </a:ext>
          </a:extLst>
        </xdr:cNvPr>
        <xdr:cNvSpPr txBox="1"/>
      </xdr:nvSpPr>
      <xdr:spPr>
        <a:xfrm>
          <a:off x="8930640" y="6197600"/>
          <a:ext cx="1798320" cy="6807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/>
            <a:t>Limpieza</a:t>
          </a:r>
        </a:p>
      </xdr:txBody>
    </xdr:sp>
    <xdr:clientData/>
  </xdr:twoCellAnchor>
  <xdr:twoCellAnchor>
    <xdr:from>
      <xdr:col>15</xdr:col>
      <xdr:colOff>375920</xdr:colOff>
      <xdr:row>26</xdr:row>
      <xdr:rowOff>0</xdr:rowOff>
    </xdr:from>
    <xdr:to>
      <xdr:col>17</xdr:col>
      <xdr:colOff>0</xdr:colOff>
      <xdr:row>29</xdr:row>
      <xdr:rowOff>162560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F17383F-5CB0-4192-9FC4-10B3C0C54706}"/>
            </a:ext>
          </a:extLst>
        </xdr:cNvPr>
        <xdr:cNvSpPr txBox="1"/>
      </xdr:nvSpPr>
      <xdr:spPr>
        <a:xfrm>
          <a:off x="12669520" y="6197600"/>
          <a:ext cx="1798320" cy="6807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/>
            <a:t>Cajero/a</a:t>
          </a:r>
        </a:p>
      </xdr:txBody>
    </xdr:sp>
    <xdr:clientData/>
  </xdr:twoCellAnchor>
  <xdr:twoCellAnchor>
    <xdr:from>
      <xdr:col>13</xdr:col>
      <xdr:colOff>71120</xdr:colOff>
      <xdr:row>26</xdr:row>
      <xdr:rowOff>0</xdr:rowOff>
    </xdr:from>
    <xdr:to>
      <xdr:col>15</xdr:col>
      <xdr:colOff>304800</xdr:colOff>
      <xdr:row>29</xdr:row>
      <xdr:rowOff>162560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222883D3-DDA9-4CC2-B849-644B00551329}"/>
            </a:ext>
          </a:extLst>
        </xdr:cNvPr>
        <xdr:cNvSpPr txBox="1"/>
      </xdr:nvSpPr>
      <xdr:spPr>
        <a:xfrm>
          <a:off x="10800080" y="6197600"/>
          <a:ext cx="1798320" cy="6807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/>
            <a:t>Asistente</a:t>
          </a:r>
        </a:p>
      </xdr:txBody>
    </xdr:sp>
    <xdr:clientData/>
  </xdr:twoCellAnchor>
  <xdr:twoCellAnchor>
    <xdr:from>
      <xdr:col>6</xdr:col>
      <xdr:colOff>152400</xdr:colOff>
      <xdr:row>26</xdr:row>
      <xdr:rowOff>0</xdr:rowOff>
    </xdr:from>
    <xdr:to>
      <xdr:col>8</xdr:col>
      <xdr:colOff>203200</xdr:colOff>
      <xdr:row>29</xdr:row>
      <xdr:rowOff>162560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8E1F334B-D35E-49D6-BE3D-4294EE3DB0ED}"/>
            </a:ext>
          </a:extLst>
        </xdr:cNvPr>
        <xdr:cNvSpPr txBox="1"/>
      </xdr:nvSpPr>
      <xdr:spPr>
        <a:xfrm>
          <a:off x="5222240" y="6197600"/>
          <a:ext cx="1798320" cy="6807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/>
            <a:t>Repostero/a</a:t>
          </a:r>
        </a:p>
      </xdr:txBody>
    </xdr:sp>
    <xdr:clientData/>
  </xdr:twoCellAnchor>
  <xdr:twoCellAnchor>
    <xdr:from>
      <xdr:col>11</xdr:col>
      <xdr:colOff>665480</xdr:colOff>
      <xdr:row>18</xdr:row>
      <xdr:rowOff>0</xdr:rowOff>
    </xdr:from>
    <xdr:to>
      <xdr:col>11</xdr:col>
      <xdr:colOff>670560</xdr:colOff>
      <xdr:row>20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65187024-1F01-6E36-F5D6-D1B05DBD1FE5}"/>
            </a:ext>
          </a:extLst>
        </xdr:cNvPr>
        <xdr:cNvCxnSpPr>
          <a:stCxn id="6" idx="0"/>
          <a:endCxn id="5" idx="2"/>
        </xdr:cNvCxnSpPr>
      </xdr:nvCxnSpPr>
      <xdr:spPr>
        <a:xfrm flipH="1" flipV="1">
          <a:off x="9829800" y="4805680"/>
          <a:ext cx="5080" cy="345440"/>
        </a:xfrm>
        <a:prstGeom prst="line">
          <a:avLst/>
        </a:prstGeom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665480</xdr:colOff>
      <xdr:row>23</xdr:row>
      <xdr:rowOff>172720</xdr:rowOff>
    </xdr:from>
    <xdr:to>
      <xdr:col>11</xdr:col>
      <xdr:colOff>670560</xdr:colOff>
      <xdr:row>26</xdr:row>
      <xdr:rowOff>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179CF1DC-6137-9819-0737-FE72FADCFE31}"/>
            </a:ext>
          </a:extLst>
        </xdr:cNvPr>
        <xdr:cNvCxnSpPr>
          <a:stCxn id="6" idx="2"/>
          <a:endCxn id="9" idx="0"/>
        </xdr:cNvCxnSpPr>
      </xdr:nvCxnSpPr>
      <xdr:spPr>
        <a:xfrm flipH="1">
          <a:off x="9829800" y="5842000"/>
          <a:ext cx="5080" cy="355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107156</xdr:colOff>
      <xdr:row>8</xdr:row>
      <xdr:rowOff>166688</xdr:rowOff>
    </xdr:from>
    <xdr:to>
      <xdr:col>13</xdr:col>
      <xdr:colOff>488156</xdr:colOff>
      <xdr:row>11</xdr:row>
      <xdr:rowOff>21779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E293275-9153-4597-BE73-D15F32776278}"/>
            </a:ext>
          </a:extLst>
        </xdr:cNvPr>
        <xdr:cNvSpPr txBox="1"/>
      </xdr:nvSpPr>
      <xdr:spPr>
        <a:xfrm>
          <a:off x="6203156" y="1690688"/>
          <a:ext cx="4191000" cy="426591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1">
              <a:latin typeface="Arial" panose="020B0604020202020204" pitchFamily="34" charset="0"/>
              <a:cs typeface="Arial" panose="020B0604020202020204" pitchFamily="34" charset="0"/>
            </a:rPr>
            <a:t>Supuesto: </a:t>
          </a:r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inflación de 2027 y 2028 será la misma de 2026.</a:t>
          </a:r>
        </a:p>
      </xdr:txBody>
    </xdr:sp>
    <xdr:clientData/>
  </xdr:twoCellAnchor>
  <xdr:twoCellAnchor>
    <xdr:from>
      <xdr:col>8</xdr:col>
      <xdr:colOff>113109</xdr:colOff>
      <xdr:row>14</xdr:row>
      <xdr:rowOff>136920</xdr:rowOff>
    </xdr:from>
    <xdr:to>
      <xdr:col>13</xdr:col>
      <xdr:colOff>589360</xdr:colOff>
      <xdr:row>21</xdr:row>
      <xdr:rowOff>11905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155A7FC-AAB5-448A-91C4-2140FAB23AD4}"/>
                </a:ext>
              </a:extLst>
            </xdr:cNvPr>
            <xdr:cNvSpPr txBox="1"/>
          </xdr:nvSpPr>
          <xdr:spPr>
            <a:xfrm>
              <a:off x="6209109" y="2803920"/>
              <a:ext cx="4286251" cy="827485"/>
            </a:xfrm>
            <a:prstGeom prst="rect">
              <a:avLst/>
            </a:prstGeom>
            <a:solidFill>
              <a:schemeClr val="bg2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CO" sz="1100" b="1">
                  <a:latin typeface="Arial" panose="020B0604020202020204" pitchFamily="34" charset="0"/>
                  <a:cs typeface="Arial" panose="020B0604020202020204" pitchFamily="34" charset="0"/>
                </a:rPr>
                <a:t>Supuesto: </a:t>
              </a:r>
              <a:r>
                <a:rPr lang="es-CO" sz="1100">
                  <a:latin typeface="Arial" panose="020B0604020202020204" pitchFamily="34" charset="0"/>
                  <a:cs typeface="Arial" panose="020B0604020202020204" pitchFamily="34" charset="0"/>
                </a:rPr>
                <a:t>precio de los activos que requiere el proyecto</a:t>
              </a:r>
              <a:r>
                <a:rPr lang="es-CO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varían según la inflación. </a:t>
              </a:r>
            </a:p>
            <a:p>
              <a:endParaRPr lang="es-CO" sz="1100" baseline="0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𝑃𝑟𝑒𝑐𝑖𝑜𝐴𝑐𝑡𝑖𝑣</m:t>
                    </m:r>
                    <m:sSub>
                      <m:sSubPr>
                        <m:ctrlP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𝑜</m:t>
                        </m:r>
                      </m:e>
                      <m:sub>
                        <m: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2024</m:t>
                        </m:r>
                      </m:sub>
                    </m:sSub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=</m:t>
                    </m:r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𝑃𝑟𝑒𝑐𝑖𝑜𝐴𝑐𝑡𝑖𝑣</m:t>
                    </m:r>
                    <m:sSub>
                      <m:sSubPr>
                        <m:ctrlP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𝑜</m:t>
                        </m:r>
                      </m:e>
                      <m:sub>
                        <m: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2023</m:t>
                        </m:r>
                      </m:sub>
                    </m:sSub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∗(1+</m:t>
                    </m:r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𝐼𝑛𝑓𝑙𝑎𝑐𝑖</m:t>
                    </m:r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ó</m:t>
                    </m:r>
                    <m:sSub>
                      <m:sSubPr>
                        <m:ctrlP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𝑛</m:t>
                        </m:r>
                      </m:e>
                      <m:sub>
                        <m: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2024</m:t>
                        </m:r>
                      </m:sub>
                    </m:sSub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)</m:t>
                    </m:r>
                  </m:oMath>
                </m:oMathPara>
              </a14:m>
              <a:endParaRPr lang="es-CO" sz="1100">
                <a:solidFill>
                  <a:srgbClr val="C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155A7FC-AAB5-448A-91C4-2140FAB23AD4}"/>
                </a:ext>
              </a:extLst>
            </xdr:cNvPr>
            <xdr:cNvSpPr txBox="1"/>
          </xdr:nvSpPr>
          <xdr:spPr>
            <a:xfrm>
              <a:off x="6209109" y="2803920"/>
              <a:ext cx="4286251" cy="827485"/>
            </a:xfrm>
            <a:prstGeom prst="rect">
              <a:avLst/>
            </a:prstGeom>
            <a:solidFill>
              <a:schemeClr val="bg2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CO" sz="1100" b="1">
                  <a:latin typeface="Arial" panose="020B0604020202020204" pitchFamily="34" charset="0"/>
                  <a:cs typeface="Arial" panose="020B0604020202020204" pitchFamily="34" charset="0"/>
                </a:rPr>
                <a:t>Supuesto: </a:t>
              </a:r>
              <a:r>
                <a:rPr lang="es-CO" sz="1100">
                  <a:latin typeface="Arial" panose="020B0604020202020204" pitchFamily="34" charset="0"/>
                  <a:cs typeface="Arial" panose="020B0604020202020204" pitchFamily="34" charset="0"/>
                </a:rPr>
                <a:t>precio de los activos que requiere el proyecto</a:t>
              </a:r>
              <a:r>
                <a:rPr lang="es-CO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varían según la inflación. </a:t>
              </a:r>
            </a:p>
            <a:p>
              <a:endParaRPr lang="es-CO" sz="1100" baseline="0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pPr/>
              <a:r>
                <a:rPr lang="es-CO" sz="1100" b="0" i="0">
                  <a:solidFill>
                    <a:srgbClr val="C00000"/>
                  </a:solidFill>
                  <a:latin typeface="Cambria Math" panose="02040503050406030204" pitchFamily="18" charset="0"/>
                  <a:cs typeface="Arial" panose="020B0604020202020204" pitchFamily="34" charset="0"/>
                </a:rPr>
                <a:t>𝑃𝑟𝑒𝑐𝑖𝑜𝐴𝑐𝑡𝑖𝑣𝑜_2024=𝑃𝑟𝑒𝑐𝑖𝑜𝐴𝑐𝑡𝑖𝑣𝑜_2023∗(1+𝐼𝑛𝑓𝑙𝑎𝑐𝑖ó𝑛_2024)</a:t>
              </a:r>
              <a:endParaRPr lang="es-CO" sz="1100">
                <a:solidFill>
                  <a:srgbClr val="C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  <xdr:twoCellAnchor>
    <xdr:from>
      <xdr:col>8</xdr:col>
      <xdr:colOff>95250</xdr:colOff>
      <xdr:row>57</xdr:row>
      <xdr:rowOff>178593</xdr:rowOff>
    </xdr:from>
    <xdr:to>
      <xdr:col>13</xdr:col>
      <xdr:colOff>571501</xdr:colOff>
      <xdr:row>62</xdr:row>
      <xdr:rowOff>184547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BD071D1-5D95-4B63-B410-D56FCF1AD809}"/>
                </a:ext>
              </a:extLst>
            </xdr:cNvPr>
            <xdr:cNvSpPr txBox="1"/>
          </xdr:nvSpPr>
          <xdr:spPr>
            <a:xfrm>
              <a:off x="6191250" y="9894093"/>
              <a:ext cx="4286251" cy="767954"/>
            </a:xfrm>
            <a:prstGeom prst="rect">
              <a:avLst/>
            </a:prstGeom>
            <a:solidFill>
              <a:schemeClr val="bg2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CO" sz="1100" b="1">
                  <a:latin typeface="Arial" panose="020B0604020202020204" pitchFamily="34" charset="0"/>
                  <a:cs typeface="Arial" panose="020B0604020202020204" pitchFamily="34" charset="0"/>
                </a:rPr>
                <a:t>Supuesto: </a:t>
              </a:r>
              <a:r>
                <a:rPr lang="es-CO" sz="1100">
                  <a:latin typeface="Arial" panose="020B0604020202020204" pitchFamily="34" charset="0"/>
                  <a:cs typeface="Arial" panose="020B0604020202020204" pitchFamily="34" charset="0"/>
                </a:rPr>
                <a:t>los costos fijos</a:t>
              </a:r>
              <a:r>
                <a:rPr lang="es-CO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y variables </a:t>
              </a:r>
              <a:r>
                <a:rPr lang="es-CO" sz="1100">
                  <a:latin typeface="Arial" panose="020B0604020202020204" pitchFamily="34" charset="0"/>
                  <a:cs typeface="Arial" panose="020B0604020202020204" pitchFamily="34" charset="0"/>
                </a:rPr>
                <a:t>que requiere el proyecto</a:t>
              </a:r>
              <a:r>
                <a:rPr lang="es-CO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varían según la inflación. </a:t>
              </a:r>
            </a:p>
            <a:p>
              <a:endParaRPr lang="es-CO" sz="1100" baseline="0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𝐶𝑜𝑠𝑡𝑜𝐹𝑖𝑗</m:t>
                    </m:r>
                    <m:sSub>
                      <m:sSubPr>
                        <m:ctrlP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𝑜</m:t>
                        </m:r>
                      </m:e>
                      <m:sub>
                        <m: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2024</m:t>
                        </m:r>
                      </m:sub>
                    </m:sSub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=</m:t>
                    </m:r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𝐶𝑜𝑠𝑡𝑜𝐹𝑖𝑗</m:t>
                    </m:r>
                    <m:sSub>
                      <m:sSubPr>
                        <m:ctrlP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𝑜</m:t>
                        </m:r>
                      </m:e>
                      <m:sub>
                        <m: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2023</m:t>
                        </m:r>
                      </m:sub>
                    </m:sSub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∗(1+</m:t>
                    </m:r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𝐼𝑛𝑓𝑙𝑎𝑐𝑖</m:t>
                    </m:r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ó</m:t>
                    </m:r>
                    <m:sSub>
                      <m:sSubPr>
                        <m:ctrlP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𝑛</m:t>
                        </m:r>
                      </m:e>
                      <m:sub>
                        <m: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2024</m:t>
                        </m:r>
                      </m:sub>
                    </m:sSub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)</m:t>
                    </m:r>
                  </m:oMath>
                </m:oMathPara>
              </a14:m>
              <a:endParaRPr lang="es-CO" sz="1100">
                <a:solidFill>
                  <a:srgbClr val="C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BD071D1-5D95-4B63-B410-D56FCF1AD809}"/>
                </a:ext>
              </a:extLst>
            </xdr:cNvPr>
            <xdr:cNvSpPr txBox="1"/>
          </xdr:nvSpPr>
          <xdr:spPr>
            <a:xfrm>
              <a:off x="6191250" y="9894093"/>
              <a:ext cx="4286251" cy="767954"/>
            </a:xfrm>
            <a:prstGeom prst="rect">
              <a:avLst/>
            </a:prstGeom>
            <a:solidFill>
              <a:schemeClr val="bg2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CO" sz="1100" b="1">
                  <a:latin typeface="Arial" panose="020B0604020202020204" pitchFamily="34" charset="0"/>
                  <a:cs typeface="Arial" panose="020B0604020202020204" pitchFamily="34" charset="0"/>
                </a:rPr>
                <a:t>Supuesto: </a:t>
              </a:r>
              <a:r>
                <a:rPr lang="es-CO" sz="1100">
                  <a:latin typeface="Arial" panose="020B0604020202020204" pitchFamily="34" charset="0"/>
                  <a:cs typeface="Arial" panose="020B0604020202020204" pitchFamily="34" charset="0"/>
                </a:rPr>
                <a:t>los costos fijos</a:t>
              </a:r>
              <a:r>
                <a:rPr lang="es-CO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y variables </a:t>
              </a:r>
              <a:r>
                <a:rPr lang="es-CO" sz="1100">
                  <a:latin typeface="Arial" panose="020B0604020202020204" pitchFamily="34" charset="0"/>
                  <a:cs typeface="Arial" panose="020B0604020202020204" pitchFamily="34" charset="0"/>
                </a:rPr>
                <a:t>que requiere el proyecto</a:t>
              </a:r>
              <a:r>
                <a:rPr lang="es-CO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varían según la inflación. </a:t>
              </a:r>
            </a:p>
            <a:p>
              <a:endParaRPr lang="es-CO" sz="1100" baseline="0">
                <a:latin typeface="Arial" panose="020B0604020202020204" pitchFamily="34" charset="0"/>
                <a:cs typeface="Arial" panose="020B0604020202020204" pitchFamily="34" charset="0"/>
              </a:endParaRPr>
            </a:p>
            <a:p>
              <a:pPr/>
              <a:r>
                <a:rPr lang="es-CO" sz="1100" b="0" i="0">
                  <a:solidFill>
                    <a:srgbClr val="C00000"/>
                  </a:solidFill>
                  <a:latin typeface="Cambria Math" panose="02040503050406030204" pitchFamily="18" charset="0"/>
                  <a:cs typeface="Arial" panose="020B0604020202020204" pitchFamily="34" charset="0"/>
                </a:rPr>
                <a:t>𝐶𝑜𝑠𝑡𝑜𝐹𝑖𝑗𝑜_2024=𝐶𝑜𝑠𝑡𝑜𝐹𝑖𝑗𝑜_2023∗(1+𝐼𝑛𝑓𝑙𝑎𝑐𝑖ó𝑛_2024)</a:t>
              </a:r>
              <a:endParaRPr lang="es-CO" sz="1100">
                <a:solidFill>
                  <a:srgbClr val="C00000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  <xdr:oneCellAnchor>
    <xdr:from>
      <xdr:col>1</xdr:col>
      <xdr:colOff>291703</xdr:colOff>
      <xdr:row>71</xdr:row>
      <xdr:rowOff>220265</xdr:rowOff>
    </xdr:from>
    <xdr:ext cx="2185598" cy="3469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BC8D66A-5DB2-48AC-8648-3BADAAD9D32A}"/>
                </a:ext>
              </a:extLst>
            </xdr:cNvPr>
            <xdr:cNvSpPr txBox="1"/>
          </xdr:nvSpPr>
          <xdr:spPr>
            <a:xfrm>
              <a:off x="1053703" y="12193190"/>
              <a:ext cx="2185598" cy="3469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𝐶𝑇𝑀𝑒</m:t>
                    </m:r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𝐶𝐹𝑇</m:t>
                        </m:r>
                      </m:num>
                      <m:den>
                        <m: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𝑃𝑟𝑜𝑦𝑒𝑐𝑐𝑖</m:t>
                        </m:r>
                        <m: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𝑉𝑒𝑛𝑡𝑎𝑠</m:t>
                        </m:r>
                      </m:den>
                    </m:f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𝐶𝑉𝑢</m:t>
                    </m:r>
                  </m:oMath>
                </m:oMathPara>
              </a14:m>
              <a:endParaRPr lang="es-CO" sz="1100">
                <a:solidFill>
                  <a:srgbClr val="C00000"/>
                </a:solidFill>
              </a:endParaRPr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BC8D66A-5DB2-48AC-8648-3BADAAD9D32A}"/>
                </a:ext>
              </a:extLst>
            </xdr:cNvPr>
            <xdr:cNvSpPr txBox="1"/>
          </xdr:nvSpPr>
          <xdr:spPr>
            <a:xfrm>
              <a:off x="1053703" y="12193190"/>
              <a:ext cx="2185598" cy="3469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rgbClr val="C00000"/>
                  </a:solidFill>
                  <a:latin typeface="Cambria Math" panose="02040503050406030204" pitchFamily="18" charset="0"/>
                </a:rPr>
                <a:t>𝐶𝑇𝑀𝑒=𝐶𝐹𝑇/(𝑃𝑟𝑜𝑦𝑒𝑐𝑐𝑖ó𝑛 𝑉𝑒𝑛𝑡𝑎𝑠)+𝐶𝑉𝑢</a:t>
              </a:r>
              <a:endParaRPr lang="es-CO" sz="1100">
                <a:solidFill>
                  <a:srgbClr val="C00000"/>
                </a:solidFill>
              </a:endParaRPr>
            </a:p>
          </xdr:txBody>
        </xdr:sp>
      </mc:Fallback>
    </mc:AlternateContent>
    <xdr:clientData/>
  </xdr:oneCellAnchor>
  <xdr:twoCellAnchor>
    <xdr:from>
      <xdr:col>8</xdr:col>
      <xdr:colOff>101204</xdr:colOff>
      <xdr:row>66</xdr:row>
      <xdr:rowOff>29765</xdr:rowOff>
    </xdr:from>
    <xdr:to>
      <xdr:col>13</xdr:col>
      <xdr:colOff>464344</xdr:colOff>
      <xdr:row>73</xdr:row>
      <xdr:rowOff>130969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81BB41A5-99E6-4F72-B624-F06B9A91EE69}"/>
            </a:ext>
          </a:extLst>
        </xdr:cNvPr>
        <xdr:cNvSpPr txBox="1"/>
      </xdr:nvSpPr>
      <xdr:spPr>
        <a:xfrm>
          <a:off x="6197204" y="11269265"/>
          <a:ext cx="4173140" cy="1244204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1">
              <a:latin typeface="Arial" panose="020B0604020202020204" pitchFamily="34" charset="0"/>
              <a:cs typeface="Arial" panose="020B0604020202020204" pitchFamily="34" charset="0"/>
            </a:rPr>
            <a:t>Supuesto: </a:t>
          </a:r>
        </a:p>
        <a:p>
          <a:r>
            <a:rPr lang="es-CO" sz="1100" b="1" baseline="0">
              <a:latin typeface="Arial" panose="020B0604020202020204" pitchFamily="34" charset="0"/>
              <a:cs typeface="Arial" panose="020B0604020202020204" pitchFamily="34" charset="0"/>
            </a:rPr>
            <a:t>1. </a:t>
          </a:r>
          <a:r>
            <a:rPr lang="es-CO" sz="1100" b="0" baseline="0">
              <a:latin typeface="Arial" panose="020B0604020202020204" pitchFamily="34" charset="0"/>
              <a:cs typeface="Arial" panose="020B0604020202020204" pitchFamily="34" charset="0"/>
            </a:rPr>
            <a:t>Para los dos primeros años de operación [2024 y 2025] se espera tener un margen de ganancia de 20%. Para los siguientes años [2026, 2027 y 2028] se espera tener una ganancia de 25%.</a:t>
          </a:r>
        </a:p>
        <a:p>
          <a:endParaRPr lang="es-CO" sz="1100" b="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 b="1" baseline="0">
              <a:latin typeface="Arial" panose="020B0604020202020204" pitchFamily="34" charset="0"/>
              <a:cs typeface="Arial" panose="020B0604020202020204" pitchFamily="34" charset="0"/>
            </a:rPr>
            <a:t>2. </a:t>
          </a:r>
          <a:r>
            <a:rPr lang="es-CO" sz="11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Para los dos primeros años de operación [2024 y 2025] se ofrecerá un descuento máximo a los clientes de 30%. Para los siguientes años [2026, 2027 y 2028] se tendrá un descuento máximo de 20%</a:t>
          </a:r>
          <a:endParaRPr lang="es-CO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s-CO" sz="1100" b="1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1</xdr:col>
      <xdr:colOff>1863991</xdr:colOff>
      <xdr:row>76</xdr:row>
      <xdr:rowOff>74082</xdr:rowOff>
    </xdr:from>
    <xdr:ext cx="2185727" cy="3484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3C74651-EABD-47A6-8AB3-2FACC8A9734D}"/>
                </a:ext>
              </a:extLst>
            </xdr:cNvPr>
            <xdr:cNvSpPr txBox="1"/>
          </xdr:nvSpPr>
          <xdr:spPr>
            <a:xfrm>
              <a:off x="2625991" y="15366999"/>
              <a:ext cx="2185727" cy="3484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𝑃𝑢</m:t>
                    </m:r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𝐶𝑇𝑀𝑒</m:t>
                        </m:r>
                      </m:num>
                      <m:den>
                        <m: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[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rgbClr val="C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rgbClr val="C00000"/>
                                </a:solidFill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s-CO" sz="1100" b="0" i="1">
                                <a:solidFill>
                                  <a:srgbClr val="C00000"/>
                                </a:solidFill>
                                <a:latin typeface="Cambria Math" panose="02040503050406030204" pitchFamily="18" charset="0"/>
                              </a:rPr>
                              <m:t>𝑗</m:t>
                            </m:r>
                          </m:e>
                        </m:d>
                        <m: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rgbClr val="C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rgbClr val="C00000"/>
                                </a:solidFill>
                                <a:latin typeface="Cambria Math" panose="02040503050406030204" pitchFamily="18" charset="0"/>
                              </a:rPr>
                              <m:t>1−%</m:t>
                            </m:r>
                            <m:r>
                              <a:rPr lang="es-CO" sz="1100" b="0" i="1">
                                <a:solidFill>
                                  <a:srgbClr val="C00000"/>
                                </a:solidFill>
                                <a:latin typeface="Cambria Math" panose="02040503050406030204" pitchFamily="18" charset="0"/>
                              </a:rPr>
                              <m:t>𝐷𝑒𝑠𝑐𝑢𝑒𝑛𝑡𝑜</m:t>
                            </m:r>
                          </m:e>
                        </m:d>
                        <m: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]</m:t>
                        </m:r>
                      </m:den>
                    </m:f>
                  </m:oMath>
                </m:oMathPara>
              </a14:m>
              <a:endParaRPr lang="es-CO" sz="1100">
                <a:solidFill>
                  <a:srgbClr val="C00000"/>
                </a:solidFill>
              </a:endParaRPr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3C74651-EABD-47A6-8AB3-2FACC8A9734D}"/>
                </a:ext>
              </a:extLst>
            </xdr:cNvPr>
            <xdr:cNvSpPr txBox="1"/>
          </xdr:nvSpPr>
          <xdr:spPr>
            <a:xfrm>
              <a:off x="2625991" y="15366999"/>
              <a:ext cx="2185727" cy="3484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rgbClr val="C00000"/>
                  </a:solidFill>
                  <a:latin typeface="Cambria Math" panose="02040503050406030204" pitchFamily="18" charset="0"/>
                </a:rPr>
                <a:t>𝑃𝑢=𝐶𝑇𝑀𝑒/([(1−𝑗)∗(1−%𝐷𝑒𝑠𝑐𝑢𝑒𝑛𝑡𝑜)])</a:t>
              </a:r>
              <a:endParaRPr lang="es-CO" sz="1100">
                <a:solidFill>
                  <a:srgbClr val="C00000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2313783</xdr:colOff>
      <xdr:row>78</xdr:row>
      <xdr:rowOff>412750</xdr:rowOff>
    </xdr:from>
    <xdr:ext cx="18249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379505F7-5D29-4C37-8360-50FE46248C75}"/>
                </a:ext>
              </a:extLst>
            </xdr:cNvPr>
            <xdr:cNvSpPr txBox="1"/>
          </xdr:nvSpPr>
          <xdr:spPr>
            <a:xfrm>
              <a:off x="3075783" y="16488833"/>
              <a:ext cx="18249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CO" sz="1100" b="0" i="1">
                            <a:solidFill>
                              <a:srgbClr val="C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sub>
                    </m:sSub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𝑃𝑢</m:t>
                    </m:r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∗(1−%</m:t>
                    </m:r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𝐷𝑒𝑠𝑐𝑢𝑒𝑛𝑡𝑜</m:t>
                    </m:r>
                    <m:r>
                      <a:rPr lang="es-CO" sz="1100" b="0" i="1">
                        <a:solidFill>
                          <a:srgbClr val="C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>
                <a:solidFill>
                  <a:srgbClr val="C00000"/>
                </a:solidFill>
              </a:endParaRPr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379505F7-5D29-4C37-8360-50FE46248C75}"/>
                </a:ext>
              </a:extLst>
            </xdr:cNvPr>
            <xdr:cNvSpPr txBox="1"/>
          </xdr:nvSpPr>
          <xdr:spPr>
            <a:xfrm>
              <a:off x="3075783" y="16488833"/>
              <a:ext cx="18249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rgbClr val="C00000"/>
                  </a:solidFill>
                  <a:latin typeface="Cambria Math" panose="02040503050406030204" pitchFamily="18" charset="0"/>
                </a:rPr>
                <a:t>𝑃_𝐷=𝑃𝑢∗(1−%𝐷𝑒𝑠𝑐𝑢𝑒𝑛𝑡𝑜)</a:t>
              </a:r>
              <a:endParaRPr lang="es-CO" sz="1100">
                <a:solidFill>
                  <a:srgbClr val="C00000"/>
                </a:solidFill>
              </a:endParaRPr>
            </a:p>
          </xdr:txBody>
        </xdr:sp>
      </mc:Fallback>
    </mc:AlternateContent>
    <xdr:clientData/>
  </xdr:oneCellAnchor>
  <xdr:twoCellAnchor>
    <xdr:from>
      <xdr:col>8</xdr:col>
      <xdr:colOff>208360</xdr:colOff>
      <xdr:row>83</xdr:row>
      <xdr:rowOff>17860</xdr:rowOff>
    </xdr:from>
    <xdr:to>
      <xdr:col>13</xdr:col>
      <xdr:colOff>571500</xdr:colOff>
      <xdr:row>89</xdr:row>
      <xdr:rowOff>41672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A77002B7-BEDD-4CD6-B403-BE7030D6A9D8}"/>
            </a:ext>
          </a:extLst>
        </xdr:cNvPr>
        <xdr:cNvSpPr txBox="1"/>
      </xdr:nvSpPr>
      <xdr:spPr>
        <a:xfrm>
          <a:off x="6304360" y="13924360"/>
          <a:ext cx="4173140" cy="785812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1">
              <a:latin typeface="Arial" panose="020B0604020202020204" pitchFamily="34" charset="0"/>
              <a:cs typeface="Arial" panose="020B0604020202020204" pitchFamily="34" charset="0"/>
            </a:rPr>
            <a:t>Supuesto: </a:t>
          </a:r>
        </a:p>
        <a:p>
          <a:r>
            <a:rPr lang="es-CO" sz="1100" b="1" baseline="0">
              <a:latin typeface="Arial" panose="020B0604020202020204" pitchFamily="34" charset="0"/>
              <a:cs typeface="Arial" panose="020B0604020202020204" pitchFamily="34" charset="0"/>
            </a:rPr>
            <a:t>1. </a:t>
          </a:r>
          <a:r>
            <a:rPr lang="es-CO" sz="1100" b="0" baseline="0">
              <a:latin typeface="Arial" panose="020B0604020202020204" pitchFamily="34" charset="0"/>
              <a:cs typeface="Arial" panose="020B0604020202020204" pitchFamily="34" charset="0"/>
            </a:rPr>
            <a:t>Calculará la utilidad del proyecto considerando el precio promocional porque éste será el precio más bajo que los clientes pagarán por los postres de limón.</a:t>
          </a:r>
          <a:endParaRPr lang="es-CO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s-CO" sz="1100" b="1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P48"/>
  <sheetViews>
    <sheetView showGridLines="0" topLeftCell="A14" zoomScale="88" workbookViewId="0">
      <selection activeCell="J39" sqref="J39"/>
    </sheetView>
  </sheetViews>
  <sheetFormatPr baseColWidth="10" defaultColWidth="11.42578125" defaultRowHeight="14.25" x14ac:dyDescent="0.2"/>
  <cols>
    <col min="1" max="1" width="21.42578125" style="1" customWidth="1"/>
    <col min="2" max="16384" width="11.42578125" style="1"/>
  </cols>
  <sheetData>
    <row r="9" spans="1:14" ht="15" x14ac:dyDescent="0.25">
      <c r="A9" s="321" t="s">
        <v>0</v>
      </c>
      <c r="B9" s="321"/>
      <c r="C9" s="321"/>
      <c r="D9" s="321"/>
      <c r="E9" s="321"/>
      <c r="F9" s="321"/>
      <c r="G9" s="321"/>
      <c r="H9" s="321"/>
      <c r="I9" s="321"/>
      <c r="J9" s="321"/>
      <c r="K9" s="321"/>
      <c r="L9" s="321"/>
      <c r="M9" s="321"/>
      <c r="N9" s="321"/>
    </row>
    <row r="10" spans="1:14" ht="15" x14ac:dyDescent="0.25">
      <c r="A10" s="321" t="s">
        <v>1</v>
      </c>
      <c r="B10" s="321"/>
      <c r="C10" s="321"/>
      <c r="D10" s="321"/>
      <c r="E10" s="321"/>
      <c r="F10" s="321"/>
      <c r="G10" s="321"/>
      <c r="H10" s="321"/>
      <c r="I10" s="321"/>
      <c r="J10" s="321"/>
      <c r="K10" s="321"/>
      <c r="L10" s="321"/>
      <c r="M10" s="321"/>
      <c r="N10" s="321"/>
    </row>
    <row r="12" spans="1:14" x14ac:dyDescent="0.2">
      <c r="A12" s="309" t="s">
        <v>2</v>
      </c>
      <c r="B12" s="310"/>
      <c r="C12" s="310"/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1"/>
    </row>
    <row r="13" spans="1:14" x14ac:dyDescent="0.2">
      <c r="A13" s="312"/>
      <c r="B13" s="313"/>
      <c r="C13" s="313"/>
      <c r="D13" s="313"/>
      <c r="E13" s="313"/>
      <c r="F13" s="313"/>
      <c r="G13" s="313"/>
      <c r="H13" s="313"/>
      <c r="I13" s="313"/>
      <c r="J13" s="313"/>
      <c r="K13" s="313"/>
      <c r="L13" s="313"/>
      <c r="M13" s="313"/>
      <c r="N13" s="314"/>
    </row>
    <row r="14" spans="1:14" x14ac:dyDescent="0.2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">
      <c r="A15" s="315" t="s">
        <v>3</v>
      </c>
      <c r="B15" s="318"/>
      <c r="C15" s="319"/>
      <c r="D15" s="319"/>
      <c r="E15" s="319"/>
      <c r="F15" s="319"/>
      <c r="G15" s="319"/>
      <c r="H15" s="319"/>
      <c r="I15" s="319"/>
      <c r="J15" s="319"/>
      <c r="K15" s="319"/>
      <c r="L15" s="319"/>
      <c r="M15" s="319"/>
      <c r="N15" s="320"/>
    </row>
    <row r="16" spans="1:14" x14ac:dyDescent="0.2">
      <c r="A16" s="316"/>
      <c r="B16" s="4">
        <v>2018</v>
      </c>
      <c r="C16" s="5">
        <v>2019</v>
      </c>
      <c r="D16" s="4">
        <v>2020</v>
      </c>
      <c r="E16" s="5">
        <v>2021</v>
      </c>
      <c r="F16" s="4">
        <v>2022</v>
      </c>
      <c r="G16" s="5">
        <v>2023</v>
      </c>
      <c r="H16" s="4">
        <v>2024</v>
      </c>
      <c r="I16" s="5">
        <v>2025</v>
      </c>
      <c r="J16" s="4">
        <v>2026</v>
      </c>
      <c r="K16" s="5">
        <v>2027</v>
      </c>
      <c r="L16" s="4">
        <v>2028</v>
      </c>
      <c r="M16" s="5">
        <v>2029</v>
      </c>
      <c r="N16" s="4">
        <v>2030</v>
      </c>
    </row>
    <row r="17" spans="1:16" x14ac:dyDescent="0.2">
      <c r="A17" s="317"/>
      <c r="B17" s="6" t="s">
        <v>4</v>
      </c>
      <c r="C17" s="7" t="s">
        <v>4</v>
      </c>
      <c r="D17" s="7" t="s">
        <v>4</v>
      </c>
      <c r="E17" s="7" t="s">
        <v>4</v>
      </c>
      <c r="F17" s="7" t="s">
        <v>4</v>
      </c>
      <c r="G17" s="7" t="s">
        <v>4</v>
      </c>
      <c r="H17" s="7" t="s">
        <v>4</v>
      </c>
      <c r="I17" s="7" t="s">
        <v>4</v>
      </c>
      <c r="J17" s="7" t="s">
        <v>4</v>
      </c>
      <c r="K17" s="7" t="s">
        <v>4</v>
      </c>
      <c r="L17" s="7" t="s">
        <v>4</v>
      </c>
      <c r="M17" s="7" t="s">
        <v>4</v>
      </c>
      <c r="N17" s="8" t="s">
        <v>4</v>
      </c>
    </row>
    <row r="18" spans="1:16" x14ac:dyDescent="0.2">
      <c r="A18" s="9" t="s">
        <v>5</v>
      </c>
      <c r="B18" s="10">
        <v>136986</v>
      </c>
      <c r="C18" s="10">
        <v>140218</v>
      </c>
      <c r="D18" s="10">
        <v>143039</v>
      </c>
      <c r="E18" s="10">
        <v>145235</v>
      </c>
      <c r="F18" s="10">
        <v>147382</v>
      </c>
      <c r="G18" s="10">
        <v>149586</v>
      </c>
      <c r="H18" s="10">
        <v>152365</v>
      </c>
      <c r="I18" s="10">
        <v>154823</v>
      </c>
      <c r="J18" s="10">
        <v>157097</v>
      </c>
      <c r="K18" s="10">
        <v>159185</v>
      </c>
      <c r="L18" s="10">
        <v>161056</v>
      </c>
      <c r="M18" s="10">
        <v>162647</v>
      </c>
      <c r="N18" s="11">
        <v>164029</v>
      </c>
    </row>
    <row r="19" spans="1:16" x14ac:dyDescent="0.2">
      <c r="A19" s="12" t="s">
        <v>6</v>
      </c>
      <c r="B19" s="13">
        <v>113064</v>
      </c>
      <c r="C19" s="13">
        <v>115588</v>
      </c>
      <c r="D19" s="13">
        <v>117744</v>
      </c>
      <c r="E19" s="13">
        <v>119374</v>
      </c>
      <c r="F19" s="13">
        <v>120959</v>
      </c>
      <c r="G19" s="13">
        <v>122573</v>
      </c>
      <c r="H19" s="13">
        <v>124610</v>
      </c>
      <c r="I19" s="13">
        <v>126425</v>
      </c>
      <c r="J19" s="13">
        <v>128072</v>
      </c>
      <c r="K19" s="13">
        <v>129542</v>
      </c>
      <c r="L19" s="13">
        <v>130835</v>
      </c>
      <c r="M19" s="13">
        <v>131961</v>
      </c>
      <c r="N19" s="14">
        <v>132892</v>
      </c>
    </row>
    <row r="20" spans="1:16" x14ac:dyDescent="0.2">
      <c r="A20" s="15" t="s">
        <v>7</v>
      </c>
      <c r="B20" s="10">
        <v>164858</v>
      </c>
      <c r="C20" s="10">
        <v>168724</v>
      </c>
      <c r="D20" s="10">
        <v>172090</v>
      </c>
      <c r="E20" s="10">
        <v>174692</v>
      </c>
      <c r="F20" s="10">
        <v>177232</v>
      </c>
      <c r="G20" s="10">
        <v>179793</v>
      </c>
      <c r="H20" s="10">
        <v>182988</v>
      </c>
      <c r="I20" s="10">
        <v>185895</v>
      </c>
      <c r="J20" s="10">
        <v>188577</v>
      </c>
      <c r="K20" s="10">
        <v>190985</v>
      </c>
      <c r="L20" s="10">
        <v>193138</v>
      </c>
      <c r="M20" s="10">
        <v>195105</v>
      </c>
      <c r="N20" s="11">
        <v>196795</v>
      </c>
    </row>
    <row r="21" spans="1:16" x14ac:dyDescent="0.2">
      <c r="A21" s="12" t="s">
        <v>8</v>
      </c>
      <c r="B21" s="13">
        <v>141312</v>
      </c>
      <c r="C21" s="13">
        <v>142990</v>
      </c>
      <c r="D21" s="13">
        <v>144233</v>
      </c>
      <c r="E21" s="13">
        <v>144815</v>
      </c>
      <c r="F21" s="13">
        <v>145325</v>
      </c>
      <c r="G21" s="13">
        <v>145837</v>
      </c>
      <c r="H21" s="13">
        <v>146611</v>
      </c>
      <c r="I21" s="13">
        <v>147250</v>
      </c>
      <c r="J21" s="13">
        <v>147680</v>
      </c>
      <c r="K21" s="13">
        <v>147905</v>
      </c>
      <c r="L21" s="13">
        <v>147885</v>
      </c>
      <c r="M21" s="13">
        <v>147721</v>
      </c>
      <c r="N21" s="14">
        <v>147337</v>
      </c>
    </row>
    <row r="22" spans="1:16" x14ac:dyDescent="0.2">
      <c r="A22" s="15" t="s">
        <v>9</v>
      </c>
      <c r="B22" s="10">
        <v>123992</v>
      </c>
      <c r="C22" s="10">
        <v>125276</v>
      </c>
      <c r="D22" s="10">
        <v>126200</v>
      </c>
      <c r="E22" s="10">
        <v>126587</v>
      </c>
      <c r="F22" s="10">
        <v>126939</v>
      </c>
      <c r="G22" s="10">
        <v>127289</v>
      </c>
      <c r="H22" s="10">
        <v>127722</v>
      </c>
      <c r="I22" s="10">
        <v>128067</v>
      </c>
      <c r="J22" s="10">
        <v>128261</v>
      </c>
      <c r="K22" s="10">
        <v>128292</v>
      </c>
      <c r="L22" s="10">
        <v>128147</v>
      </c>
      <c r="M22" s="10">
        <v>127765</v>
      </c>
      <c r="N22" s="11">
        <v>127202</v>
      </c>
    </row>
    <row r="23" spans="1:16" x14ac:dyDescent="0.2">
      <c r="A23" s="12" t="s">
        <v>10</v>
      </c>
      <c r="B23" s="13">
        <v>177190</v>
      </c>
      <c r="C23" s="13">
        <v>179493</v>
      </c>
      <c r="D23" s="13">
        <v>181235</v>
      </c>
      <c r="E23" s="13">
        <v>182165</v>
      </c>
      <c r="F23" s="13">
        <v>183012</v>
      </c>
      <c r="G23" s="13">
        <v>183889</v>
      </c>
      <c r="H23" s="13">
        <v>185191</v>
      </c>
      <c r="I23" s="13">
        <v>186227</v>
      </c>
      <c r="J23" s="13">
        <v>187015</v>
      </c>
      <c r="K23" s="13">
        <v>187521</v>
      </c>
      <c r="L23" s="13">
        <v>187763</v>
      </c>
      <c r="M23" s="13">
        <v>187738</v>
      </c>
      <c r="N23" s="14">
        <v>187428</v>
      </c>
      <c r="P23" s="239"/>
    </row>
    <row r="24" spans="1:16" x14ac:dyDescent="0.2">
      <c r="A24" s="15" t="s">
        <v>11</v>
      </c>
      <c r="B24" s="10">
        <v>189238</v>
      </c>
      <c r="C24" s="10">
        <v>194042</v>
      </c>
      <c r="D24" s="10">
        <v>198274</v>
      </c>
      <c r="E24" s="10">
        <v>201656</v>
      </c>
      <c r="F24" s="10">
        <v>204954</v>
      </c>
      <c r="G24" s="10">
        <v>208305</v>
      </c>
      <c r="H24" s="10">
        <v>212453</v>
      </c>
      <c r="I24" s="10">
        <v>216194</v>
      </c>
      <c r="J24" s="10">
        <v>219669</v>
      </c>
      <c r="K24" s="10">
        <v>222840</v>
      </c>
      <c r="L24" s="10">
        <v>225717</v>
      </c>
      <c r="M24" s="10">
        <v>228344</v>
      </c>
      <c r="N24" s="11">
        <v>230614</v>
      </c>
    </row>
    <row r="25" spans="1:16" x14ac:dyDescent="0.2">
      <c r="A25" s="12" t="s">
        <v>12</v>
      </c>
      <c r="B25" s="13">
        <v>153216</v>
      </c>
      <c r="C25" s="13">
        <v>157668</v>
      </c>
      <c r="D25" s="13">
        <v>161728</v>
      </c>
      <c r="E25" s="13">
        <v>165061</v>
      </c>
      <c r="F25" s="13">
        <v>168399</v>
      </c>
      <c r="G25" s="13">
        <v>171776</v>
      </c>
      <c r="H25" s="13">
        <v>175756</v>
      </c>
      <c r="I25" s="13">
        <v>179508</v>
      </c>
      <c r="J25" s="13">
        <v>183078</v>
      </c>
      <c r="K25" s="13">
        <v>186425</v>
      </c>
      <c r="L25" s="13">
        <v>189545</v>
      </c>
      <c r="M25" s="13">
        <v>192463</v>
      </c>
      <c r="N25" s="14">
        <v>195149</v>
      </c>
    </row>
    <row r="26" spans="1:16" x14ac:dyDescent="0.2">
      <c r="A26" s="15" t="s">
        <v>13</v>
      </c>
      <c r="B26" s="10">
        <v>155391</v>
      </c>
      <c r="C26" s="10">
        <v>160045</v>
      </c>
      <c r="D26" s="10">
        <v>164279</v>
      </c>
      <c r="E26" s="10">
        <v>167860</v>
      </c>
      <c r="F26" s="10">
        <v>171416</v>
      </c>
      <c r="G26" s="10">
        <v>175014</v>
      </c>
      <c r="H26" s="10">
        <v>179159</v>
      </c>
      <c r="I26" s="10">
        <v>183086</v>
      </c>
      <c r="J26" s="10">
        <v>186832</v>
      </c>
      <c r="K26" s="10">
        <v>190341</v>
      </c>
      <c r="L26" s="10">
        <v>193632</v>
      </c>
      <c r="M26" s="10">
        <v>196755</v>
      </c>
      <c r="N26" s="11">
        <v>199606</v>
      </c>
    </row>
    <row r="27" spans="1:16" x14ac:dyDescent="0.2">
      <c r="A27" s="12" t="s">
        <v>14</v>
      </c>
      <c r="B27" s="13">
        <v>75913</v>
      </c>
      <c r="C27" s="13">
        <v>77053</v>
      </c>
      <c r="D27" s="13">
        <v>77926</v>
      </c>
      <c r="E27" s="13">
        <v>78478</v>
      </c>
      <c r="F27" s="13">
        <v>78937</v>
      </c>
      <c r="G27" s="13">
        <v>79404</v>
      </c>
      <c r="H27" s="13">
        <v>79892</v>
      </c>
      <c r="I27" s="13">
        <v>80444</v>
      </c>
      <c r="J27" s="13">
        <v>80892</v>
      </c>
      <c r="K27" s="13">
        <v>81199</v>
      </c>
      <c r="L27" s="13">
        <v>81409</v>
      </c>
      <c r="M27" s="13">
        <v>81582</v>
      </c>
      <c r="N27" s="14">
        <v>81671</v>
      </c>
    </row>
    <row r="28" spans="1:16" x14ac:dyDescent="0.2">
      <c r="A28" s="15" t="s">
        <v>15</v>
      </c>
      <c r="B28" s="10">
        <v>99904</v>
      </c>
      <c r="C28" s="10">
        <v>100749</v>
      </c>
      <c r="D28" s="10">
        <v>101316</v>
      </c>
      <c r="E28" s="10">
        <v>101473</v>
      </c>
      <c r="F28" s="10">
        <v>101632</v>
      </c>
      <c r="G28" s="10">
        <v>101796</v>
      </c>
      <c r="H28" s="10">
        <v>101396</v>
      </c>
      <c r="I28" s="10">
        <v>101487</v>
      </c>
      <c r="J28" s="10">
        <v>101456</v>
      </c>
      <c r="K28" s="10">
        <v>101296</v>
      </c>
      <c r="L28" s="10">
        <v>101045</v>
      </c>
      <c r="M28" s="10">
        <v>100710</v>
      </c>
      <c r="N28" s="11">
        <v>100257</v>
      </c>
    </row>
    <row r="29" spans="1:16" x14ac:dyDescent="0.2">
      <c r="A29" s="12" t="s">
        <v>16</v>
      </c>
      <c r="B29" s="13">
        <v>85416</v>
      </c>
      <c r="C29" s="13">
        <v>86403</v>
      </c>
      <c r="D29" s="13">
        <v>87128</v>
      </c>
      <c r="E29" s="13">
        <v>87489</v>
      </c>
      <c r="F29" s="13">
        <v>87849</v>
      </c>
      <c r="G29" s="13">
        <v>88207</v>
      </c>
      <c r="H29" s="13">
        <v>88382</v>
      </c>
      <c r="I29" s="13">
        <v>88714</v>
      </c>
      <c r="J29" s="13">
        <v>88925</v>
      </c>
      <c r="K29" s="13">
        <v>89020</v>
      </c>
      <c r="L29" s="13">
        <v>89028</v>
      </c>
      <c r="M29" s="13">
        <v>88931</v>
      </c>
      <c r="N29" s="14">
        <v>88710</v>
      </c>
    </row>
    <row r="30" spans="1:16" x14ac:dyDescent="0.2">
      <c r="A30" s="15" t="s">
        <v>17</v>
      </c>
      <c r="B30" s="10">
        <v>157243</v>
      </c>
      <c r="C30" s="10">
        <v>161562</v>
      </c>
      <c r="D30" s="10">
        <v>165436</v>
      </c>
      <c r="E30" s="10">
        <v>168649</v>
      </c>
      <c r="F30" s="10">
        <v>171854</v>
      </c>
      <c r="G30" s="10">
        <v>175122</v>
      </c>
      <c r="H30" s="10">
        <v>178903</v>
      </c>
      <c r="I30" s="10">
        <v>182447</v>
      </c>
      <c r="J30" s="10">
        <v>185812</v>
      </c>
      <c r="K30" s="10">
        <v>188970</v>
      </c>
      <c r="L30" s="10">
        <v>191916</v>
      </c>
      <c r="M30" s="10">
        <v>194582</v>
      </c>
      <c r="N30" s="11">
        <v>197006</v>
      </c>
    </row>
    <row r="31" spans="1:16" x14ac:dyDescent="0.2">
      <c r="A31" s="12" t="s">
        <v>18</v>
      </c>
      <c r="B31" s="13">
        <v>106805</v>
      </c>
      <c r="C31" s="13">
        <v>108345</v>
      </c>
      <c r="D31" s="13">
        <v>109600</v>
      </c>
      <c r="E31" s="13">
        <v>110479</v>
      </c>
      <c r="F31" s="13">
        <v>111343</v>
      </c>
      <c r="G31" s="13">
        <v>112257</v>
      </c>
      <c r="H31" s="13">
        <v>112850</v>
      </c>
      <c r="I31" s="13">
        <v>113594</v>
      </c>
      <c r="J31" s="13">
        <v>114223</v>
      </c>
      <c r="K31" s="13">
        <v>114730</v>
      </c>
      <c r="L31" s="13">
        <v>115127</v>
      </c>
      <c r="M31" s="13">
        <v>115272</v>
      </c>
      <c r="N31" s="14">
        <v>115267</v>
      </c>
    </row>
    <row r="32" spans="1:16" x14ac:dyDescent="0.2">
      <c r="A32" s="15" t="s">
        <v>19</v>
      </c>
      <c r="B32" s="10">
        <v>64651</v>
      </c>
      <c r="C32" s="10">
        <v>65011</v>
      </c>
      <c r="D32" s="10">
        <v>65146</v>
      </c>
      <c r="E32" s="10">
        <v>65024</v>
      </c>
      <c r="F32" s="10">
        <v>64856</v>
      </c>
      <c r="G32" s="10">
        <v>64713</v>
      </c>
      <c r="H32" s="10">
        <v>64509</v>
      </c>
      <c r="I32" s="10">
        <v>64320</v>
      </c>
      <c r="J32" s="10">
        <v>64052</v>
      </c>
      <c r="K32" s="10">
        <v>63691</v>
      </c>
      <c r="L32" s="10">
        <v>63261</v>
      </c>
      <c r="M32" s="10">
        <v>62714</v>
      </c>
      <c r="N32" s="11">
        <v>62086</v>
      </c>
    </row>
    <row r="33" spans="1:14" x14ac:dyDescent="0.2">
      <c r="A33" s="12" t="s">
        <v>20</v>
      </c>
      <c r="B33" s="13">
        <v>202931</v>
      </c>
      <c r="C33" s="13">
        <v>206745</v>
      </c>
      <c r="D33" s="13">
        <v>210015</v>
      </c>
      <c r="E33" s="13">
        <v>212479</v>
      </c>
      <c r="F33" s="13">
        <v>214967</v>
      </c>
      <c r="G33" s="13">
        <v>217501</v>
      </c>
      <c r="H33" s="13">
        <v>219847</v>
      </c>
      <c r="I33" s="13">
        <v>222266</v>
      </c>
      <c r="J33" s="13">
        <v>224468</v>
      </c>
      <c r="K33" s="13">
        <v>226416</v>
      </c>
      <c r="L33" s="13">
        <v>228107</v>
      </c>
      <c r="M33" s="13">
        <v>229308</v>
      </c>
      <c r="N33" s="14">
        <v>230195</v>
      </c>
    </row>
    <row r="34" spans="1:14" x14ac:dyDescent="0.2">
      <c r="A34" s="16" t="s">
        <v>21</v>
      </c>
      <c r="B34" s="17">
        <v>5474</v>
      </c>
      <c r="C34" s="17">
        <v>5689</v>
      </c>
      <c r="D34" s="17">
        <v>5885</v>
      </c>
      <c r="E34" s="17">
        <v>6073</v>
      </c>
      <c r="F34" s="17">
        <v>6281</v>
      </c>
      <c r="G34" s="17">
        <v>6485</v>
      </c>
      <c r="H34" s="17">
        <v>6712</v>
      </c>
      <c r="I34" s="17">
        <v>6936</v>
      </c>
      <c r="J34" s="17">
        <v>7151</v>
      </c>
      <c r="K34" s="17">
        <v>7365</v>
      </c>
      <c r="L34" s="17">
        <v>7577</v>
      </c>
      <c r="M34" s="17">
        <v>7787</v>
      </c>
      <c r="N34" s="18">
        <v>7989</v>
      </c>
    </row>
    <row r="35" spans="1:14" x14ac:dyDescent="0.2">
      <c r="A35" s="19" t="s">
        <v>22</v>
      </c>
      <c r="B35" s="13">
        <v>116420</v>
      </c>
      <c r="C35" s="13">
        <v>123483</v>
      </c>
      <c r="D35" s="13">
        <v>130514</v>
      </c>
      <c r="E35" s="13">
        <v>137277</v>
      </c>
      <c r="F35" s="13">
        <v>144316</v>
      </c>
      <c r="G35" s="13">
        <v>151677</v>
      </c>
      <c r="H35" s="13">
        <v>160320</v>
      </c>
      <c r="I35" s="13">
        <v>168924</v>
      </c>
      <c r="J35" s="13">
        <v>177709</v>
      </c>
      <c r="K35" s="13">
        <v>186673</v>
      </c>
      <c r="L35" s="13">
        <v>195761</v>
      </c>
      <c r="M35" s="13">
        <v>205111</v>
      </c>
      <c r="N35" s="14">
        <v>214593</v>
      </c>
    </row>
    <row r="36" spans="1:14" x14ac:dyDescent="0.2">
      <c r="A36" s="20" t="s">
        <v>23</v>
      </c>
      <c r="B36" s="10">
        <v>38856</v>
      </c>
      <c r="C36" s="10">
        <v>40150</v>
      </c>
      <c r="D36" s="10">
        <v>41350</v>
      </c>
      <c r="E36" s="10">
        <v>42442</v>
      </c>
      <c r="F36" s="10">
        <v>43556</v>
      </c>
      <c r="G36" s="10">
        <v>44665</v>
      </c>
      <c r="H36" s="10">
        <v>45978</v>
      </c>
      <c r="I36" s="10">
        <v>47189</v>
      </c>
      <c r="J36" s="10">
        <v>48379</v>
      </c>
      <c r="K36" s="10">
        <v>49542</v>
      </c>
      <c r="L36" s="10">
        <v>50641</v>
      </c>
      <c r="M36" s="10">
        <v>51659</v>
      </c>
      <c r="N36" s="11">
        <v>52627</v>
      </c>
    </row>
    <row r="37" spans="1:14" x14ac:dyDescent="0.2">
      <c r="A37" s="19" t="s">
        <v>24</v>
      </c>
      <c r="B37" s="13">
        <v>94801</v>
      </c>
      <c r="C37" s="13">
        <v>99358</v>
      </c>
      <c r="D37" s="13">
        <v>103822</v>
      </c>
      <c r="E37" s="13">
        <v>107996</v>
      </c>
      <c r="F37" s="13">
        <v>112336</v>
      </c>
      <c r="G37" s="13">
        <v>116838</v>
      </c>
      <c r="H37" s="13">
        <v>121944</v>
      </c>
      <c r="I37" s="13">
        <v>126953</v>
      </c>
      <c r="J37" s="13">
        <v>131958</v>
      </c>
      <c r="K37" s="13">
        <v>137011</v>
      </c>
      <c r="L37" s="13">
        <v>142026</v>
      </c>
      <c r="M37" s="13">
        <v>146934</v>
      </c>
      <c r="N37" s="14">
        <v>151793</v>
      </c>
    </row>
    <row r="38" spans="1:14" x14ac:dyDescent="0.2">
      <c r="A38" s="21" t="s">
        <v>25</v>
      </c>
      <c r="B38" s="22">
        <v>23468</v>
      </c>
      <c r="C38" s="22">
        <v>24953</v>
      </c>
      <c r="D38" s="22">
        <v>26464</v>
      </c>
      <c r="E38" s="22">
        <v>27916</v>
      </c>
      <c r="F38" s="22">
        <v>29413</v>
      </c>
      <c r="G38" s="22">
        <v>31002</v>
      </c>
      <c r="H38" s="22">
        <v>32855</v>
      </c>
      <c r="I38" s="22">
        <v>34715</v>
      </c>
      <c r="J38" s="22">
        <v>36606</v>
      </c>
      <c r="K38" s="22">
        <v>38536</v>
      </c>
      <c r="L38" s="22">
        <v>40509</v>
      </c>
      <c r="M38" s="22">
        <v>42551</v>
      </c>
      <c r="N38" s="23">
        <v>44644</v>
      </c>
    </row>
    <row r="39" spans="1:14" x14ac:dyDescent="0.2">
      <c r="A39" s="24" t="s">
        <v>26</v>
      </c>
      <c r="B39" s="25">
        <v>2427129</v>
      </c>
      <c r="C39" s="25">
        <v>2483545</v>
      </c>
      <c r="D39" s="25">
        <v>2533424</v>
      </c>
      <c r="E39" s="25">
        <v>2573220</v>
      </c>
      <c r="F39" s="25">
        <v>2612958</v>
      </c>
      <c r="G39" s="25">
        <v>2653729</v>
      </c>
      <c r="H39" s="25">
        <v>2700443</v>
      </c>
      <c r="I39" s="25">
        <v>2745464</v>
      </c>
      <c r="J39" s="25">
        <v>2787912</v>
      </c>
      <c r="K39" s="25">
        <v>2827485</v>
      </c>
      <c r="L39" s="25">
        <v>2864125</v>
      </c>
      <c r="M39" s="25">
        <v>2897640</v>
      </c>
      <c r="N39" s="26">
        <v>2927890</v>
      </c>
    </row>
    <row r="40" spans="1:14" x14ac:dyDescent="0.2">
      <c r="A40" s="2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</row>
    <row r="41" spans="1:14" x14ac:dyDescent="0.2">
      <c r="A41" s="28" t="s">
        <v>27</v>
      </c>
      <c r="B41" s="28"/>
      <c r="C41" s="28"/>
      <c r="D41" s="28"/>
      <c r="E41" s="28"/>
      <c r="F41" s="28"/>
      <c r="G41" s="28"/>
      <c r="H41" s="28"/>
      <c r="I41" s="27"/>
      <c r="J41" s="27"/>
      <c r="K41" s="27"/>
      <c r="L41" s="27"/>
      <c r="M41" s="27"/>
      <c r="N41" s="27"/>
    </row>
    <row r="42" spans="1:14" x14ac:dyDescent="0.2">
      <c r="A42" s="28" t="s">
        <v>28</v>
      </c>
      <c r="B42" s="28"/>
      <c r="C42" s="28"/>
      <c r="D42" s="28"/>
      <c r="E42" s="28"/>
      <c r="F42" s="28"/>
      <c r="G42" s="28"/>
      <c r="H42" s="28"/>
      <c r="I42" s="27"/>
      <c r="J42" s="27"/>
      <c r="K42" s="27"/>
      <c r="L42" s="27"/>
      <c r="M42" s="27"/>
      <c r="N42" s="27"/>
    </row>
    <row r="43" spans="1:14" x14ac:dyDescent="0.2">
      <c r="A43" s="28"/>
      <c r="B43" s="28"/>
      <c r="C43" s="28"/>
      <c r="D43" s="28"/>
      <c r="E43" s="28"/>
      <c r="F43" s="28"/>
      <c r="G43" s="28"/>
      <c r="H43" s="28"/>
      <c r="I43" s="27"/>
      <c r="J43" s="27"/>
      <c r="K43" s="27"/>
      <c r="L43" s="27"/>
      <c r="M43" s="27"/>
      <c r="N43" s="27"/>
    </row>
    <row r="44" spans="1:14" x14ac:dyDescent="0.2">
      <c r="A44" s="28"/>
      <c r="B44" s="28"/>
      <c r="C44" s="28"/>
      <c r="D44" s="28"/>
      <c r="E44" s="28"/>
      <c r="F44" s="28"/>
      <c r="G44" s="28"/>
      <c r="H44" s="28"/>
      <c r="I44" s="27"/>
      <c r="J44" s="27"/>
      <c r="K44" s="27"/>
      <c r="L44" s="27"/>
      <c r="M44" s="27"/>
      <c r="N44" s="27"/>
    </row>
    <row r="48" spans="1:14" x14ac:dyDescent="0.2">
      <c r="D48" s="242">
        <f>SUM(G18:G33)</f>
        <v>2303062</v>
      </c>
    </row>
  </sheetData>
  <mergeCells count="5">
    <mergeCell ref="A12:N13"/>
    <mergeCell ref="A15:A17"/>
    <mergeCell ref="B15:N15"/>
    <mergeCell ref="A9:N9"/>
    <mergeCell ref="A10:N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4"/>
  <sheetViews>
    <sheetView showGridLines="0" zoomScale="79" zoomScaleNormal="100" workbookViewId="0">
      <selection activeCell="D14" sqref="D14"/>
    </sheetView>
  </sheetViews>
  <sheetFormatPr baseColWidth="10" defaultColWidth="11.42578125" defaultRowHeight="12.75" x14ac:dyDescent="0.25"/>
  <cols>
    <col min="1" max="1" width="4.28515625" style="29" customWidth="1"/>
    <col min="2" max="2" width="32.5703125" style="29" customWidth="1"/>
    <col min="3" max="3" width="15.5703125" style="29" bestFit="1" customWidth="1"/>
    <col min="4" max="8" width="14.28515625" style="29" bestFit="1" customWidth="1"/>
    <col min="9" max="16384" width="11.42578125" style="29"/>
  </cols>
  <sheetData>
    <row r="1" spans="2:8" x14ac:dyDescent="0.25">
      <c r="C1" s="30">
        <v>2023</v>
      </c>
      <c r="D1" s="31">
        <v>2024</v>
      </c>
      <c r="E1" s="31">
        <v>2025</v>
      </c>
      <c r="F1" s="31">
        <v>2026</v>
      </c>
      <c r="G1" s="31">
        <v>2027</v>
      </c>
      <c r="H1" s="31">
        <v>2028</v>
      </c>
    </row>
    <row r="2" spans="2:8" x14ac:dyDescent="0.25">
      <c r="B2" s="32"/>
      <c r="C2" s="33" t="s">
        <v>29</v>
      </c>
      <c r="D2" s="34" t="s">
        <v>30</v>
      </c>
      <c r="E2" s="34" t="s">
        <v>31</v>
      </c>
      <c r="F2" s="34" t="s">
        <v>32</v>
      </c>
      <c r="G2" s="34" t="s">
        <v>33</v>
      </c>
      <c r="H2" s="34" t="s">
        <v>34</v>
      </c>
    </row>
    <row r="3" spans="2:8" ht="25.5" x14ac:dyDescent="0.25">
      <c r="B3" s="35" t="s">
        <v>35</v>
      </c>
      <c r="C3" s="36">
        <f>+Tamaño_Población!D48</f>
        <v>2303062</v>
      </c>
      <c r="D3" s="36">
        <f>SUM(Tamaño_Población!H18:H33)</f>
        <v>2332634</v>
      </c>
      <c r="E3" s="36">
        <f>SUM(Tamaño_Población!I18:I33)</f>
        <v>2360747</v>
      </c>
      <c r="F3" s="36">
        <f>SUM(Tamaño_Población!J18:J33)</f>
        <v>2386109</v>
      </c>
      <c r="G3" s="36">
        <f>SUM(Tamaño_Población!K18:K33)</f>
        <v>2408358</v>
      </c>
      <c r="H3" s="36">
        <f>SUM(Tamaño_Población!L18:L33)</f>
        <v>2427611</v>
      </c>
    </row>
    <row r="4" spans="2:8" ht="57.6" customHeight="1" x14ac:dyDescent="0.25">
      <c r="B4" s="37" t="s">
        <v>252</v>
      </c>
      <c r="C4" s="38">
        <v>385</v>
      </c>
      <c r="D4" s="38">
        <v>385</v>
      </c>
      <c r="E4" s="38">
        <v>385</v>
      </c>
      <c r="F4" s="38">
        <v>385</v>
      </c>
      <c r="G4" s="38">
        <v>385</v>
      </c>
      <c r="H4" s="38">
        <v>385</v>
      </c>
    </row>
    <row r="5" spans="2:8" ht="36.6" customHeight="1" x14ac:dyDescent="0.25">
      <c r="B5" s="243" t="s">
        <v>253</v>
      </c>
      <c r="C5" s="40">
        <v>74</v>
      </c>
      <c r="D5" s="40">
        <v>74</v>
      </c>
      <c r="E5" s="40">
        <v>74</v>
      </c>
      <c r="F5" s="40">
        <v>74</v>
      </c>
      <c r="G5" s="40">
        <v>74</v>
      </c>
      <c r="H5" s="40">
        <v>74</v>
      </c>
    </row>
    <row r="7" spans="2:8" x14ac:dyDescent="0.25">
      <c r="B7" s="29" t="s">
        <v>36</v>
      </c>
      <c r="C7" s="39">
        <v>0.97</v>
      </c>
      <c r="D7" s="39">
        <f>+C7</f>
        <v>0.97</v>
      </c>
      <c r="E7" s="39">
        <f t="shared" ref="E7:H7" si="0">+D7</f>
        <v>0.97</v>
      </c>
      <c r="F7" s="39">
        <f t="shared" si="0"/>
        <v>0.97</v>
      </c>
      <c r="G7" s="39">
        <f t="shared" si="0"/>
        <v>0.97</v>
      </c>
      <c r="H7" s="39">
        <f t="shared" si="0"/>
        <v>0.97</v>
      </c>
    </row>
    <row r="8" spans="2:8" x14ac:dyDescent="0.25">
      <c r="B8" s="29" t="s">
        <v>37</v>
      </c>
      <c r="C8" s="40">
        <v>2</v>
      </c>
      <c r="D8" s="40">
        <f>+C8</f>
        <v>2</v>
      </c>
      <c r="E8" s="40">
        <f t="shared" ref="E8:H8" si="1">+D8</f>
        <v>2</v>
      </c>
      <c r="F8" s="40">
        <f t="shared" si="1"/>
        <v>2</v>
      </c>
      <c r="G8" s="40">
        <f t="shared" si="1"/>
        <v>2</v>
      </c>
      <c r="H8" s="40">
        <f t="shared" si="1"/>
        <v>2</v>
      </c>
    </row>
    <row r="10" spans="2:8" x14ac:dyDescent="0.25">
      <c r="B10" s="41" t="s">
        <v>38</v>
      </c>
      <c r="C10" s="42">
        <f>+C3*C7*C8*52</f>
        <v>232332894.56</v>
      </c>
      <c r="D10" s="42">
        <f>+D3*D7*D8*52</f>
        <v>235316117.91999999</v>
      </c>
      <c r="E10" s="42">
        <f t="shared" ref="E10:H10" si="2">+E3*E7*E8*52</f>
        <v>238152157.35999998</v>
      </c>
      <c r="F10" s="42">
        <f t="shared" si="2"/>
        <v>240710675.91999999</v>
      </c>
      <c r="G10" s="42">
        <f t="shared" si="2"/>
        <v>242955155.03999996</v>
      </c>
      <c r="H10" s="42">
        <f t="shared" si="2"/>
        <v>244897397.68000001</v>
      </c>
    </row>
    <row r="12" spans="2:8" x14ac:dyDescent="0.25">
      <c r="B12" s="29" t="s">
        <v>39</v>
      </c>
      <c r="C12" s="43">
        <v>5.0000000000000001E-4</v>
      </c>
      <c r="D12" s="43">
        <f>+C12</f>
        <v>5.0000000000000001E-4</v>
      </c>
      <c r="E12" s="43">
        <f t="shared" ref="E12:H12" si="3">+D12</f>
        <v>5.0000000000000001E-4</v>
      </c>
      <c r="F12" s="43">
        <f t="shared" si="3"/>
        <v>5.0000000000000001E-4</v>
      </c>
      <c r="G12" s="43">
        <f t="shared" si="3"/>
        <v>5.0000000000000001E-4</v>
      </c>
      <c r="H12" s="43">
        <f t="shared" si="3"/>
        <v>5.0000000000000001E-4</v>
      </c>
    </row>
    <row r="14" spans="2:8" x14ac:dyDescent="0.25">
      <c r="B14" s="29" t="s">
        <v>40</v>
      </c>
      <c r="C14" s="42">
        <f>+C10*C12</f>
        <v>116166.44728000001</v>
      </c>
      <c r="D14" s="44">
        <f>+D10*D12</f>
        <v>117658.05895999999</v>
      </c>
      <c r="E14" s="44">
        <f t="shared" ref="E14:H14" si="4">+E10*E12</f>
        <v>119076.07867999999</v>
      </c>
      <c r="F14" s="44">
        <f t="shared" si="4"/>
        <v>120355.33795999999</v>
      </c>
      <c r="G14" s="44">
        <f t="shared" si="4"/>
        <v>121477.57751999998</v>
      </c>
      <c r="H14" s="44">
        <f t="shared" si="4"/>
        <v>122448.69884000001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184"/>
  <sheetViews>
    <sheetView showGridLines="0" tabSelected="1" topLeftCell="I1" zoomScaleNormal="100" workbookViewId="0">
      <selection activeCell="R6" sqref="R6"/>
    </sheetView>
  </sheetViews>
  <sheetFormatPr baseColWidth="10" defaultColWidth="11.42578125" defaultRowHeight="14.25" x14ac:dyDescent="0.25"/>
  <cols>
    <col min="1" max="1" width="2.140625" style="45" customWidth="1"/>
    <col min="2" max="2" width="65.5703125" style="45" customWidth="1"/>
    <col min="3" max="3" width="14.28515625" style="45" customWidth="1"/>
    <col min="4" max="4" width="18" style="45" customWidth="1"/>
    <col min="5" max="5" width="22.5703125" style="45" bestFit="1" customWidth="1"/>
    <col min="6" max="6" width="23.85546875" style="45" bestFit="1" customWidth="1"/>
    <col min="7" max="8" width="22.7109375" style="133" customWidth="1"/>
    <col min="9" max="9" width="10" style="133" customWidth="1"/>
    <col min="10" max="10" width="42.7109375" style="45" customWidth="1"/>
    <col min="11" max="11" width="18.7109375" style="45" customWidth="1"/>
    <col min="12" max="12" width="18.42578125" style="45" bestFit="1" customWidth="1"/>
    <col min="13" max="13" width="18.140625" style="45" bestFit="1" customWidth="1"/>
    <col min="14" max="14" width="19.28515625" style="45" bestFit="1" customWidth="1"/>
    <col min="15" max="15" width="48" style="45" customWidth="1"/>
    <col min="16" max="16" width="26.42578125" style="45" customWidth="1"/>
    <col min="17" max="16384" width="11.42578125" style="45"/>
  </cols>
  <sheetData>
    <row r="1" spans="2:16" ht="15" thickBot="1" x14ac:dyDescent="0.3"/>
    <row r="2" spans="2:16" ht="21" customHeight="1" thickBot="1" x14ac:dyDescent="0.3">
      <c r="B2" s="326" t="s">
        <v>41</v>
      </c>
      <c r="C2" s="327"/>
      <c r="D2" s="327"/>
      <c r="E2" s="327"/>
      <c r="F2" s="328"/>
      <c r="G2" s="134"/>
      <c r="H2" s="134"/>
      <c r="I2" s="134"/>
      <c r="J2" s="341" t="s">
        <v>42</v>
      </c>
      <c r="K2" s="342"/>
      <c r="L2" s="342"/>
      <c r="M2" s="342"/>
      <c r="N2" s="342"/>
      <c r="O2" s="342"/>
      <c r="P2" s="343"/>
    </row>
    <row r="3" spans="2:16" ht="15" thickBot="1" x14ac:dyDescent="0.3"/>
    <row r="4" spans="2:16" ht="25.5" customHeight="1" thickBot="1" x14ac:dyDescent="0.3">
      <c r="B4" s="344" t="s">
        <v>156</v>
      </c>
      <c r="C4" s="345"/>
      <c r="D4" s="345"/>
      <c r="E4" s="345"/>
      <c r="F4" s="346"/>
      <c r="J4" s="347" t="s">
        <v>175</v>
      </c>
      <c r="K4" s="348"/>
      <c r="L4" s="348"/>
      <c r="M4" s="348"/>
      <c r="N4" s="348"/>
      <c r="O4" s="348"/>
      <c r="P4" s="349"/>
    </row>
    <row r="5" spans="2:16" ht="51.75" customHeight="1" x14ac:dyDescent="0.25">
      <c r="J5" s="50" t="s">
        <v>46</v>
      </c>
      <c r="K5" s="51" t="s">
        <v>47</v>
      </c>
      <c r="L5" s="51" t="s">
        <v>48</v>
      </c>
      <c r="M5" s="51" t="s">
        <v>49</v>
      </c>
      <c r="N5" s="51" t="s">
        <v>50</v>
      </c>
      <c r="O5" s="180" t="s">
        <v>51</v>
      </c>
      <c r="P5" s="52"/>
    </row>
    <row r="6" spans="2:16" s="49" customFormat="1" ht="27.6" customHeight="1" x14ac:dyDescent="0.25">
      <c r="B6" s="46" t="s">
        <v>206</v>
      </c>
      <c r="C6" s="47" t="s">
        <v>43</v>
      </c>
      <c r="D6" s="47" t="s">
        <v>124</v>
      </c>
      <c r="E6" s="47" t="s">
        <v>125</v>
      </c>
      <c r="F6" s="48" t="s">
        <v>45</v>
      </c>
      <c r="G6" s="135"/>
      <c r="H6" s="135"/>
      <c r="I6" s="135"/>
      <c r="J6" s="56" t="s">
        <v>240</v>
      </c>
      <c r="K6" s="53">
        <v>5</v>
      </c>
      <c r="L6" s="57">
        <f>1549900</f>
        <v>1549900</v>
      </c>
      <c r="M6" s="57">
        <f>+L6*K6</f>
        <v>7749500</v>
      </c>
      <c r="N6" s="58">
        <v>10</v>
      </c>
      <c r="O6" s="57">
        <f>+M6/N6</f>
        <v>774950</v>
      </c>
      <c r="P6" s="59"/>
    </row>
    <row r="7" spans="2:16" ht="18.75" customHeight="1" x14ac:dyDescent="0.25">
      <c r="B7" s="45" t="s">
        <v>178</v>
      </c>
      <c r="C7" s="53" t="s">
        <v>185</v>
      </c>
      <c r="D7" s="54">
        <f>4.6*300</f>
        <v>1380</v>
      </c>
      <c r="E7" s="53"/>
      <c r="F7" s="55" t="s">
        <v>158</v>
      </c>
      <c r="G7" s="136"/>
      <c r="H7" s="136"/>
      <c r="I7" s="136"/>
      <c r="J7" s="56" t="s">
        <v>243</v>
      </c>
      <c r="K7" s="53">
        <v>1</v>
      </c>
      <c r="L7" s="57">
        <v>1800000</v>
      </c>
      <c r="M7" s="57">
        <f t="shared" ref="M7:M9" si="0">+L7*K7</f>
        <v>1800000</v>
      </c>
      <c r="N7" s="58">
        <v>10</v>
      </c>
      <c r="O7" s="57">
        <f t="shared" ref="O7:O9" si="1">+M7/N7</f>
        <v>180000</v>
      </c>
      <c r="P7" s="59"/>
    </row>
    <row r="8" spans="2:16" ht="18.75" customHeight="1" x14ac:dyDescent="0.25">
      <c r="B8" s="45" t="s">
        <v>180</v>
      </c>
      <c r="C8" s="53" t="s">
        <v>181</v>
      </c>
      <c r="D8" s="54">
        <f>41.09*60</f>
        <v>2465.4</v>
      </c>
      <c r="E8" s="53"/>
      <c r="F8" s="55" t="s">
        <v>158</v>
      </c>
      <c r="G8" s="136"/>
      <c r="H8" s="136"/>
      <c r="I8" s="136"/>
      <c r="J8" s="56" t="s">
        <v>241</v>
      </c>
      <c r="K8" s="53">
        <v>1</v>
      </c>
      <c r="L8" s="57">
        <v>8000000</v>
      </c>
      <c r="M8" s="57">
        <f t="shared" si="0"/>
        <v>8000000</v>
      </c>
      <c r="N8" s="58">
        <v>10</v>
      </c>
      <c r="O8" s="57">
        <f t="shared" si="1"/>
        <v>800000</v>
      </c>
      <c r="P8" s="59"/>
    </row>
    <row r="9" spans="2:16" ht="18.75" customHeight="1" x14ac:dyDescent="0.25">
      <c r="B9" s="45" t="s">
        <v>182</v>
      </c>
      <c r="C9" s="53" t="s">
        <v>183</v>
      </c>
      <c r="D9" s="54">
        <f>6.06*15</f>
        <v>90.899999999999991</v>
      </c>
      <c r="E9" s="53"/>
      <c r="F9" s="55" t="s">
        <v>158</v>
      </c>
      <c r="G9" s="136"/>
      <c r="H9" s="136"/>
      <c r="I9" s="136"/>
      <c r="J9" s="56" t="s">
        <v>52</v>
      </c>
      <c r="K9" s="53">
        <v>1</v>
      </c>
      <c r="L9" s="57">
        <f>2400000+90000</f>
        <v>2490000</v>
      </c>
      <c r="M9" s="57">
        <f t="shared" si="0"/>
        <v>2490000</v>
      </c>
      <c r="N9" s="58">
        <v>10</v>
      </c>
      <c r="O9" s="57">
        <f t="shared" si="1"/>
        <v>249000</v>
      </c>
      <c r="P9" s="59"/>
    </row>
    <row r="10" spans="2:16" ht="18.75" customHeight="1" x14ac:dyDescent="0.25">
      <c r="B10" s="45" t="s">
        <v>184</v>
      </c>
      <c r="C10" s="53" t="s">
        <v>185</v>
      </c>
      <c r="D10" s="54">
        <f>3.99*300</f>
        <v>1197</v>
      </c>
      <c r="E10" s="53"/>
      <c r="F10" s="55" t="s">
        <v>158</v>
      </c>
      <c r="G10" s="136"/>
      <c r="H10" s="136"/>
      <c r="I10" s="136"/>
      <c r="J10" s="56" t="s">
        <v>54</v>
      </c>
      <c r="K10" s="53">
        <v>3</v>
      </c>
      <c r="L10" s="57">
        <v>3500000</v>
      </c>
      <c r="M10" s="57">
        <f t="shared" ref="M10:M11" si="2">+L10*K10</f>
        <v>10500000</v>
      </c>
      <c r="N10" s="58">
        <v>5</v>
      </c>
      <c r="O10" s="57">
        <f t="shared" ref="O10:O11" si="3">+M10/N10</f>
        <v>2100000</v>
      </c>
      <c r="P10" s="59"/>
    </row>
    <row r="11" spans="2:16" ht="18.75" customHeight="1" x14ac:dyDescent="0.25">
      <c r="B11" s="45" t="s">
        <v>186</v>
      </c>
      <c r="C11" s="53" t="s">
        <v>187</v>
      </c>
      <c r="D11" s="54">
        <v>1330</v>
      </c>
      <c r="E11" s="53"/>
      <c r="F11" s="55" t="s">
        <v>158</v>
      </c>
      <c r="G11" s="136"/>
      <c r="H11" s="136"/>
      <c r="I11" s="136"/>
      <c r="J11" s="56" t="s">
        <v>55</v>
      </c>
      <c r="K11" s="53">
        <v>2</v>
      </c>
      <c r="L11" s="57">
        <v>700000</v>
      </c>
      <c r="M11" s="57">
        <f t="shared" si="2"/>
        <v>1400000</v>
      </c>
      <c r="N11" s="58">
        <v>10</v>
      </c>
      <c r="O11" s="57">
        <f t="shared" si="3"/>
        <v>140000</v>
      </c>
      <c r="P11" s="59"/>
    </row>
    <row r="12" spans="2:16" ht="18.75" customHeight="1" x14ac:dyDescent="0.25">
      <c r="B12" s="45" t="s">
        <v>189</v>
      </c>
      <c r="C12" s="53" t="s">
        <v>188</v>
      </c>
      <c r="D12" s="54">
        <f>32.6*420</f>
        <v>13692</v>
      </c>
      <c r="E12" s="53"/>
      <c r="F12" s="55" t="s">
        <v>158</v>
      </c>
      <c r="G12" s="136"/>
      <c r="H12" s="136"/>
      <c r="I12" s="200"/>
      <c r="J12" s="45" t="s">
        <v>245</v>
      </c>
      <c r="K12" s="53">
        <v>2</v>
      </c>
      <c r="L12" s="57">
        <v>200000</v>
      </c>
      <c r="M12" s="57">
        <f>+L12*K12</f>
        <v>400000</v>
      </c>
      <c r="N12" s="58">
        <v>6</v>
      </c>
      <c r="O12" s="57">
        <f>+M12/N12</f>
        <v>66666.666666666672</v>
      </c>
      <c r="P12" s="59"/>
    </row>
    <row r="13" spans="2:16" ht="18.75" customHeight="1" x14ac:dyDescent="0.25">
      <c r="B13" s="45" t="s">
        <v>190</v>
      </c>
      <c r="C13" s="53" t="s">
        <v>191</v>
      </c>
      <c r="D13" s="54">
        <f>47.57*100</f>
        <v>4757</v>
      </c>
      <c r="E13" s="53"/>
      <c r="F13" s="55" t="s">
        <v>158</v>
      </c>
      <c r="G13" s="136"/>
      <c r="H13" s="136"/>
      <c r="I13" s="200"/>
      <c r="J13" s="45" t="s">
        <v>246</v>
      </c>
      <c r="K13" s="53">
        <v>4</v>
      </c>
      <c r="L13" s="57">
        <v>69900</v>
      </c>
      <c r="M13" s="57">
        <f>+L13*K13</f>
        <v>279600</v>
      </c>
      <c r="N13" s="58">
        <v>6</v>
      </c>
      <c r="O13" s="57">
        <f>+M13/N13</f>
        <v>46600</v>
      </c>
      <c r="P13" s="59"/>
    </row>
    <row r="14" spans="2:16" ht="18.75" customHeight="1" x14ac:dyDescent="0.25">
      <c r="B14" s="45" t="s">
        <v>192</v>
      </c>
      <c r="C14" s="53" t="s">
        <v>193</v>
      </c>
      <c r="D14" s="54">
        <f>86.5*15</f>
        <v>1297.5</v>
      </c>
      <c r="E14" s="53"/>
      <c r="F14" s="55" t="s">
        <v>158</v>
      </c>
      <c r="G14" s="136"/>
      <c r="H14" s="136"/>
      <c r="I14" s="200"/>
      <c r="J14" s="60" t="s">
        <v>244</v>
      </c>
      <c r="K14" s="53">
        <v>10</v>
      </c>
      <c r="L14" s="57">
        <v>39900</v>
      </c>
      <c r="M14" s="57">
        <f>+L14*K14</f>
        <v>399000</v>
      </c>
      <c r="N14" s="58">
        <v>6</v>
      </c>
      <c r="O14" s="57">
        <f>+M14/N14</f>
        <v>66500</v>
      </c>
      <c r="P14" s="59"/>
    </row>
    <row r="15" spans="2:16" ht="18.75" customHeight="1" thickBot="1" x14ac:dyDescent="0.3">
      <c r="B15" s="45" t="s">
        <v>194</v>
      </c>
      <c r="C15" s="53" t="s">
        <v>195</v>
      </c>
      <c r="D15" s="54">
        <v>800</v>
      </c>
      <c r="E15" s="53"/>
      <c r="F15" s="55" t="s">
        <v>158</v>
      </c>
      <c r="G15" s="136"/>
      <c r="H15" s="136"/>
      <c r="I15" s="200"/>
      <c r="J15" s="241" t="s">
        <v>57</v>
      </c>
      <c r="K15" s="202"/>
      <c r="L15" s="203"/>
      <c r="M15" s="203">
        <f>SUM(M6:M14)</f>
        <v>33018100</v>
      </c>
      <c r="N15" s="204"/>
      <c r="O15" s="203">
        <f>SUM(O6:O14)</f>
        <v>4423716.666666667</v>
      </c>
      <c r="P15" s="201"/>
    </row>
    <row r="16" spans="2:16" ht="18.75" customHeight="1" x14ac:dyDescent="0.25">
      <c r="B16" s="45" t="s">
        <v>208</v>
      </c>
      <c r="C16" s="53" t="s">
        <v>196</v>
      </c>
      <c r="D16" s="54">
        <v>24000</v>
      </c>
      <c r="E16" s="53"/>
      <c r="F16" s="55" t="s">
        <v>158</v>
      </c>
      <c r="G16" s="136"/>
      <c r="H16" s="136"/>
      <c r="I16" s="136"/>
      <c r="K16" s="53"/>
      <c r="L16" s="57"/>
      <c r="M16" s="57"/>
      <c r="N16" s="58"/>
      <c r="O16" s="57"/>
    </row>
    <row r="17" spans="2:16" ht="18.75" customHeight="1" x14ac:dyDescent="0.25">
      <c r="B17" s="45" t="s">
        <v>197</v>
      </c>
      <c r="C17" s="53" t="s">
        <v>198</v>
      </c>
      <c r="D17" s="54">
        <f>11.125*370</f>
        <v>4116.25</v>
      </c>
      <c r="E17" s="53"/>
      <c r="F17" s="55" t="s">
        <v>158</v>
      </c>
      <c r="G17" s="136"/>
      <c r="H17" s="136"/>
      <c r="I17" s="136"/>
      <c r="K17" s="53"/>
      <c r="L17" s="57"/>
      <c r="M17" s="57"/>
      <c r="N17" s="58"/>
      <c r="O17" s="57"/>
    </row>
    <row r="18" spans="2:16" ht="18.75" customHeight="1" thickBot="1" x14ac:dyDescent="0.3">
      <c r="B18" s="45" t="s">
        <v>199</v>
      </c>
      <c r="C18" s="53" t="s">
        <v>200</v>
      </c>
      <c r="D18" s="54">
        <f>2.39*7</f>
        <v>16.73</v>
      </c>
      <c r="E18" s="53"/>
      <c r="F18" s="55" t="s">
        <v>158</v>
      </c>
      <c r="G18" s="136"/>
      <c r="H18" s="136"/>
      <c r="I18" s="136"/>
      <c r="K18" s="53"/>
      <c r="L18" s="57"/>
      <c r="M18" s="57"/>
      <c r="N18" s="58"/>
      <c r="O18" s="57"/>
    </row>
    <row r="19" spans="2:16" ht="18.75" customHeight="1" thickBot="1" x14ac:dyDescent="0.3">
      <c r="B19" s="45" t="s">
        <v>201</v>
      </c>
      <c r="C19" s="53" t="s">
        <v>202</v>
      </c>
      <c r="D19" s="54">
        <f>25.49*250</f>
        <v>6372.5</v>
      </c>
      <c r="E19" s="53"/>
      <c r="F19" s="55" t="s">
        <v>158</v>
      </c>
      <c r="G19" s="136"/>
      <c r="H19" s="136"/>
      <c r="I19" s="136"/>
      <c r="J19" s="347" t="s">
        <v>64</v>
      </c>
      <c r="K19" s="348"/>
      <c r="L19" s="348"/>
      <c r="M19" s="348"/>
      <c r="N19" s="348"/>
      <c r="O19" s="348"/>
      <c r="P19" s="349"/>
    </row>
    <row r="20" spans="2:16" ht="18.75" customHeight="1" thickBot="1" x14ac:dyDescent="0.3">
      <c r="B20" s="45" t="s">
        <v>203</v>
      </c>
      <c r="C20" s="53" t="s">
        <v>204</v>
      </c>
      <c r="D20" s="54">
        <f>11.125*450</f>
        <v>5006.25</v>
      </c>
      <c r="E20" s="53"/>
      <c r="F20" s="55" t="s">
        <v>158</v>
      </c>
      <c r="G20" s="136"/>
      <c r="H20" s="136"/>
      <c r="I20" s="136"/>
      <c r="K20" s="53"/>
      <c r="L20" s="57"/>
      <c r="M20" s="57"/>
      <c r="N20" s="58"/>
      <c r="O20" s="57"/>
    </row>
    <row r="21" spans="2:16" ht="18.75" customHeight="1" x14ac:dyDescent="0.25">
      <c r="B21" s="60" t="s">
        <v>205</v>
      </c>
      <c r="C21" s="61" t="s">
        <v>200</v>
      </c>
      <c r="D21" s="62">
        <f>107.38*7</f>
        <v>751.66</v>
      </c>
      <c r="E21" s="61"/>
      <c r="F21" s="55" t="s">
        <v>158</v>
      </c>
      <c r="G21" s="136"/>
      <c r="H21" s="136"/>
      <c r="I21" s="136"/>
      <c r="J21" s="177"/>
      <c r="K21" s="70" t="s">
        <v>29</v>
      </c>
      <c r="L21" s="70" t="s">
        <v>30</v>
      </c>
      <c r="M21" s="70" t="s">
        <v>31</v>
      </c>
      <c r="N21" s="70" t="s">
        <v>32</v>
      </c>
      <c r="O21" s="71" t="s">
        <v>33</v>
      </c>
    </row>
    <row r="22" spans="2:16" ht="18.75" customHeight="1" x14ac:dyDescent="0.25">
      <c r="B22" s="64" t="s">
        <v>53</v>
      </c>
      <c r="C22" s="65"/>
      <c r="D22" s="66">
        <f>+SUM(D7:D21)</f>
        <v>67273.19</v>
      </c>
      <c r="E22" s="66">
        <f>+D22/7</f>
        <v>9610.4557142857138</v>
      </c>
      <c r="F22" s="184"/>
      <c r="G22" s="136"/>
      <c r="H22" s="136"/>
      <c r="I22" s="136"/>
      <c r="J22" s="175"/>
      <c r="K22" s="176">
        <v>2023</v>
      </c>
      <c r="L22" s="176">
        <f>+K22+1</f>
        <v>2024</v>
      </c>
      <c r="M22" s="176">
        <f t="shared" ref="M22:O22" si="4">+L22+1</f>
        <v>2025</v>
      </c>
      <c r="N22" s="176">
        <f t="shared" si="4"/>
        <v>2026</v>
      </c>
      <c r="O22" s="178">
        <f t="shared" si="4"/>
        <v>2027</v>
      </c>
    </row>
    <row r="23" spans="2:16" ht="18.75" customHeight="1" x14ac:dyDescent="0.25">
      <c r="G23" s="136"/>
      <c r="H23" s="136"/>
      <c r="I23" s="136"/>
      <c r="J23" s="72" t="s">
        <v>170</v>
      </c>
      <c r="K23" s="174"/>
      <c r="L23" s="162">
        <f>+'1. ProyecciónVentas'!D14</f>
        <v>117658.05895999999</v>
      </c>
      <c r="M23" s="162">
        <f>+'1. ProyecciónVentas'!E14</f>
        <v>119076.07867999999</v>
      </c>
      <c r="N23" s="162">
        <f>+'1. ProyecciónVentas'!F14</f>
        <v>120355.33795999999</v>
      </c>
      <c r="O23" s="73">
        <f>+'1. ProyecciónVentas'!G14</f>
        <v>121477.57751999998</v>
      </c>
    </row>
    <row r="24" spans="2:16" ht="18.75" customHeight="1" x14ac:dyDescent="0.25">
      <c r="B24" s="60" t="s">
        <v>231</v>
      </c>
      <c r="C24" s="61">
        <v>1</v>
      </c>
      <c r="D24" s="62"/>
      <c r="E24" s="62">
        <v>500</v>
      </c>
      <c r="F24" s="63"/>
      <c r="G24" s="136"/>
      <c r="H24" s="136"/>
      <c r="I24" s="136"/>
      <c r="J24" s="72" t="s">
        <v>68</v>
      </c>
      <c r="K24" s="174"/>
      <c r="L24" s="162">
        <f>+L23/360</f>
        <v>326.82794155555553</v>
      </c>
      <c r="M24" s="162">
        <f t="shared" ref="M24:O24" si="5">+M23/360</f>
        <v>330.76688522222219</v>
      </c>
      <c r="N24" s="162">
        <f t="shared" si="5"/>
        <v>334.32038322222218</v>
      </c>
      <c r="O24" s="73">
        <f t="shared" si="5"/>
        <v>337.43771533333324</v>
      </c>
    </row>
    <row r="25" spans="2:16" ht="18.75" customHeight="1" x14ac:dyDescent="0.25">
      <c r="B25" s="64" t="s">
        <v>56</v>
      </c>
      <c r="C25" s="65"/>
      <c r="D25" s="66">
        <f>+D24</f>
        <v>0</v>
      </c>
      <c r="E25" s="66">
        <f>+E24</f>
        <v>500</v>
      </c>
      <c r="F25" s="67" t="s">
        <v>159</v>
      </c>
      <c r="G25" s="136"/>
      <c r="H25" s="136"/>
      <c r="I25" s="136"/>
      <c r="J25" s="56" t="s">
        <v>70</v>
      </c>
      <c r="L25" s="173">
        <v>5</v>
      </c>
      <c r="M25" s="173"/>
      <c r="N25" s="173"/>
      <c r="O25" s="74"/>
    </row>
    <row r="26" spans="2:16" ht="18.75" customHeight="1" x14ac:dyDescent="0.25">
      <c r="B26" s="140"/>
      <c r="D26" s="185"/>
      <c r="E26" s="185"/>
      <c r="F26" s="55"/>
      <c r="G26" s="136"/>
      <c r="H26" s="136"/>
      <c r="I26" s="136"/>
      <c r="J26" s="56" t="s">
        <v>254</v>
      </c>
      <c r="L26" s="173">
        <v>1</v>
      </c>
      <c r="M26" s="173"/>
      <c r="N26" s="173"/>
      <c r="O26" s="74"/>
    </row>
    <row r="27" spans="2:16" ht="31.9" customHeight="1" x14ac:dyDescent="0.25">
      <c r="B27" s="186" t="s">
        <v>207</v>
      </c>
      <c r="C27" s="47" t="s">
        <v>43</v>
      </c>
      <c r="D27" s="47" t="s">
        <v>124</v>
      </c>
      <c r="E27" s="47" t="s">
        <v>125</v>
      </c>
      <c r="F27" s="48" t="s">
        <v>45</v>
      </c>
      <c r="G27" s="136"/>
      <c r="H27" s="136"/>
      <c r="I27" s="136"/>
      <c r="J27" s="56" t="s">
        <v>255</v>
      </c>
      <c r="L27" s="173">
        <v>1</v>
      </c>
      <c r="M27" s="173"/>
      <c r="N27" s="173"/>
      <c r="O27" s="74"/>
    </row>
    <row r="28" spans="2:16" ht="18.75" customHeight="1" x14ac:dyDescent="0.25">
      <c r="B28" s="45" t="s">
        <v>178</v>
      </c>
      <c r="C28" s="53" t="s">
        <v>185</v>
      </c>
      <c r="D28" s="54">
        <f>4.6*300</f>
        <v>1380</v>
      </c>
      <c r="E28" s="185"/>
      <c r="F28" s="55" t="s">
        <v>158</v>
      </c>
      <c r="G28" s="207"/>
      <c r="H28" s="136"/>
      <c r="I28" s="136"/>
      <c r="J28" s="56" t="s">
        <v>256</v>
      </c>
      <c r="L28" s="173">
        <v>1</v>
      </c>
      <c r="M28" s="173"/>
      <c r="N28" s="173"/>
      <c r="O28" s="74"/>
    </row>
    <row r="29" spans="2:16" ht="18.75" customHeight="1" x14ac:dyDescent="0.25">
      <c r="B29" s="45" t="s">
        <v>182</v>
      </c>
      <c r="C29" s="53" t="s">
        <v>183</v>
      </c>
      <c r="D29" s="54">
        <f>6.06*15</f>
        <v>90.899999999999991</v>
      </c>
      <c r="E29" s="185"/>
      <c r="F29" s="55" t="s">
        <v>158</v>
      </c>
      <c r="G29" s="136"/>
      <c r="H29" s="136"/>
      <c r="I29" s="136"/>
      <c r="J29" s="56" t="s">
        <v>257</v>
      </c>
      <c r="L29" s="173">
        <v>3</v>
      </c>
      <c r="M29" s="173"/>
      <c r="N29" s="173"/>
      <c r="O29" s="245"/>
    </row>
    <row r="30" spans="2:16" ht="18.75" customHeight="1" x14ac:dyDescent="0.25">
      <c r="B30" s="45" t="s">
        <v>205</v>
      </c>
      <c r="C30" s="53" t="s">
        <v>200</v>
      </c>
      <c r="D30" s="54">
        <f>107.38*7</f>
        <v>751.66</v>
      </c>
      <c r="E30" s="185"/>
      <c r="F30" s="55" t="s">
        <v>158</v>
      </c>
      <c r="G30" s="136"/>
      <c r="H30" s="136"/>
      <c r="I30" s="200"/>
      <c r="J30" s="45" t="s">
        <v>258</v>
      </c>
      <c r="L30" s="173">
        <v>2</v>
      </c>
      <c r="M30" s="173"/>
      <c r="N30" s="173"/>
      <c r="O30" s="74"/>
    </row>
    <row r="31" spans="2:16" ht="18.75" customHeight="1" x14ac:dyDescent="0.25">
      <c r="B31" s="45" t="s">
        <v>199</v>
      </c>
      <c r="C31" s="53" t="s">
        <v>200</v>
      </c>
      <c r="D31" s="54">
        <f>2.39*7</f>
        <v>16.73</v>
      </c>
      <c r="E31" s="185"/>
      <c r="F31" s="55" t="s">
        <v>158</v>
      </c>
      <c r="G31" s="136"/>
      <c r="H31" s="136"/>
      <c r="I31" s="200"/>
      <c r="J31" s="45" t="s">
        <v>259</v>
      </c>
      <c r="L31" s="173">
        <v>2</v>
      </c>
      <c r="M31" s="173"/>
      <c r="N31" s="173"/>
      <c r="O31" s="74"/>
    </row>
    <row r="32" spans="2:16" ht="18.75" customHeight="1" x14ac:dyDescent="0.25">
      <c r="B32" s="45" t="s">
        <v>197</v>
      </c>
      <c r="C32" s="53" t="s">
        <v>210</v>
      </c>
      <c r="D32" s="54">
        <f>11.125*350</f>
        <v>3893.75</v>
      </c>
      <c r="E32" s="185"/>
      <c r="F32" s="55" t="s">
        <v>158</v>
      </c>
      <c r="G32" s="136"/>
      <c r="H32" s="136"/>
      <c r="I32" s="200"/>
      <c r="J32" s="45" t="s">
        <v>260</v>
      </c>
      <c r="L32" s="53">
        <v>4</v>
      </c>
      <c r="O32" s="59"/>
    </row>
    <row r="33" spans="2:15" ht="18.75" customHeight="1" thickBot="1" x14ac:dyDescent="0.3">
      <c r="B33" s="45" t="s">
        <v>194</v>
      </c>
      <c r="C33" s="53" t="s">
        <v>195</v>
      </c>
      <c r="D33" s="54">
        <v>800</v>
      </c>
      <c r="E33" s="185"/>
      <c r="F33" s="55" t="s">
        <v>158</v>
      </c>
      <c r="G33" s="136"/>
      <c r="H33" s="136"/>
      <c r="I33" s="200"/>
      <c r="J33" s="77" t="s">
        <v>261</v>
      </c>
      <c r="K33" s="78"/>
      <c r="L33" s="68">
        <v>10</v>
      </c>
      <c r="M33" s="78"/>
      <c r="N33" s="78"/>
      <c r="O33" s="244"/>
    </row>
    <row r="34" spans="2:15" ht="18.75" customHeight="1" x14ac:dyDescent="0.25">
      <c r="B34" s="45" t="s">
        <v>192</v>
      </c>
      <c r="C34" s="53" t="s">
        <v>215</v>
      </c>
      <c r="D34" s="54">
        <f>86.5*75</f>
        <v>6487.5</v>
      </c>
      <c r="E34" s="185"/>
      <c r="F34" s="55" t="s">
        <v>158</v>
      </c>
      <c r="G34" s="136"/>
      <c r="H34" s="136"/>
      <c r="I34" s="136"/>
    </row>
    <row r="35" spans="2:15" ht="18.75" customHeight="1" thickBot="1" x14ac:dyDescent="0.3">
      <c r="B35" s="45" t="s">
        <v>190</v>
      </c>
      <c r="C35" s="53" t="s">
        <v>191</v>
      </c>
      <c r="D35" s="54">
        <f>47.57*100</f>
        <v>4757</v>
      </c>
      <c r="E35" s="185"/>
      <c r="F35" s="55" t="s">
        <v>158</v>
      </c>
      <c r="G35" s="136"/>
      <c r="H35" s="136"/>
      <c r="I35" s="136"/>
      <c r="K35" s="53"/>
      <c r="L35" s="57"/>
      <c r="M35" s="57"/>
      <c r="N35" s="58"/>
      <c r="O35" s="57"/>
    </row>
    <row r="36" spans="2:15" ht="18.75" customHeight="1" x14ac:dyDescent="0.25">
      <c r="B36" s="45" t="s">
        <v>186</v>
      </c>
      <c r="C36" s="53" t="s">
        <v>214</v>
      </c>
      <c r="D36" s="54">
        <v>1330</v>
      </c>
      <c r="E36" s="185"/>
      <c r="F36" s="55" t="s">
        <v>158</v>
      </c>
      <c r="G36" s="136"/>
      <c r="H36" s="136"/>
      <c r="I36" s="136"/>
      <c r="J36" s="79"/>
      <c r="K36" s="70" t="s">
        <v>29</v>
      </c>
      <c r="L36" s="70" t="s">
        <v>30</v>
      </c>
      <c r="M36" s="70" t="s">
        <v>31</v>
      </c>
      <c r="N36" s="70" t="s">
        <v>32</v>
      </c>
      <c r="O36" s="71" t="s">
        <v>33</v>
      </c>
    </row>
    <row r="37" spans="2:15" ht="18.75" customHeight="1" x14ac:dyDescent="0.25">
      <c r="B37" s="45" t="s">
        <v>184</v>
      </c>
      <c r="C37" s="53" t="s">
        <v>185</v>
      </c>
      <c r="D37" s="54">
        <f>3.99*300</f>
        <v>1197</v>
      </c>
      <c r="E37" s="185"/>
      <c r="F37" s="55" t="s">
        <v>158</v>
      </c>
      <c r="G37" s="136"/>
      <c r="H37" s="136"/>
      <c r="I37" s="136"/>
      <c r="J37" s="56" t="s">
        <v>240</v>
      </c>
      <c r="K37" s="53" t="s">
        <v>247</v>
      </c>
      <c r="L37" s="53" t="s">
        <v>171</v>
      </c>
      <c r="M37" s="53" t="s">
        <v>171</v>
      </c>
      <c r="N37" s="53"/>
      <c r="O37" s="101"/>
    </row>
    <row r="38" spans="2:15" ht="18.75" customHeight="1" x14ac:dyDescent="0.25">
      <c r="B38" s="45" t="s">
        <v>209</v>
      </c>
      <c r="C38" s="53" t="s">
        <v>196</v>
      </c>
      <c r="D38" s="54">
        <v>24000</v>
      </c>
      <c r="E38" s="185"/>
      <c r="F38" s="55" t="s">
        <v>158</v>
      </c>
      <c r="G38" s="136"/>
      <c r="H38" s="136"/>
      <c r="I38" s="136"/>
      <c r="J38" s="56" t="s">
        <v>248</v>
      </c>
      <c r="K38" s="53" t="s">
        <v>171</v>
      </c>
      <c r="L38" s="53" t="s">
        <v>171</v>
      </c>
      <c r="M38" s="53"/>
      <c r="N38" s="53"/>
      <c r="O38" s="101"/>
    </row>
    <row r="39" spans="2:15" ht="18.75" customHeight="1" x14ac:dyDescent="0.25">
      <c r="B39" s="45" t="s">
        <v>211</v>
      </c>
      <c r="C39" s="53" t="s">
        <v>179</v>
      </c>
      <c r="D39" s="54">
        <f>39.35*250</f>
        <v>9837.5</v>
      </c>
      <c r="E39" s="185"/>
      <c r="F39" s="55" t="s">
        <v>158</v>
      </c>
      <c r="G39" s="136"/>
      <c r="H39" s="136"/>
      <c r="I39" s="136"/>
      <c r="J39" s="56" t="s">
        <v>249</v>
      </c>
      <c r="K39" s="53" t="s">
        <v>171</v>
      </c>
      <c r="L39" s="53" t="s">
        <v>251</v>
      </c>
      <c r="M39" s="53"/>
      <c r="N39" s="53"/>
      <c r="O39" s="101"/>
    </row>
    <row r="40" spans="2:15" ht="18.75" customHeight="1" x14ac:dyDescent="0.25">
      <c r="B40" s="45" t="s">
        <v>203</v>
      </c>
      <c r="C40" s="53" t="s">
        <v>213</v>
      </c>
      <c r="D40" s="54">
        <f>11.125*200</f>
        <v>2225</v>
      </c>
      <c r="E40" s="185"/>
      <c r="F40" s="55" t="s">
        <v>158</v>
      </c>
      <c r="G40" s="136"/>
      <c r="H40" s="136"/>
      <c r="I40" s="136"/>
      <c r="J40" s="56" t="s">
        <v>52</v>
      </c>
      <c r="K40" s="53" t="s">
        <v>171</v>
      </c>
      <c r="L40" s="53" t="s">
        <v>251</v>
      </c>
      <c r="M40" s="53"/>
      <c r="N40" s="53"/>
      <c r="O40" s="101"/>
    </row>
    <row r="41" spans="2:15" ht="18.75" customHeight="1" x14ac:dyDescent="0.25">
      <c r="B41" s="45" t="s">
        <v>212</v>
      </c>
      <c r="C41" s="53" t="s">
        <v>216</v>
      </c>
      <c r="D41" s="54">
        <f>5.3*500</f>
        <v>2650</v>
      </c>
      <c r="E41" s="185"/>
      <c r="F41" s="55" t="s">
        <v>158</v>
      </c>
      <c r="G41" s="136"/>
      <c r="H41" s="136"/>
      <c r="I41" s="136"/>
      <c r="J41" s="56" t="s">
        <v>54</v>
      </c>
      <c r="K41" s="53" t="s">
        <v>172</v>
      </c>
      <c r="L41" s="53" t="s">
        <v>251</v>
      </c>
      <c r="M41" s="53"/>
      <c r="N41" s="53"/>
      <c r="O41" s="101" t="s">
        <v>171</v>
      </c>
    </row>
    <row r="42" spans="2:15" ht="18.75" customHeight="1" x14ac:dyDescent="0.25">
      <c r="B42" s="187" t="s">
        <v>53</v>
      </c>
      <c r="C42" s="188"/>
      <c r="D42" s="189">
        <f>+SUM(D28:D41)</f>
        <v>59417.04</v>
      </c>
      <c r="E42" s="189">
        <f>+D42/7</f>
        <v>8488.1485714285718</v>
      </c>
      <c r="F42" s="184"/>
      <c r="G42" s="136"/>
      <c r="H42" s="136"/>
      <c r="I42" s="136"/>
      <c r="J42" s="56" t="s">
        <v>55</v>
      </c>
      <c r="K42" s="53" t="s">
        <v>174</v>
      </c>
      <c r="L42" s="53" t="s">
        <v>251</v>
      </c>
      <c r="M42" s="53"/>
      <c r="N42" s="53"/>
      <c r="O42" s="101"/>
    </row>
    <row r="43" spans="2:15" x14ac:dyDescent="0.25">
      <c r="J43" s="56" t="s">
        <v>245</v>
      </c>
      <c r="K43" s="53" t="s">
        <v>174</v>
      </c>
      <c r="L43" s="53" t="s">
        <v>251</v>
      </c>
      <c r="M43" s="53"/>
      <c r="N43" s="53"/>
      <c r="O43" s="101"/>
    </row>
    <row r="44" spans="2:15" ht="18.75" customHeight="1" x14ac:dyDescent="0.25">
      <c r="B44" s="60" t="s">
        <v>231</v>
      </c>
      <c r="C44" s="61">
        <v>1</v>
      </c>
      <c r="D44" s="62"/>
      <c r="E44" s="62">
        <v>500</v>
      </c>
      <c r="F44" s="63"/>
      <c r="G44" s="136"/>
      <c r="H44" s="136"/>
      <c r="I44" s="136"/>
      <c r="J44" s="56" t="s">
        <v>246</v>
      </c>
      <c r="K44" s="53" t="s">
        <v>173</v>
      </c>
      <c r="L44" s="53" t="s">
        <v>251</v>
      </c>
      <c r="M44" s="53"/>
      <c r="N44" s="53"/>
      <c r="O44" s="101"/>
    </row>
    <row r="45" spans="2:15" ht="18.75" customHeight="1" thickBot="1" x14ac:dyDescent="0.3">
      <c r="B45" s="64" t="s">
        <v>56</v>
      </c>
      <c r="C45" s="65"/>
      <c r="D45" s="66">
        <f>+D44</f>
        <v>0</v>
      </c>
      <c r="E45" s="66">
        <f>+E44</f>
        <v>500</v>
      </c>
      <c r="F45" s="67" t="s">
        <v>159</v>
      </c>
      <c r="G45" s="136"/>
      <c r="H45" s="136"/>
      <c r="I45" s="136"/>
      <c r="J45" s="77" t="s">
        <v>244</v>
      </c>
      <c r="K45" s="68" t="s">
        <v>250</v>
      </c>
      <c r="L45" s="68" t="s">
        <v>251</v>
      </c>
      <c r="M45" s="68"/>
      <c r="N45" s="68"/>
      <c r="O45" s="179"/>
    </row>
    <row r="46" spans="2:15" ht="15" thickBot="1" x14ac:dyDescent="0.3">
      <c r="K46" s="53"/>
      <c r="L46" s="57"/>
      <c r="M46" s="57"/>
      <c r="N46" s="58"/>
      <c r="O46" s="57"/>
    </row>
    <row r="47" spans="2:15" ht="25.5" customHeight="1" thickBot="1" x14ac:dyDescent="0.3">
      <c r="B47" s="144" t="s">
        <v>218</v>
      </c>
      <c r="C47" s="142"/>
      <c r="D47" s="142"/>
      <c r="E47" s="143">
        <f>E22+E25</f>
        <v>10110.455714285714</v>
      </c>
      <c r="K47" s="53"/>
      <c r="L47" s="57"/>
      <c r="M47" s="57"/>
      <c r="N47" s="58"/>
      <c r="O47" s="57"/>
    </row>
    <row r="48" spans="2:15" ht="12" customHeight="1" thickBot="1" x14ac:dyDescent="0.3">
      <c r="B48" s="190"/>
      <c r="C48" s="127"/>
      <c r="D48" s="127"/>
      <c r="E48" s="185"/>
    </row>
    <row r="49" spans="2:16" ht="26.45" customHeight="1" thickBot="1" x14ac:dyDescent="0.3">
      <c r="B49" s="144" t="s">
        <v>219</v>
      </c>
      <c r="C49" s="191"/>
      <c r="D49" s="191"/>
      <c r="E49" s="143">
        <f>E42+E45</f>
        <v>8988.1485714285718</v>
      </c>
      <c r="F49" s="206"/>
      <c r="K49" s="53"/>
      <c r="L49" s="57"/>
      <c r="M49" s="57"/>
      <c r="N49" s="58"/>
      <c r="O49" s="57"/>
    </row>
    <row r="50" spans="2:16" ht="15" thickBot="1" x14ac:dyDescent="0.3">
      <c r="K50" s="53"/>
      <c r="L50" s="57"/>
      <c r="M50" s="57"/>
      <c r="N50" s="58"/>
      <c r="O50" s="57"/>
    </row>
    <row r="51" spans="2:16" ht="24" customHeight="1" x14ac:dyDescent="0.25">
      <c r="B51" s="197" t="s">
        <v>126</v>
      </c>
      <c r="C51" s="198"/>
      <c r="D51" s="198"/>
      <c r="E51" s="199"/>
      <c r="F51" s="199"/>
      <c r="K51" s="53"/>
      <c r="L51" s="57"/>
      <c r="M51" s="57"/>
      <c r="N51" s="58"/>
      <c r="O51" s="57"/>
      <c r="P51" s="127"/>
    </row>
    <row r="52" spans="2:16" ht="24" customHeight="1" x14ac:dyDescent="0.25">
      <c r="B52" s="192" t="s">
        <v>220</v>
      </c>
      <c r="C52" s="118"/>
      <c r="D52" s="118"/>
      <c r="E52" s="193" t="s">
        <v>229</v>
      </c>
      <c r="F52" s="235">
        <f>+E22*E134</f>
        <v>181119535.42338303</v>
      </c>
    </row>
    <row r="53" spans="2:16" ht="24" customHeight="1" thickBot="1" x14ac:dyDescent="0.3">
      <c r="B53" s="194" t="s">
        <v>221</v>
      </c>
      <c r="C53" s="195"/>
      <c r="D53" s="195"/>
      <c r="E53" s="196" t="s">
        <v>230</v>
      </c>
      <c r="F53" s="236">
        <f>+E42*F134</f>
        <v>128446657.90554261</v>
      </c>
    </row>
    <row r="54" spans="2:16" ht="15.75" thickBot="1" x14ac:dyDescent="0.3">
      <c r="J54" s="140"/>
      <c r="K54" s="53"/>
      <c r="L54" s="57"/>
      <c r="M54" s="141"/>
      <c r="N54" s="58"/>
      <c r="O54" s="141"/>
    </row>
    <row r="55" spans="2:16" ht="26.25" customHeight="1" thickBot="1" x14ac:dyDescent="0.3">
      <c r="B55" s="344" t="s">
        <v>157</v>
      </c>
      <c r="C55" s="345"/>
      <c r="D55" s="345"/>
      <c r="E55" s="345"/>
      <c r="F55" s="346"/>
    </row>
    <row r="56" spans="2:16" ht="15" x14ac:dyDescent="0.25">
      <c r="J56" s="140"/>
      <c r="K56" s="53"/>
      <c r="L56" s="57"/>
      <c r="M56" s="141"/>
      <c r="N56" s="58"/>
      <c r="O56" s="141"/>
    </row>
    <row r="57" spans="2:16" ht="27" customHeight="1" x14ac:dyDescent="0.25">
      <c r="B57" s="46" t="s">
        <v>128</v>
      </c>
      <c r="C57" s="47" t="s">
        <v>47</v>
      </c>
      <c r="D57" s="47" t="s">
        <v>127</v>
      </c>
      <c r="E57" s="47" t="s">
        <v>58</v>
      </c>
      <c r="F57" s="47" t="s">
        <v>59</v>
      </c>
      <c r="G57" s="48" t="s">
        <v>45</v>
      </c>
      <c r="H57" s="135"/>
      <c r="I57" s="135"/>
      <c r="J57" s="140"/>
      <c r="K57" s="53"/>
      <c r="L57" s="57"/>
      <c r="M57" s="141"/>
      <c r="N57" s="58"/>
      <c r="O57" s="141"/>
    </row>
    <row r="58" spans="2:16" ht="18.75" customHeight="1" x14ac:dyDescent="0.25">
      <c r="B58" s="45" t="s">
        <v>222</v>
      </c>
      <c r="C58" s="53">
        <v>1</v>
      </c>
      <c r="D58" s="54">
        <v>1400000</v>
      </c>
      <c r="E58" s="54">
        <f>+'3. EstudioOrganizacional'!V4</f>
        <v>2318217.06</v>
      </c>
      <c r="F58" s="54">
        <f t="shared" ref="F58:F63" si="6">+E58*12*C58</f>
        <v>27818604.719999999</v>
      </c>
      <c r="G58" s="55" t="s">
        <v>163</v>
      </c>
      <c r="H58" s="136"/>
      <c r="I58" s="136"/>
    </row>
    <row r="59" spans="2:16" ht="18.75" customHeight="1" x14ac:dyDescent="0.25">
      <c r="B59" s="45" t="s">
        <v>217</v>
      </c>
      <c r="C59" s="53">
        <v>1</v>
      </c>
      <c r="D59" s="54">
        <v>1160000</v>
      </c>
      <c r="E59" s="54">
        <f>+'3. EstudioOrganizacional'!V5</f>
        <v>1933023.4599999997</v>
      </c>
      <c r="F59" s="54">
        <f t="shared" si="6"/>
        <v>23196281.519999996</v>
      </c>
      <c r="G59" s="55" t="s">
        <v>164</v>
      </c>
      <c r="H59" s="136"/>
      <c r="I59" s="136"/>
      <c r="J59" s="127"/>
      <c r="K59" s="127"/>
      <c r="L59" s="127"/>
      <c r="M59" s="127"/>
      <c r="N59" s="127"/>
      <c r="O59" s="127"/>
    </row>
    <row r="60" spans="2:16" ht="18.75" customHeight="1" x14ac:dyDescent="0.25">
      <c r="B60" s="45" t="s">
        <v>223</v>
      </c>
      <c r="C60" s="53">
        <v>1</v>
      </c>
      <c r="D60" s="54">
        <v>2200000</v>
      </c>
      <c r="E60" s="54">
        <f>+'3. EstudioOrganizacional'!V6</f>
        <v>3506263.7266666666</v>
      </c>
      <c r="F60" s="54">
        <f t="shared" si="6"/>
        <v>42075164.719999999</v>
      </c>
      <c r="G60" s="55" t="s">
        <v>164</v>
      </c>
      <c r="H60" s="136"/>
      <c r="I60" s="136"/>
    </row>
    <row r="61" spans="2:16" ht="18.75" customHeight="1" x14ac:dyDescent="0.25">
      <c r="B61" s="45" t="s">
        <v>224</v>
      </c>
      <c r="C61" s="53">
        <v>1</v>
      </c>
      <c r="D61" s="54">
        <v>1200000</v>
      </c>
      <c r="E61" s="54">
        <f>'3. EstudioOrganizacional'!V7</f>
        <v>1987710.3933333333</v>
      </c>
      <c r="F61" s="54">
        <f t="shared" si="6"/>
        <v>23852524.719999999</v>
      </c>
      <c r="G61" s="55" t="s">
        <v>164</v>
      </c>
      <c r="H61" s="136"/>
      <c r="I61" s="136"/>
    </row>
    <row r="62" spans="2:16" ht="18.75" customHeight="1" x14ac:dyDescent="0.25">
      <c r="B62" s="45" t="s">
        <v>225</v>
      </c>
      <c r="C62" s="53">
        <v>1</v>
      </c>
      <c r="D62" s="54">
        <v>1160000</v>
      </c>
      <c r="E62" s="54">
        <f>'3. EstudioOrganizacional'!V8</f>
        <v>1933023.4599999997</v>
      </c>
      <c r="F62" s="54">
        <f t="shared" si="6"/>
        <v>23196281.519999996</v>
      </c>
      <c r="G62" s="55" t="s">
        <v>164</v>
      </c>
      <c r="H62" s="136"/>
      <c r="I62" s="136"/>
    </row>
    <row r="63" spans="2:16" ht="18.75" customHeight="1" x14ac:dyDescent="0.25">
      <c r="B63" s="60" t="s">
        <v>62</v>
      </c>
      <c r="C63" s="61">
        <v>1</v>
      </c>
      <c r="D63" s="62">
        <v>1160000</v>
      </c>
      <c r="E63" s="62">
        <f>+'3. EstudioOrganizacional'!V9</f>
        <v>1926968.2599999998</v>
      </c>
      <c r="F63" s="62">
        <f t="shared" si="6"/>
        <v>23123619.119999997</v>
      </c>
      <c r="G63" s="55" t="s">
        <v>164</v>
      </c>
      <c r="H63" s="136"/>
      <c r="I63" s="136"/>
    </row>
    <row r="64" spans="2:16" ht="18.75" customHeight="1" x14ac:dyDescent="0.25">
      <c r="B64" s="64" t="s">
        <v>63</v>
      </c>
      <c r="C64" s="65"/>
      <c r="D64" s="66">
        <f>+SUM(D58:D63)</f>
        <v>8280000</v>
      </c>
      <c r="E64" s="66">
        <f>+SUM(E58:E63)</f>
        <v>13605206.359999998</v>
      </c>
      <c r="F64" s="66">
        <f>+SUM(F58:F63)</f>
        <v>163262476.31999999</v>
      </c>
      <c r="G64" s="67"/>
      <c r="H64" s="136"/>
      <c r="I64" s="136"/>
    </row>
    <row r="67" spans="2:16" ht="17.25" customHeight="1" x14ac:dyDescent="0.25">
      <c r="B67" s="69" t="s">
        <v>65</v>
      </c>
      <c r="D67" s="69"/>
      <c r="E67" s="54">
        <v>70000</v>
      </c>
      <c r="F67" s="54">
        <f>+E67*12</f>
        <v>840000</v>
      </c>
      <c r="G67" s="55" t="s">
        <v>164</v>
      </c>
      <c r="H67" s="136"/>
      <c r="I67" s="136"/>
    </row>
    <row r="68" spans="2:16" ht="17.25" customHeight="1" x14ac:dyDescent="0.25">
      <c r="B68" s="69" t="s">
        <v>66</v>
      </c>
      <c r="D68" s="69"/>
      <c r="E68" s="54">
        <v>500000</v>
      </c>
      <c r="F68" s="54">
        <f>+E68*12</f>
        <v>6000000</v>
      </c>
      <c r="G68" s="55" t="s">
        <v>164</v>
      </c>
      <c r="H68" s="136"/>
      <c r="I68" s="136"/>
    </row>
    <row r="69" spans="2:16" ht="17.25" customHeight="1" x14ac:dyDescent="0.25">
      <c r="B69" s="69" t="s">
        <v>67</v>
      </c>
      <c r="D69" s="69"/>
      <c r="E69" s="54">
        <v>3500000</v>
      </c>
      <c r="F69" s="54">
        <f>+E69*12</f>
        <v>42000000</v>
      </c>
      <c r="G69" s="55" t="s">
        <v>164</v>
      </c>
      <c r="H69" s="136"/>
      <c r="I69" s="136"/>
    </row>
    <row r="70" spans="2:16" ht="17.25" customHeight="1" x14ac:dyDescent="0.25">
      <c r="B70" s="169" t="s">
        <v>228</v>
      </c>
      <c r="C70" s="60"/>
      <c r="D70" s="169"/>
      <c r="E70" s="62">
        <v>120000</v>
      </c>
      <c r="F70" s="62">
        <f>+E70*12</f>
        <v>1440000</v>
      </c>
      <c r="G70" s="55" t="s">
        <v>164</v>
      </c>
      <c r="H70" s="136"/>
      <c r="I70" s="136"/>
      <c r="L70" s="173"/>
      <c r="M70" s="173"/>
      <c r="N70" s="173"/>
      <c r="O70" s="173"/>
    </row>
    <row r="71" spans="2:16" ht="17.25" customHeight="1" x14ac:dyDescent="0.25">
      <c r="B71" s="64" t="s">
        <v>69</v>
      </c>
      <c r="C71" s="65"/>
      <c r="D71" s="64"/>
      <c r="E71" s="66">
        <f>+SUM(E67:E70)</f>
        <v>4190000</v>
      </c>
      <c r="F71" s="66">
        <f>+SUM(F67:F70)</f>
        <v>50280000</v>
      </c>
      <c r="G71" s="67"/>
      <c r="H71" s="136"/>
      <c r="I71" s="136"/>
      <c r="L71" s="173"/>
      <c r="M71" s="173"/>
      <c r="N71" s="173"/>
      <c r="O71" s="173"/>
    </row>
    <row r="72" spans="2:16" ht="15" thickBot="1" x14ac:dyDescent="0.3"/>
    <row r="73" spans="2:16" ht="26.25" customHeight="1" thickBot="1" x14ac:dyDescent="0.3">
      <c r="B73" s="145" t="s">
        <v>165</v>
      </c>
      <c r="C73" s="146"/>
      <c r="D73" s="146"/>
      <c r="E73" s="170"/>
      <c r="F73" s="171">
        <f>+F64+F71</f>
        <v>213542476.31999999</v>
      </c>
    </row>
    <row r="74" spans="2:16" ht="15" thickBot="1" x14ac:dyDescent="0.3"/>
    <row r="75" spans="2:16" ht="20.25" customHeight="1" thickBot="1" x14ac:dyDescent="0.3">
      <c r="B75" s="75" t="s">
        <v>71</v>
      </c>
      <c r="C75" s="75"/>
      <c r="D75" s="75"/>
      <c r="E75" s="76"/>
      <c r="F75" s="182">
        <f>+O15</f>
        <v>4423716.666666667</v>
      </c>
      <c r="G75" s="181" t="s">
        <v>176</v>
      </c>
      <c r="H75" s="136"/>
      <c r="I75" s="136"/>
      <c r="P75" s="233"/>
    </row>
    <row r="76" spans="2:16" ht="15" thickBot="1" x14ac:dyDescent="0.3"/>
    <row r="77" spans="2:16" ht="21.75" customHeight="1" thickBot="1" x14ac:dyDescent="0.3">
      <c r="B77" s="326" t="s">
        <v>72</v>
      </c>
      <c r="C77" s="327"/>
      <c r="D77" s="327"/>
      <c r="E77" s="327"/>
      <c r="F77" s="328"/>
      <c r="G77" s="134"/>
      <c r="H77" s="134"/>
      <c r="I77" s="134"/>
    </row>
    <row r="78" spans="2:16" ht="21.75" customHeight="1" x14ac:dyDescent="0.25">
      <c r="B78" s="127"/>
      <c r="C78" s="127"/>
      <c r="D78" s="127"/>
      <c r="E78" s="127"/>
      <c r="F78" s="127"/>
      <c r="G78" s="134"/>
      <c r="H78" s="134"/>
      <c r="I78" s="134"/>
    </row>
    <row r="79" spans="2:16" ht="15" thickBot="1" x14ac:dyDescent="0.3">
      <c r="D79" s="219">
        <v>2023</v>
      </c>
      <c r="E79" s="220">
        <v>2023</v>
      </c>
    </row>
    <row r="80" spans="2:16" ht="15" x14ac:dyDescent="0.25">
      <c r="B80" s="80"/>
      <c r="C80" s="81"/>
      <c r="D80" s="217" t="s">
        <v>221</v>
      </c>
      <c r="E80" s="218" t="s">
        <v>220</v>
      </c>
    </row>
    <row r="81" spans="2:15" x14ac:dyDescent="0.25">
      <c r="B81" s="56"/>
      <c r="E81" s="59"/>
    </row>
    <row r="82" spans="2:15" ht="16.5" customHeight="1" thickBot="1" x14ac:dyDescent="0.3">
      <c r="B82" s="56" t="s">
        <v>74</v>
      </c>
      <c r="D82" s="54">
        <f>+F73</f>
        <v>213542476.31999999</v>
      </c>
      <c r="E82" s="91">
        <f>+F73</f>
        <v>213542476.31999999</v>
      </c>
    </row>
    <row r="83" spans="2:15" ht="16.5" customHeight="1" thickBot="1" x14ac:dyDescent="0.3">
      <c r="B83" s="56" t="s">
        <v>75</v>
      </c>
      <c r="D83" s="54">
        <f>+D82+F75</f>
        <v>217966192.98666665</v>
      </c>
      <c r="E83" s="91">
        <f>+F75+E82</f>
        <v>217966192.98666665</v>
      </c>
      <c r="J83" s="231" t="s">
        <v>78</v>
      </c>
      <c r="K83" s="232"/>
      <c r="L83" s="232"/>
      <c r="M83" s="232"/>
      <c r="N83" s="232"/>
      <c r="O83" s="232"/>
    </row>
    <row r="84" spans="2:15" ht="15" thickBot="1" x14ac:dyDescent="0.25">
      <c r="B84" s="56"/>
      <c r="E84" s="59"/>
      <c r="F84" s="1"/>
      <c r="G84" s="137"/>
      <c r="H84" s="137"/>
      <c r="I84" s="137"/>
    </row>
    <row r="85" spans="2:15" ht="15.75" thickBot="1" x14ac:dyDescent="0.3">
      <c r="B85" s="77" t="s">
        <v>76</v>
      </c>
      <c r="C85" s="78"/>
      <c r="D85" s="86">
        <f>+E49</f>
        <v>8988.1485714285718</v>
      </c>
      <c r="E85" s="87">
        <f>+E47</f>
        <v>10110.455714285714</v>
      </c>
      <c r="J85" s="79"/>
      <c r="K85" s="70" t="s">
        <v>29</v>
      </c>
      <c r="L85" s="70" t="s">
        <v>30</v>
      </c>
      <c r="M85" s="70" t="s">
        <v>31</v>
      </c>
      <c r="N85" s="70" t="s">
        <v>32</v>
      </c>
      <c r="O85" s="71" t="s">
        <v>33</v>
      </c>
    </row>
    <row r="86" spans="2:15" ht="15" thickBot="1" x14ac:dyDescent="0.3">
      <c r="J86" s="56" t="s">
        <v>80</v>
      </c>
      <c r="K86" s="57">
        <f>+M54</f>
        <v>0</v>
      </c>
      <c r="O86" s="59"/>
    </row>
    <row r="87" spans="2:15" ht="32.25" customHeight="1" thickBot="1" x14ac:dyDescent="0.3">
      <c r="B87" s="88" t="s">
        <v>77</v>
      </c>
      <c r="C87" s="337"/>
      <c r="D87" s="337"/>
      <c r="E87" s="338"/>
      <c r="J87" s="56"/>
      <c r="K87" s="57"/>
      <c r="O87" s="59"/>
    </row>
    <row r="88" spans="2:15" x14ac:dyDescent="0.25">
      <c r="D88" s="237"/>
      <c r="E88" s="237"/>
      <c r="F88" s="237"/>
      <c r="J88" s="56" t="s">
        <v>169</v>
      </c>
      <c r="K88" s="57">
        <f>+'3. EstudioOrganizacional'!F11</f>
        <v>1160000</v>
      </c>
      <c r="O88" s="59"/>
    </row>
    <row r="89" spans="2:15" ht="15" thickBot="1" x14ac:dyDescent="0.3">
      <c r="J89" s="56" t="s">
        <v>81</v>
      </c>
      <c r="K89" s="89">
        <f>+K86/K88</f>
        <v>0</v>
      </c>
      <c r="O89" s="59"/>
    </row>
    <row r="90" spans="2:15" ht="24" customHeight="1" thickBot="1" x14ac:dyDescent="0.3">
      <c r="B90" s="326" t="s">
        <v>79</v>
      </c>
      <c r="C90" s="327"/>
      <c r="D90" s="327"/>
      <c r="E90" s="327"/>
      <c r="F90" s="328"/>
      <c r="G90" s="134"/>
      <c r="H90" s="134"/>
      <c r="I90" s="134"/>
      <c r="J90" s="56" t="s">
        <v>83</v>
      </c>
      <c r="K90" s="53">
        <v>4</v>
      </c>
      <c r="O90" s="59"/>
    </row>
    <row r="91" spans="2:15" ht="24" customHeight="1" thickBot="1" x14ac:dyDescent="0.3">
      <c r="B91" s="127"/>
      <c r="C91" s="127"/>
      <c r="D91" s="209"/>
      <c r="E91" s="209"/>
      <c r="F91" s="127"/>
      <c r="G91" s="134"/>
      <c r="H91" s="134"/>
      <c r="I91" s="134"/>
      <c r="J91" s="56"/>
      <c r="O91" s="59"/>
    </row>
    <row r="92" spans="2:15" ht="25.5" customHeight="1" thickBot="1" x14ac:dyDescent="0.3">
      <c r="D92" s="339" t="s">
        <v>220</v>
      </c>
      <c r="E92" s="339"/>
      <c r="F92" s="340" t="s">
        <v>221</v>
      </c>
      <c r="G92" s="340"/>
      <c r="J92" s="92" t="s">
        <v>85</v>
      </c>
      <c r="K92" s="183" t="s">
        <v>177</v>
      </c>
      <c r="L92" s="93"/>
      <c r="M92" s="93"/>
      <c r="N92" s="93"/>
      <c r="O92" s="94"/>
    </row>
    <row r="93" spans="2:15" ht="17.25" customHeight="1" x14ac:dyDescent="0.25">
      <c r="B93" s="80"/>
      <c r="C93" s="81"/>
      <c r="D93" s="82"/>
      <c r="E93" s="83">
        <v>2024</v>
      </c>
      <c r="F93" s="82"/>
      <c r="G93" s="83">
        <v>2024</v>
      </c>
    </row>
    <row r="94" spans="2:15" ht="17.25" customHeight="1" x14ac:dyDescent="0.25">
      <c r="B94" s="84" t="s">
        <v>73</v>
      </c>
      <c r="C94" s="161"/>
      <c r="D94" s="162"/>
      <c r="E94" s="73">
        <f>+'1. ProyecciónVentas'!D14*G168</f>
        <v>66529.825184463523</v>
      </c>
      <c r="F94" s="162"/>
      <c r="G94" s="73">
        <f>+'1. ProyecciónVentas'!D14*G167</f>
        <v>51128.233775536479</v>
      </c>
      <c r="H94" s="238"/>
    </row>
    <row r="95" spans="2:15" x14ac:dyDescent="0.25">
      <c r="B95" s="56"/>
      <c r="E95" s="59"/>
      <c r="G95" s="59"/>
    </row>
    <row r="96" spans="2:15" ht="15" customHeight="1" x14ac:dyDescent="0.25">
      <c r="B96" s="90" t="s">
        <v>82</v>
      </c>
      <c r="D96" s="54"/>
      <c r="E96" s="91">
        <f>+E82/E94</f>
        <v>3209.7254987206525</v>
      </c>
      <c r="F96" s="54"/>
      <c r="G96" s="91">
        <f>+E82/E94</f>
        <v>3209.7254987206525</v>
      </c>
    </row>
    <row r="97" spans="2:9" x14ac:dyDescent="0.25">
      <c r="B97" s="56" t="s">
        <v>84</v>
      </c>
      <c r="D97" s="54"/>
      <c r="E97" s="91">
        <f>+E85</f>
        <v>10110.455714285714</v>
      </c>
      <c r="F97" s="54"/>
      <c r="G97" s="91">
        <f>+E49</f>
        <v>8988.1485714285718</v>
      </c>
    </row>
    <row r="98" spans="2:9" x14ac:dyDescent="0.25">
      <c r="B98" s="56"/>
      <c r="E98" s="59"/>
      <c r="G98" s="59"/>
    </row>
    <row r="99" spans="2:9" ht="21" customHeight="1" thickBot="1" x14ac:dyDescent="0.3">
      <c r="B99" s="95" t="s">
        <v>86</v>
      </c>
      <c r="C99" s="96"/>
      <c r="D99" s="97"/>
      <c r="E99" s="98">
        <f>+E97+E96</f>
        <v>13320.181213006366</v>
      </c>
      <c r="F99" s="97"/>
      <c r="G99" s="98">
        <f>+G96+G97</f>
        <v>12197.874070149224</v>
      </c>
    </row>
    <row r="101" spans="2:9" x14ac:dyDescent="0.25">
      <c r="E101" s="234"/>
      <c r="G101" s="238"/>
    </row>
    <row r="102" spans="2:9" ht="15" thickBot="1" x14ac:dyDescent="0.3"/>
    <row r="103" spans="2:9" ht="39.75" customHeight="1" thickBot="1" x14ac:dyDescent="0.3">
      <c r="B103" s="326" t="s">
        <v>87</v>
      </c>
      <c r="C103" s="327"/>
      <c r="D103" s="327"/>
      <c r="E103" s="327"/>
      <c r="F103" s="328"/>
      <c r="G103" s="134"/>
      <c r="H103" s="134"/>
      <c r="I103" s="134"/>
    </row>
    <row r="104" spans="2:9" ht="39.75" customHeight="1" x14ac:dyDescent="0.25">
      <c r="B104" s="127"/>
      <c r="C104" s="127"/>
      <c r="D104" s="127"/>
      <c r="E104" s="127"/>
      <c r="F104" s="127"/>
      <c r="G104" s="134"/>
      <c r="H104" s="134"/>
      <c r="I104" s="134"/>
    </row>
    <row r="105" spans="2:9" ht="15.75" thickBot="1" x14ac:dyDescent="0.3">
      <c r="E105" s="127" t="s">
        <v>220</v>
      </c>
      <c r="F105" s="127" t="s">
        <v>221</v>
      </c>
    </row>
    <row r="106" spans="2:9" ht="15" x14ac:dyDescent="0.25">
      <c r="B106" s="99"/>
      <c r="C106" s="100"/>
      <c r="D106" s="100"/>
      <c r="E106" s="83" t="s">
        <v>166</v>
      </c>
      <c r="F106" s="83" t="s">
        <v>166</v>
      </c>
    </row>
    <row r="107" spans="2:9" ht="15" x14ac:dyDescent="0.25">
      <c r="B107" s="56" t="s">
        <v>88</v>
      </c>
      <c r="E107" s="163">
        <f>+E99</f>
        <v>13320.181213006366</v>
      </c>
      <c r="F107" s="163">
        <f>+G99</f>
        <v>12197.874070149224</v>
      </c>
    </row>
    <row r="108" spans="2:9" x14ac:dyDescent="0.25">
      <c r="B108" s="56" t="s">
        <v>89</v>
      </c>
      <c r="E108" s="102">
        <v>0.2</v>
      </c>
      <c r="F108" s="102">
        <v>0.2</v>
      </c>
    </row>
    <row r="109" spans="2:9" x14ac:dyDescent="0.25">
      <c r="B109" s="56" t="s">
        <v>90</v>
      </c>
      <c r="E109" s="102">
        <v>0.15</v>
      </c>
      <c r="F109" s="102">
        <v>0.15</v>
      </c>
    </row>
    <row r="110" spans="2:9" x14ac:dyDescent="0.25">
      <c r="B110" s="56"/>
      <c r="E110" s="59"/>
      <c r="F110" s="59"/>
    </row>
    <row r="111" spans="2:9" ht="34.5" customHeight="1" x14ac:dyDescent="0.25">
      <c r="B111" s="103" t="s">
        <v>91</v>
      </c>
      <c r="C111" s="64"/>
      <c r="D111" s="64"/>
      <c r="E111" s="104">
        <f>+E107/((1-E108)*(1-E109))</f>
        <v>19588.501783832889</v>
      </c>
      <c r="F111" s="104">
        <f>+F107/((1-F108)*(1-F109))</f>
        <v>17938.050103160622</v>
      </c>
    </row>
    <row r="112" spans="2:9" ht="34.5" customHeight="1" thickBot="1" x14ac:dyDescent="0.3">
      <c r="B112" s="105" t="s">
        <v>92</v>
      </c>
      <c r="C112" s="106"/>
      <c r="D112" s="106"/>
      <c r="E112" s="98">
        <f>+E111*(1-E109)</f>
        <v>16650.226516257957</v>
      </c>
      <c r="F112" s="98">
        <f>+F111*(1-F109)</f>
        <v>15247.342587686528</v>
      </c>
    </row>
    <row r="113" spans="2:16" ht="15" thickBot="1" x14ac:dyDescent="0.3"/>
    <row r="114" spans="2:16" ht="15" x14ac:dyDescent="0.25">
      <c r="B114" s="329" t="s">
        <v>93</v>
      </c>
      <c r="C114" s="330"/>
      <c r="D114" s="330"/>
      <c r="E114" s="330"/>
      <c r="F114" s="213"/>
      <c r="G114" s="45"/>
      <c r="H114" s="45"/>
      <c r="I114" s="45"/>
    </row>
    <row r="115" spans="2:16" x14ac:dyDescent="0.25">
      <c r="B115" s="56" t="s">
        <v>94</v>
      </c>
      <c r="E115" s="210">
        <f>+E112</f>
        <v>16650.226516257957</v>
      </c>
      <c r="F115" s="215">
        <f>+F112</f>
        <v>15247.342587686528</v>
      </c>
      <c r="G115" s="45"/>
      <c r="H115" s="45"/>
      <c r="I115" s="45"/>
    </row>
    <row r="116" spans="2:16" x14ac:dyDescent="0.25">
      <c r="B116" s="56" t="s">
        <v>44</v>
      </c>
      <c r="E116" s="210">
        <f>+E107</f>
        <v>13320.181213006366</v>
      </c>
      <c r="F116" s="215">
        <f>+F107</f>
        <v>12197.874070149224</v>
      </c>
      <c r="G116" s="45"/>
      <c r="H116" s="45"/>
      <c r="I116" s="45"/>
    </row>
    <row r="117" spans="2:16" x14ac:dyDescent="0.25">
      <c r="B117" s="56" t="s">
        <v>95</v>
      </c>
      <c r="E117" s="210">
        <f>+E115-E116</f>
        <v>3330.0453032515907</v>
      </c>
      <c r="F117" s="215">
        <f>+F115-F116</f>
        <v>3049.4685175373033</v>
      </c>
      <c r="G117" s="45"/>
      <c r="H117" s="45"/>
      <c r="I117" s="45"/>
    </row>
    <row r="118" spans="2:16" x14ac:dyDescent="0.25">
      <c r="B118" s="56"/>
      <c r="E118" s="211"/>
      <c r="F118" s="214"/>
      <c r="G118" s="45"/>
      <c r="H118" s="45"/>
      <c r="I118" s="45"/>
    </row>
    <row r="119" spans="2:16" ht="36" customHeight="1" thickBot="1" x14ac:dyDescent="0.3">
      <c r="B119" s="107" t="s">
        <v>96</v>
      </c>
      <c r="C119" s="108"/>
      <c r="D119" s="108"/>
      <c r="E119" s="212">
        <f>+E117/E115</f>
        <v>0.19999999999999996</v>
      </c>
      <c r="F119" s="216">
        <f>+F117/F115</f>
        <v>0.19999999999999984</v>
      </c>
      <c r="G119" s="45"/>
      <c r="H119" s="45"/>
      <c r="I119" s="45"/>
    </row>
    <row r="121" spans="2:16" s="49" customFormat="1" ht="15.75" thickBot="1" x14ac:dyDescent="0.3">
      <c r="B121" s="109"/>
      <c r="C121" s="109"/>
      <c r="D121" s="109"/>
      <c r="E121" s="109"/>
      <c r="F121" s="109"/>
      <c r="G121" s="138"/>
      <c r="H121" s="138"/>
      <c r="I121" s="138"/>
      <c r="J121" s="45"/>
      <c r="K121" s="45"/>
      <c r="L121" s="45"/>
      <c r="M121" s="45"/>
      <c r="N121" s="45"/>
      <c r="O121" s="45"/>
      <c r="P121" s="45"/>
    </row>
    <row r="122" spans="2:16" ht="49.5" customHeight="1" thickBot="1" x14ac:dyDescent="0.3">
      <c r="B122" s="326" t="s">
        <v>97</v>
      </c>
      <c r="C122" s="327"/>
      <c r="D122" s="327"/>
      <c r="E122" s="327"/>
      <c r="F122" s="328"/>
      <c r="G122" s="134"/>
      <c r="H122" s="134"/>
      <c r="I122" s="134"/>
      <c r="P122" s="49"/>
    </row>
    <row r="123" spans="2:16" ht="49.5" customHeight="1" x14ac:dyDescent="0.25">
      <c r="B123" s="127"/>
      <c r="C123" s="127"/>
      <c r="D123" s="127"/>
      <c r="E123" s="127"/>
      <c r="F123" s="127"/>
      <c r="G123" s="134"/>
      <c r="H123" s="134"/>
      <c r="I123" s="134"/>
    </row>
    <row r="124" spans="2:16" ht="15" thickBot="1" x14ac:dyDescent="0.3">
      <c r="C124" s="85"/>
      <c r="E124" s="53" t="s">
        <v>220</v>
      </c>
      <c r="F124" s="54" t="s">
        <v>221</v>
      </c>
      <c r="G124" s="139"/>
      <c r="H124" s="139"/>
      <c r="I124" s="139"/>
    </row>
    <row r="125" spans="2:16" x14ac:dyDescent="0.25">
      <c r="B125" s="80" t="s">
        <v>98</v>
      </c>
      <c r="C125" s="111"/>
      <c r="D125" s="81"/>
      <c r="E125" s="112">
        <v>0</v>
      </c>
      <c r="F125" s="112">
        <v>0</v>
      </c>
      <c r="G125" s="139"/>
      <c r="H125" s="139"/>
      <c r="I125" s="139"/>
    </row>
    <row r="126" spans="2:16" x14ac:dyDescent="0.25">
      <c r="B126" s="56" t="s">
        <v>74</v>
      </c>
      <c r="C126" s="85"/>
      <c r="E126" s="91">
        <f>+G168*F73</f>
        <v>120747730.7088412</v>
      </c>
      <c r="F126" s="91">
        <f>+G167*F73</f>
        <v>92794745.611158803</v>
      </c>
    </row>
    <row r="127" spans="2:16" x14ac:dyDescent="0.25">
      <c r="B127" s="56" t="s">
        <v>75</v>
      </c>
      <c r="C127" s="85"/>
      <c r="E127" s="91">
        <f>+G168*D83</f>
        <v>123249124.14589414</v>
      </c>
      <c r="F127" s="91">
        <f>+G167*E83</f>
        <v>94717068.840772524</v>
      </c>
    </row>
    <row r="128" spans="2:16" x14ac:dyDescent="0.25">
      <c r="B128" s="56"/>
      <c r="C128" s="85"/>
      <c r="E128" s="101"/>
      <c r="F128" s="101"/>
    </row>
    <row r="129" spans="2:15" x14ac:dyDescent="0.25">
      <c r="B129" s="56" t="s">
        <v>99</v>
      </c>
      <c r="C129" s="85"/>
      <c r="E129" s="91">
        <f>+E112</f>
        <v>16650.226516257957</v>
      </c>
      <c r="F129" s="91">
        <f>+F112</f>
        <v>15247.342587686528</v>
      </c>
    </row>
    <row r="130" spans="2:15" ht="15" x14ac:dyDescent="0.25">
      <c r="B130" s="56" t="s">
        <v>100</v>
      </c>
      <c r="C130" s="85"/>
      <c r="E130" s="91">
        <f>+E97</f>
        <v>10110.455714285714</v>
      </c>
      <c r="F130" s="91">
        <f>+G97</f>
        <v>8988.1485714285718</v>
      </c>
      <c r="J130" s="109"/>
      <c r="K130" s="49"/>
      <c r="L130" s="49"/>
      <c r="M130" s="49"/>
      <c r="N130" s="49"/>
      <c r="O130" s="49"/>
    </row>
    <row r="131" spans="2:15" x14ac:dyDescent="0.25">
      <c r="B131" s="56"/>
      <c r="E131" s="101"/>
      <c r="F131" s="101"/>
      <c r="J131" s="110"/>
    </row>
    <row r="132" spans="2:15" ht="15" x14ac:dyDescent="0.25">
      <c r="B132" s="113" t="s">
        <v>101</v>
      </c>
      <c r="C132" s="75"/>
      <c r="D132" s="75"/>
      <c r="E132" s="114">
        <f>(E125+E126)/(E129-E130)</f>
        <v>18463.602833363286</v>
      </c>
      <c r="F132" s="114">
        <f>(F125+F126)/(F129-F130)</f>
        <v>14825.350575510027</v>
      </c>
      <c r="J132" s="110"/>
    </row>
    <row r="133" spans="2:15" x14ac:dyDescent="0.25">
      <c r="B133" s="56"/>
      <c r="E133" s="59"/>
      <c r="F133" s="59"/>
      <c r="J133" s="110"/>
    </row>
    <row r="134" spans="2:15" ht="18" customHeight="1" thickBot="1" x14ac:dyDescent="0.3">
      <c r="B134" s="115" t="s">
        <v>102</v>
      </c>
      <c r="C134" s="116"/>
      <c r="D134" s="116"/>
      <c r="E134" s="117">
        <f>(E125+E127)/(E129-E130)</f>
        <v>18846.092298636071</v>
      </c>
      <c r="F134" s="117">
        <f>(F125+F127)/(F129-F130)</f>
        <v>15132.470505747144</v>
      </c>
      <c r="J134" s="110"/>
    </row>
    <row r="136" spans="2:15" ht="23.25" customHeight="1" x14ac:dyDescent="0.25">
      <c r="B136" s="118" t="s">
        <v>103</v>
      </c>
      <c r="C136" s="118"/>
      <c r="D136" s="118"/>
      <c r="E136" s="119">
        <f>+'1. ProyecciónVentas'!D14</f>
        <v>117658.05895999999</v>
      </c>
    </row>
    <row r="138" spans="2:15" ht="22.15" customHeight="1" x14ac:dyDescent="0.25">
      <c r="B138" s="75" t="s">
        <v>242</v>
      </c>
      <c r="C138" s="75"/>
      <c r="D138" s="75"/>
      <c r="E138" s="240">
        <f>E134+F134</f>
        <v>33978.562804383211</v>
      </c>
    </row>
    <row r="139" spans="2:15" ht="15" thickBot="1" x14ac:dyDescent="0.3"/>
    <row r="140" spans="2:15" ht="30" customHeight="1" x14ac:dyDescent="0.25">
      <c r="B140" s="331" t="s">
        <v>104</v>
      </c>
      <c r="C140" s="333" t="s">
        <v>262</v>
      </c>
      <c r="D140" s="333"/>
      <c r="E140" s="334"/>
    </row>
    <row r="141" spans="2:15" ht="30" customHeight="1" thickBot="1" x14ac:dyDescent="0.3">
      <c r="B141" s="332"/>
      <c r="C141" s="335"/>
      <c r="D141" s="335"/>
      <c r="E141" s="336"/>
    </row>
    <row r="142" spans="2:15" ht="15" thickBot="1" x14ac:dyDescent="0.3"/>
    <row r="143" spans="2:15" ht="46.5" customHeight="1" thickBot="1" x14ac:dyDescent="0.3">
      <c r="B143" s="323" t="s">
        <v>105</v>
      </c>
      <c r="C143" s="324"/>
      <c r="D143" s="324"/>
      <c r="E143" s="325"/>
    </row>
    <row r="144" spans="2:15" ht="46.5" customHeight="1" x14ac:dyDescent="0.25">
      <c r="B144" s="379"/>
      <c r="C144" s="379"/>
      <c r="D144" s="379"/>
      <c r="E144" s="379"/>
    </row>
    <row r="145" spans="2:6" ht="15" thickBot="1" x14ac:dyDescent="0.3">
      <c r="B145" s="53"/>
      <c r="C145" s="53"/>
      <c r="D145" s="53"/>
      <c r="E145" s="53" t="s">
        <v>220</v>
      </c>
      <c r="F145" s="45" t="s">
        <v>221</v>
      </c>
    </row>
    <row r="146" spans="2:6" ht="24.75" customHeight="1" thickBot="1" x14ac:dyDescent="0.3">
      <c r="B146" s="120" t="s">
        <v>167</v>
      </c>
      <c r="C146" s="121"/>
      <c r="D146" s="121"/>
      <c r="E146" s="122">
        <f>+E126</f>
        <v>120747730.7088412</v>
      </c>
      <c r="F146" s="122">
        <f>+F126</f>
        <v>92794745.611158803</v>
      </c>
    </row>
    <row r="147" spans="2:6" ht="23.25" customHeight="1" thickBot="1" x14ac:dyDescent="0.3">
      <c r="B147" s="56" t="s">
        <v>106</v>
      </c>
      <c r="E147" s="91">
        <f>+E130</f>
        <v>10110.455714285714</v>
      </c>
      <c r="F147" s="122">
        <f>+F130</f>
        <v>8988.1485714285718</v>
      </c>
    </row>
    <row r="148" spans="2:6" ht="23.25" customHeight="1" thickBot="1" x14ac:dyDescent="0.3">
      <c r="B148" s="56" t="s">
        <v>48</v>
      </c>
      <c r="E148" s="91">
        <f>+E129</f>
        <v>16650.226516257957</v>
      </c>
      <c r="F148" s="122">
        <f>+F129</f>
        <v>15247.342587686528</v>
      </c>
    </row>
    <row r="149" spans="2:6" ht="45" customHeight="1" thickBot="1" x14ac:dyDescent="0.3">
      <c r="B149" s="56" t="s">
        <v>107</v>
      </c>
      <c r="E149" s="123">
        <f>+E147/E148</f>
        <v>0.60722631637554325</v>
      </c>
      <c r="F149" s="378">
        <f>F147/F148</f>
        <v>0.58948951397519167</v>
      </c>
    </row>
    <row r="150" spans="2:6" ht="37.5" customHeight="1" thickBot="1" x14ac:dyDescent="0.3">
      <c r="B150" s="56" t="s">
        <v>168</v>
      </c>
      <c r="E150" s="102">
        <f>1-E149</f>
        <v>0.39277368362445675</v>
      </c>
      <c r="F150" s="378">
        <f>1-F149</f>
        <v>0.41051048602480833</v>
      </c>
    </row>
    <row r="151" spans="2:6" ht="23.25" customHeight="1" thickBot="1" x14ac:dyDescent="0.3">
      <c r="B151" s="124" t="s">
        <v>108</v>
      </c>
      <c r="C151" s="125"/>
      <c r="D151" s="125"/>
      <c r="E151" s="172">
        <f>+E146/E150</f>
        <v>307423169.48172092</v>
      </c>
      <c r="F151" s="122">
        <f>+F146/F150</f>
        <v>226047199.20735702</v>
      </c>
    </row>
    <row r="165" spans="4:9" x14ac:dyDescent="0.25">
      <c r="G165" s="228"/>
    </row>
    <row r="166" spans="4:9" x14ac:dyDescent="0.25">
      <c r="F166" s="53" t="s">
        <v>234</v>
      </c>
      <c r="G166" s="208" t="s">
        <v>235</v>
      </c>
    </row>
    <row r="167" spans="4:9" x14ac:dyDescent="0.25">
      <c r="D167" s="322" t="s">
        <v>232</v>
      </c>
      <c r="E167" s="322"/>
      <c r="F167" s="221">
        <f>+G167*F169</f>
        <v>32.156652360515025</v>
      </c>
      <c r="G167" s="226">
        <f>+F179/F181</f>
        <v>0.43454935622317598</v>
      </c>
      <c r="H167" s="224">
        <f>+G170*G167</f>
        <v>52470848.64493636</v>
      </c>
    </row>
    <row r="168" spans="4:9" x14ac:dyDescent="0.25">
      <c r="D168" s="322" t="s">
        <v>239</v>
      </c>
      <c r="E168" s="322"/>
      <c r="F168" s="221">
        <f>+G168*F169</f>
        <v>41.843347639484982</v>
      </c>
      <c r="G168" s="226">
        <f>+F180/F181</f>
        <v>0.56545064377682408</v>
      </c>
      <c r="H168" s="224">
        <f>+G168*G170</f>
        <v>68276882.063904852</v>
      </c>
    </row>
    <row r="169" spans="4:9" x14ac:dyDescent="0.25">
      <c r="F169" s="222">
        <v>74</v>
      </c>
      <c r="G169" s="45"/>
      <c r="H169" s="208"/>
    </row>
    <row r="170" spans="4:9" x14ac:dyDescent="0.25">
      <c r="D170" s="322" t="s">
        <v>233</v>
      </c>
      <c r="E170" s="322"/>
      <c r="F170" s="54"/>
      <c r="G170" s="54">
        <f>+E126</f>
        <v>120747730.7088412</v>
      </c>
      <c r="H170" s="225">
        <f>SUM(H167:H168)</f>
        <v>120747730.7088412</v>
      </c>
      <c r="I170" s="133" t="s">
        <v>4</v>
      </c>
    </row>
    <row r="172" spans="4:9" x14ac:dyDescent="0.25">
      <c r="F172" s="53" t="s">
        <v>233</v>
      </c>
      <c r="G172" s="208" t="s">
        <v>106</v>
      </c>
      <c r="H172" s="208" t="s">
        <v>237</v>
      </c>
      <c r="I172" s="208" t="s">
        <v>236</v>
      </c>
    </row>
    <row r="173" spans="4:9" x14ac:dyDescent="0.25">
      <c r="D173" s="322" t="s">
        <v>232</v>
      </c>
      <c r="E173" s="322"/>
      <c r="F173" s="227">
        <f t="shared" ref="F173:F174" si="7">+H167</f>
        <v>52470848.64493636</v>
      </c>
      <c r="G173" s="223">
        <f>+E47</f>
        <v>10110.455714285714</v>
      </c>
      <c r="H173" s="223">
        <f>+F173/J182+G173</f>
        <v>11925.397063884195</v>
      </c>
    </row>
    <row r="174" spans="4:9" x14ac:dyDescent="0.25">
      <c r="D174" s="322" t="s">
        <v>239</v>
      </c>
      <c r="E174" s="322"/>
      <c r="F174" s="227">
        <f t="shared" si="7"/>
        <v>68276882.063904852</v>
      </c>
      <c r="G174" s="223">
        <f>+E49</f>
        <v>8988.1485714285718</v>
      </c>
      <c r="H174" s="223">
        <f>+F174/J183+G174</f>
        <v>10803.089921027053</v>
      </c>
    </row>
    <row r="178" spans="4:10" x14ac:dyDescent="0.25">
      <c r="D178" s="322"/>
      <c r="E178" s="322"/>
    </row>
    <row r="179" spans="4:10" x14ac:dyDescent="0.25">
      <c r="D179" s="322" t="s">
        <v>232</v>
      </c>
      <c r="E179" s="322"/>
      <c r="F179" s="229">
        <v>0.40500000000000003</v>
      </c>
    </row>
    <row r="180" spans="4:10" x14ac:dyDescent="0.25">
      <c r="D180" s="322" t="s">
        <v>239</v>
      </c>
      <c r="E180" s="322"/>
      <c r="F180" s="229">
        <v>0.52700000000000002</v>
      </c>
    </row>
    <row r="181" spans="4:10" x14ac:dyDescent="0.25">
      <c r="F181" s="230">
        <f>SUM(F179:F180)</f>
        <v>0.93200000000000005</v>
      </c>
      <c r="J181" s="53" t="s">
        <v>238</v>
      </c>
    </row>
    <row r="182" spans="4:10" x14ac:dyDescent="0.25">
      <c r="J182" s="221">
        <f>+J184*G167</f>
        <v>28910.492703549065</v>
      </c>
    </row>
    <row r="183" spans="4:10" x14ac:dyDescent="0.25">
      <c r="J183" s="221">
        <f>+J184*G168</f>
        <v>37619.332480914461</v>
      </c>
    </row>
    <row r="184" spans="4:10" x14ac:dyDescent="0.25">
      <c r="J184" s="221">
        <f>+E94</f>
        <v>66529.825184463523</v>
      </c>
    </row>
  </sheetData>
  <mergeCells count="25">
    <mergeCell ref="C87:E87"/>
    <mergeCell ref="D92:E92"/>
    <mergeCell ref="F92:G92"/>
    <mergeCell ref="B2:F2"/>
    <mergeCell ref="J2:P2"/>
    <mergeCell ref="B77:F77"/>
    <mergeCell ref="B4:F4"/>
    <mergeCell ref="B55:F55"/>
    <mergeCell ref="J4:P4"/>
    <mergeCell ref="J19:P19"/>
    <mergeCell ref="D167:E167"/>
    <mergeCell ref="D168:E168"/>
    <mergeCell ref="D170:E170"/>
    <mergeCell ref="B143:E143"/>
    <mergeCell ref="B90:F90"/>
    <mergeCell ref="B103:F103"/>
    <mergeCell ref="B114:E114"/>
    <mergeCell ref="B122:F122"/>
    <mergeCell ref="B140:B141"/>
    <mergeCell ref="C140:E141"/>
    <mergeCell ref="D173:E173"/>
    <mergeCell ref="D174:E174"/>
    <mergeCell ref="D178:E178"/>
    <mergeCell ref="D179:E179"/>
    <mergeCell ref="D180:E18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A24"/>
  <sheetViews>
    <sheetView showGridLines="0" topLeftCell="C6" zoomScale="75" zoomScaleNormal="75" workbookViewId="0">
      <selection activeCell="N13" sqref="N13"/>
    </sheetView>
  </sheetViews>
  <sheetFormatPr baseColWidth="10" defaultColWidth="11.42578125" defaultRowHeight="14.25" x14ac:dyDescent="0.25"/>
  <cols>
    <col min="1" max="1" width="11.42578125" style="53"/>
    <col min="2" max="2" width="4.140625" style="53" customWidth="1"/>
    <col min="3" max="3" width="12.5703125" style="53" bestFit="1" customWidth="1"/>
    <col min="4" max="4" width="14.85546875" style="53" customWidth="1"/>
    <col min="5" max="5" width="16.42578125" style="53" customWidth="1"/>
    <col min="6" max="6" width="14.28515625" style="53" customWidth="1"/>
    <col min="7" max="7" width="14.140625" style="53" customWidth="1"/>
    <col min="8" max="15" width="11.42578125" style="53"/>
    <col min="16" max="16" width="20.28515625" style="53" customWidth="1"/>
    <col min="17" max="18" width="11.42578125" style="53"/>
    <col min="19" max="19" width="20.28515625" style="53" customWidth="1"/>
    <col min="20" max="20" width="16" style="53" customWidth="1"/>
    <col min="21" max="21" width="15.5703125" style="53" customWidth="1"/>
    <col min="22" max="22" width="13.85546875" style="53" bestFit="1" customWidth="1"/>
    <col min="23" max="24" width="11.42578125" style="53"/>
    <col min="25" max="25" width="21.140625" style="53" customWidth="1"/>
    <col min="26" max="26" width="11.42578125" style="53"/>
    <col min="27" max="27" width="83.7109375" style="53" customWidth="1"/>
    <col min="28" max="16384" width="11.42578125" style="53"/>
  </cols>
  <sheetData>
    <row r="2" spans="1:27" ht="15.75" thickBot="1" x14ac:dyDescent="0.3">
      <c r="B2" s="356" t="s">
        <v>109</v>
      </c>
      <c r="C2" s="360" t="s">
        <v>110</v>
      </c>
      <c r="D2" s="360" t="s">
        <v>150</v>
      </c>
      <c r="E2" s="360" t="s">
        <v>129</v>
      </c>
      <c r="F2" s="360" t="s">
        <v>111</v>
      </c>
      <c r="G2" s="359" t="s">
        <v>112</v>
      </c>
      <c r="H2" s="158">
        <v>8.5000000000000006E-2</v>
      </c>
      <c r="I2" s="158">
        <v>0.12</v>
      </c>
      <c r="J2" s="364" t="s">
        <v>149</v>
      </c>
      <c r="K2" s="362" t="s">
        <v>115</v>
      </c>
      <c r="L2" s="129">
        <f>+SUM(H2:K2)</f>
        <v>0.20500000000000002</v>
      </c>
      <c r="M2" s="159">
        <f>30/360</f>
        <v>8.3333333333333329E-2</v>
      </c>
      <c r="N2" s="159">
        <f>+M2</f>
        <v>8.3333333333333329E-2</v>
      </c>
      <c r="O2" s="159">
        <v>0.01</v>
      </c>
      <c r="P2" s="129">
        <f>+SUM(M2:O2)</f>
        <v>0.17666666666666667</v>
      </c>
      <c r="Q2" s="126">
        <v>0.02</v>
      </c>
      <c r="R2" s="126">
        <v>0.03</v>
      </c>
      <c r="S2" s="126">
        <v>0.04</v>
      </c>
      <c r="T2" s="129">
        <f>+SUM(Q2:S2)</f>
        <v>0.09</v>
      </c>
      <c r="U2" s="129">
        <f>15/360</f>
        <v>4.1666666666666664E-2</v>
      </c>
      <c r="V2" s="358" t="s">
        <v>155</v>
      </c>
    </row>
    <row r="3" spans="1:27" ht="45" x14ac:dyDescent="0.25">
      <c r="A3" s="127"/>
      <c r="B3" s="357"/>
      <c r="C3" s="361"/>
      <c r="D3" s="361"/>
      <c r="E3" s="361"/>
      <c r="F3" s="361"/>
      <c r="G3" s="359"/>
      <c r="H3" s="148" t="s">
        <v>113</v>
      </c>
      <c r="I3" s="148" t="s">
        <v>114</v>
      </c>
      <c r="J3" s="365"/>
      <c r="K3" s="363"/>
      <c r="L3" s="130" t="s">
        <v>116</v>
      </c>
      <c r="M3" s="148" t="s">
        <v>117</v>
      </c>
      <c r="N3" s="148" t="s">
        <v>118</v>
      </c>
      <c r="O3" s="148" t="s">
        <v>119</v>
      </c>
      <c r="P3" s="130" t="s">
        <v>120</v>
      </c>
      <c r="Q3" s="148" t="s">
        <v>153</v>
      </c>
      <c r="R3" s="148" t="s">
        <v>154</v>
      </c>
      <c r="S3" s="148" t="s">
        <v>121</v>
      </c>
      <c r="T3" s="130" t="s">
        <v>122</v>
      </c>
      <c r="U3" s="130" t="s">
        <v>123</v>
      </c>
      <c r="V3" s="358"/>
      <c r="X3" s="350" t="s">
        <v>130</v>
      </c>
      <c r="Y3" s="352" t="s">
        <v>131</v>
      </c>
      <c r="Z3" s="352" t="s">
        <v>132</v>
      </c>
      <c r="AA3" s="354" t="s">
        <v>133</v>
      </c>
    </row>
    <row r="4" spans="1:27" ht="27" customHeight="1" x14ac:dyDescent="0.25">
      <c r="B4" s="128">
        <v>1</v>
      </c>
      <c r="C4" s="147" t="s">
        <v>60</v>
      </c>
      <c r="D4" s="147" t="s">
        <v>151</v>
      </c>
      <c r="E4" s="131">
        <f>+'2. EstudioTécnico y Costos'!D58</f>
        <v>1400000</v>
      </c>
      <c r="F4" s="131">
        <v>140606</v>
      </c>
      <c r="G4" s="132">
        <f>+E4+F4</f>
        <v>1540606</v>
      </c>
      <c r="H4" s="131">
        <f>+$E4*H$2</f>
        <v>119000.00000000001</v>
      </c>
      <c r="I4" s="131">
        <f>+$E4*I$2</f>
        <v>168000</v>
      </c>
      <c r="J4" s="157">
        <f>+Z7</f>
        <v>2.436E-2</v>
      </c>
      <c r="K4" s="131">
        <f>+E4*J4</f>
        <v>34104</v>
      </c>
      <c r="L4" s="132">
        <f>+H4+I4+K4</f>
        <v>321104</v>
      </c>
      <c r="M4" s="131">
        <f>+$G4*M$2</f>
        <v>128383.83333333333</v>
      </c>
      <c r="N4" s="131">
        <f>+$G4*N$2</f>
        <v>128383.83333333333</v>
      </c>
      <c r="O4" s="131">
        <f>+$G4*O$2</f>
        <v>15406.06</v>
      </c>
      <c r="P4" s="132">
        <f>+SUM(M4:O4)</f>
        <v>272173.72666666668</v>
      </c>
      <c r="Q4" s="131">
        <f>+$E4*Q$2</f>
        <v>28000</v>
      </c>
      <c r="R4" s="131">
        <f>+$E4*R$2</f>
        <v>42000</v>
      </c>
      <c r="S4" s="131">
        <f>+$E4*S$2</f>
        <v>56000</v>
      </c>
      <c r="T4" s="132">
        <f>+SUM(Q4:S4)</f>
        <v>126000</v>
      </c>
      <c r="U4" s="132">
        <f>+E4*$U$2</f>
        <v>58333.333333333328</v>
      </c>
      <c r="V4" s="160">
        <f>+G4+L4+P4+T4+U4</f>
        <v>2318217.06</v>
      </c>
      <c r="X4" s="351"/>
      <c r="Y4" s="353"/>
      <c r="Z4" s="353"/>
      <c r="AA4" s="355"/>
    </row>
    <row r="5" spans="1:27" ht="27" customHeight="1" x14ac:dyDescent="0.25">
      <c r="B5" s="128">
        <v>2</v>
      </c>
      <c r="C5" s="147" t="s">
        <v>217</v>
      </c>
      <c r="D5" s="147" t="s">
        <v>227</v>
      </c>
      <c r="E5" s="131">
        <f>+'2. EstudioTécnico y Costos'!D59</f>
        <v>1160000</v>
      </c>
      <c r="F5" s="131">
        <v>140606</v>
      </c>
      <c r="G5" s="132">
        <f t="shared" ref="G5:G8" si="0">+E5+F5</f>
        <v>1300606</v>
      </c>
      <c r="H5" s="131">
        <f t="shared" ref="H5" si="1">+$E5*H$2</f>
        <v>98600</v>
      </c>
      <c r="I5" s="131">
        <f t="shared" ref="I5:I7" si="2">+$E5*I$2</f>
        <v>139200</v>
      </c>
      <c r="J5" s="157">
        <f>Z6</f>
        <v>1.044E-2</v>
      </c>
      <c r="K5" s="131">
        <f t="shared" ref="K5:K8" si="3">+E5*J5</f>
        <v>12110.4</v>
      </c>
      <c r="L5" s="132">
        <f t="shared" ref="L5:L7" si="4">+H5+I5+K5</f>
        <v>249910.39999999999</v>
      </c>
      <c r="M5" s="131">
        <f>+$G5*M$2</f>
        <v>108383.83333333333</v>
      </c>
      <c r="N5" s="131">
        <f>+$G5*N$2</f>
        <v>108383.83333333333</v>
      </c>
      <c r="O5" s="131">
        <f t="shared" ref="O5" si="5">+$G5*O$2</f>
        <v>13006.06</v>
      </c>
      <c r="P5" s="132">
        <f t="shared" ref="P5" si="6">+SUM(M5:O5)</f>
        <v>229773.72666666665</v>
      </c>
      <c r="Q5" s="131">
        <f t="shared" ref="Q5:S8" si="7">+$E5*Q$2</f>
        <v>23200</v>
      </c>
      <c r="R5" s="131">
        <f t="shared" si="7"/>
        <v>34800</v>
      </c>
      <c r="S5" s="131">
        <f t="shared" si="7"/>
        <v>46400</v>
      </c>
      <c r="T5" s="132">
        <f t="shared" ref="T5" si="8">+SUM(Q5:S5)</f>
        <v>104400</v>
      </c>
      <c r="U5" s="132">
        <f t="shared" ref="U5:U8" si="9">+E5*$U$2</f>
        <v>48333.333333333328</v>
      </c>
      <c r="V5" s="160">
        <f t="shared" ref="V5:V8" si="10">+G5+L5+P5+T5+U5</f>
        <v>1933023.4599999997</v>
      </c>
      <c r="X5" s="150" t="s">
        <v>134</v>
      </c>
      <c r="Y5" s="149" t="s">
        <v>135</v>
      </c>
      <c r="Z5" s="151">
        <v>5.2199999999999998E-3</v>
      </c>
      <c r="AA5" s="152" t="s">
        <v>136</v>
      </c>
    </row>
    <row r="6" spans="1:27" ht="27" customHeight="1" x14ac:dyDescent="0.25">
      <c r="B6" s="128">
        <v>3</v>
      </c>
      <c r="C6" s="147" t="s">
        <v>61</v>
      </c>
      <c r="D6" s="147" t="s">
        <v>152</v>
      </c>
      <c r="E6" s="131">
        <f>+'2. EstudioTécnico y Costos'!D60</f>
        <v>2200000</v>
      </c>
      <c r="F6" s="131">
        <v>140606</v>
      </c>
      <c r="G6" s="132">
        <f t="shared" si="0"/>
        <v>2340606</v>
      </c>
      <c r="H6" s="131">
        <f>+$E6*H$2</f>
        <v>187000</v>
      </c>
      <c r="I6" s="131">
        <f t="shared" si="2"/>
        <v>264000</v>
      </c>
      <c r="J6" s="157">
        <f>+Z5</f>
        <v>5.2199999999999998E-3</v>
      </c>
      <c r="K6" s="131">
        <f t="shared" si="3"/>
        <v>11484</v>
      </c>
      <c r="L6" s="132">
        <f t="shared" si="4"/>
        <v>462484</v>
      </c>
      <c r="M6" s="131">
        <f>+$G6*M$2</f>
        <v>195050.5</v>
      </c>
      <c r="N6" s="131">
        <f>+$G6*N$2</f>
        <v>195050.5</v>
      </c>
      <c r="O6" s="131">
        <f>+$G6*O$2</f>
        <v>23406.06</v>
      </c>
      <c r="P6" s="132">
        <f>+SUM(M6:O6)</f>
        <v>413507.06</v>
      </c>
      <c r="Q6" s="131">
        <f>+$E6*Q$2</f>
        <v>44000</v>
      </c>
      <c r="R6" s="131">
        <f t="shared" si="7"/>
        <v>66000</v>
      </c>
      <c r="S6" s="131">
        <f t="shared" si="7"/>
        <v>88000</v>
      </c>
      <c r="T6" s="132">
        <f>+SUM(Q6:S6)</f>
        <v>198000</v>
      </c>
      <c r="U6" s="132">
        <f t="shared" si="9"/>
        <v>91666.666666666657</v>
      </c>
      <c r="V6" s="160">
        <f t="shared" si="10"/>
        <v>3506263.7266666666</v>
      </c>
      <c r="X6" s="150" t="s">
        <v>137</v>
      </c>
      <c r="Y6" s="149" t="s">
        <v>138</v>
      </c>
      <c r="Z6" s="151">
        <v>1.044E-2</v>
      </c>
      <c r="AA6" s="152" t="s">
        <v>139</v>
      </c>
    </row>
    <row r="7" spans="1:27" ht="27" customHeight="1" x14ac:dyDescent="0.25">
      <c r="B7" s="128">
        <v>4</v>
      </c>
      <c r="C7" s="147" t="s">
        <v>224</v>
      </c>
      <c r="D7" s="147" t="s">
        <v>152</v>
      </c>
      <c r="E7" s="54">
        <f>'2. EstudioTécnico y Costos'!D61</f>
        <v>1200000</v>
      </c>
      <c r="F7" s="131">
        <v>140606</v>
      </c>
      <c r="G7" s="132">
        <f t="shared" si="0"/>
        <v>1340606</v>
      </c>
      <c r="H7" s="131">
        <f>+$E7*H$2</f>
        <v>102000.00000000001</v>
      </c>
      <c r="I7" s="131">
        <f t="shared" si="2"/>
        <v>144000</v>
      </c>
      <c r="J7" s="157">
        <f>Z5</f>
        <v>5.2199999999999998E-3</v>
      </c>
      <c r="K7" s="131">
        <f>+E7*J7</f>
        <v>6264</v>
      </c>
      <c r="L7" s="132">
        <f t="shared" si="4"/>
        <v>252264</v>
      </c>
      <c r="M7" s="131">
        <f t="shared" ref="M7:O8" si="11">+$G7*M$2</f>
        <v>111717.16666666666</v>
      </c>
      <c r="N7" s="131">
        <f t="shared" si="11"/>
        <v>111717.16666666666</v>
      </c>
      <c r="O7" s="131">
        <f t="shared" si="11"/>
        <v>13406.06</v>
      </c>
      <c r="P7" s="132">
        <f t="shared" ref="P7" si="12">+SUM(M7:O7)</f>
        <v>236840.39333333331</v>
      </c>
      <c r="Q7" s="131">
        <f t="shared" ref="Q7:Q8" si="13">+$E7*Q$2</f>
        <v>24000</v>
      </c>
      <c r="R7" s="131">
        <f t="shared" si="7"/>
        <v>36000</v>
      </c>
      <c r="S7" s="131">
        <f t="shared" si="7"/>
        <v>48000</v>
      </c>
      <c r="T7" s="132">
        <f t="shared" ref="T7" si="14">+SUM(Q7:S7)</f>
        <v>108000</v>
      </c>
      <c r="U7" s="132">
        <f t="shared" si="9"/>
        <v>50000</v>
      </c>
      <c r="V7" s="160">
        <f>+G7+L7+P7+T7+U7</f>
        <v>1987710.3933333333</v>
      </c>
      <c r="X7" s="150" t="s">
        <v>140</v>
      </c>
      <c r="Y7" s="149" t="s">
        <v>141</v>
      </c>
      <c r="Z7" s="151">
        <v>2.436E-2</v>
      </c>
      <c r="AA7" s="152" t="s">
        <v>142</v>
      </c>
    </row>
    <row r="8" spans="1:27" ht="27" customHeight="1" x14ac:dyDescent="0.25">
      <c r="B8" s="128">
        <v>5</v>
      </c>
      <c r="C8" s="147" t="s">
        <v>226</v>
      </c>
      <c r="D8" s="147" t="s">
        <v>227</v>
      </c>
      <c r="E8" s="205">
        <f>'2. EstudioTécnico y Costos'!D62</f>
        <v>1160000</v>
      </c>
      <c r="F8" s="131">
        <v>140606</v>
      </c>
      <c r="G8" s="132">
        <f t="shared" si="0"/>
        <v>1300606</v>
      </c>
      <c r="H8" s="131">
        <f t="shared" ref="H8" si="15">+$E8*H$2</f>
        <v>98600</v>
      </c>
      <c r="I8" s="131">
        <f>+$E8*I$2</f>
        <v>139200</v>
      </c>
      <c r="J8" s="157">
        <f>Z6</f>
        <v>1.044E-2</v>
      </c>
      <c r="K8" s="131">
        <f t="shared" si="3"/>
        <v>12110.4</v>
      </c>
      <c r="L8" s="132">
        <f>+H8+I8+K8</f>
        <v>249910.39999999999</v>
      </c>
      <c r="M8" s="131">
        <f t="shared" si="11"/>
        <v>108383.83333333333</v>
      </c>
      <c r="N8" s="131">
        <f>+$G8*N$2</f>
        <v>108383.83333333333</v>
      </c>
      <c r="O8" s="131">
        <f>+$G8*O$2</f>
        <v>13006.06</v>
      </c>
      <c r="P8" s="132">
        <f>+SUM(M8:O8)</f>
        <v>229773.72666666665</v>
      </c>
      <c r="Q8" s="131">
        <f t="shared" si="13"/>
        <v>23200</v>
      </c>
      <c r="R8" s="131">
        <f t="shared" si="7"/>
        <v>34800</v>
      </c>
      <c r="S8" s="131">
        <f t="shared" si="7"/>
        <v>46400</v>
      </c>
      <c r="T8" s="132">
        <f>+SUM(Q8:S8)</f>
        <v>104400</v>
      </c>
      <c r="U8" s="132">
        <f t="shared" si="9"/>
        <v>48333.333333333328</v>
      </c>
      <c r="V8" s="160">
        <f t="shared" si="10"/>
        <v>1933023.4599999997</v>
      </c>
      <c r="X8" s="150" t="s">
        <v>143</v>
      </c>
      <c r="Y8" s="149" t="s">
        <v>144</v>
      </c>
      <c r="Z8" s="151">
        <v>4.3499999999999997E-2</v>
      </c>
      <c r="AA8" s="152" t="s">
        <v>145</v>
      </c>
    </row>
    <row r="9" spans="1:27" ht="27" customHeight="1" thickBot="1" x14ac:dyDescent="0.3">
      <c r="B9" s="128">
        <v>6</v>
      </c>
      <c r="C9" s="147" t="s">
        <v>62</v>
      </c>
      <c r="D9" s="147" t="s">
        <v>152</v>
      </c>
      <c r="E9" s="131">
        <f>+'2. EstudioTécnico y Costos'!D63</f>
        <v>1160000</v>
      </c>
      <c r="F9" s="131">
        <v>140606</v>
      </c>
      <c r="G9" s="132">
        <f>+E9+F9</f>
        <v>1300606</v>
      </c>
      <c r="H9" s="131">
        <f>+$E9*H$2</f>
        <v>98600</v>
      </c>
      <c r="I9" s="131">
        <f>+$E9*I$2</f>
        <v>139200</v>
      </c>
      <c r="J9" s="157">
        <f>+Z5</f>
        <v>5.2199999999999998E-3</v>
      </c>
      <c r="K9" s="131">
        <f>+E9*J9</f>
        <v>6055.2</v>
      </c>
      <c r="L9" s="132">
        <f>+H9+I9+K9</f>
        <v>243855.2</v>
      </c>
      <c r="M9" s="131">
        <f>+$G9*M$2</f>
        <v>108383.83333333333</v>
      </c>
      <c r="N9" s="131">
        <f>+$G9*N$2</f>
        <v>108383.83333333333</v>
      </c>
      <c r="O9" s="131">
        <f>+$G9*O$2</f>
        <v>13006.06</v>
      </c>
      <c r="P9" s="132">
        <f>+SUM(M9:O9)</f>
        <v>229773.72666666665</v>
      </c>
      <c r="Q9" s="131">
        <f>+$E9*Q$2</f>
        <v>23200</v>
      </c>
      <c r="R9" s="131">
        <f>+$E9*R$2</f>
        <v>34800</v>
      </c>
      <c r="S9" s="131">
        <f>+$E9*S$2</f>
        <v>46400</v>
      </c>
      <c r="T9" s="132">
        <f>+SUM(Q9:S9)</f>
        <v>104400</v>
      </c>
      <c r="U9" s="132">
        <f>+E9*$U$2</f>
        <v>48333.333333333328</v>
      </c>
      <c r="V9" s="160">
        <f>+G9+L9+P9+T9+U9</f>
        <v>1926968.2599999998</v>
      </c>
      <c r="X9" s="153" t="s">
        <v>146</v>
      </c>
      <c r="Y9" s="154" t="s">
        <v>147</v>
      </c>
      <c r="Z9" s="155">
        <v>6.9599999999999995E-2</v>
      </c>
      <c r="AA9" s="156" t="s">
        <v>148</v>
      </c>
    </row>
    <row r="10" spans="1:27" ht="14.25" customHeight="1" thickBot="1" x14ac:dyDescent="0.3"/>
    <row r="11" spans="1:27" x14ac:dyDescent="0.25">
      <c r="E11" s="120" t="s">
        <v>160</v>
      </c>
      <c r="F11" s="166">
        <v>1160000</v>
      </c>
    </row>
    <row r="12" spans="1:27" x14ac:dyDescent="0.25">
      <c r="E12" s="164" t="s">
        <v>161</v>
      </c>
      <c r="F12" s="165">
        <v>2</v>
      </c>
    </row>
    <row r="13" spans="1:27" ht="33.75" customHeight="1" thickBot="1" x14ac:dyDescent="0.25">
      <c r="E13" s="168" t="s">
        <v>162</v>
      </c>
      <c r="F13" s="167">
        <f>+F11*F12</f>
        <v>2320000</v>
      </c>
      <c r="G13" s="1"/>
      <c r="H13" s="1"/>
    </row>
    <row r="14" spans="1:27" ht="17.25" customHeight="1" x14ac:dyDescent="0.25"/>
    <row r="24" ht="14.45" customHeight="1" x14ac:dyDescent="0.25"/>
  </sheetData>
  <mergeCells count="13">
    <mergeCell ref="X3:X4"/>
    <mergeCell ref="Y3:Y4"/>
    <mergeCell ref="Z3:Z4"/>
    <mergeCell ref="AA3:AA4"/>
    <mergeCell ref="B2:B3"/>
    <mergeCell ref="V2:V3"/>
    <mergeCell ref="G2:G3"/>
    <mergeCell ref="F2:F3"/>
    <mergeCell ref="E2:E3"/>
    <mergeCell ref="C2:C3"/>
    <mergeCell ref="D2:D3"/>
    <mergeCell ref="K2:K3"/>
    <mergeCell ref="J2:J3"/>
  </mergeCells>
  <phoneticPr fontId="14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B8723-AC08-418B-A936-D38D96A20935}">
  <dimension ref="B2:L124"/>
  <sheetViews>
    <sheetView showGridLines="0" topLeftCell="A14" zoomScale="90" zoomScaleNormal="90" workbookViewId="0">
      <selection activeCell="D124" sqref="D124"/>
    </sheetView>
  </sheetViews>
  <sheetFormatPr baseColWidth="10" defaultColWidth="11.42578125" defaultRowHeight="14.25" x14ac:dyDescent="0.2"/>
  <cols>
    <col min="1" max="1" width="11.42578125" style="1"/>
    <col min="2" max="2" width="50" style="1" customWidth="1"/>
    <col min="3" max="8" width="16" style="1" bestFit="1" customWidth="1"/>
    <col min="9" max="9" width="15.7109375" style="1" customWidth="1"/>
    <col min="10" max="12" width="11.42578125" style="1"/>
    <col min="13" max="13" width="19" style="1" bestFit="1" customWidth="1"/>
    <col min="14" max="16384" width="11.42578125" style="1"/>
  </cols>
  <sheetData>
    <row r="2" spans="2:8" ht="18.75" customHeight="1" x14ac:dyDescent="0.2">
      <c r="C2" s="217">
        <v>2023</v>
      </c>
      <c r="D2" s="217">
        <f>+C2+1</f>
        <v>2024</v>
      </c>
      <c r="E2" s="217">
        <f>+D2+1</f>
        <v>2025</v>
      </c>
      <c r="F2" s="217">
        <f>+E2+1</f>
        <v>2026</v>
      </c>
      <c r="G2" s="217">
        <f>+F2+1</f>
        <v>2027</v>
      </c>
      <c r="H2" s="217">
        <f>+G2+1</f>
        <v>2028</v>
      </c>
    </row>
    <row r="3" spans="2:8" ht="18.75" customHeight="1" x14ac:dyDescent="0.2">
      <c r="C3" s="217" t="s">
        <v>29</v>
      </c>
      <c r="D3" s="217" t="s">
        <v>30</v>
      </c>
      <c r="E3" s="217" t="s">
        <v>31</v>
      </c>
      <c r="F3" s="217" t="s">
        <v>32</v>
      </c>
      <c r="G3" s="217" t="s">
        <v>33</v>
      </c>
      <c r="H3" s="217" t="s">
        <v>34</v>
      </c>
    </row>
    <row r="4" spans="2:8" ht="30" x14ac:dyDescent="0.2">
      <c r="C4" s="298" t="s">
        <v>290</v>
      </c>
      <c r="D4" s="366" t="s">
        <v>275</v>
      </c>
      <c r="E4" s="366"/>
      <c r="F4" s="366"/>
      <c r="G4" s="366"/>
      <c r="H4" s="366"/>
    </row>
    <row r="7" spans="2:8" ht="15" x14ac:dyDescent="0.2">
      <c r="B7" s="367" t="s">
        <v>289</v>
      </c>
      <c r="C7" s="367"/>
      <c r="D7" s="367"/>
      <c r="E7" s="367"/>
      <c r="F7" s="367"/>
      <c r="G7" s="367"/>
      <c r="H7" s="367"/>
    </row>
    <row r="8" spans="2:8" ht="15" thickBot="1" x14ac:dyDescent="0.25"/>
    <row r="9" spans="2:8" ht="15" x14ac:dyDescent="0.2">
      <c r="B9" s="265"/>
      <c r="C9" s="82">
        <v>2023</v>
      </c>
      <c r="D9" s="82">
        <f>+C9+1</f>
        <v>2024</v>
      </c>
      <c r="E9" s="82">
        <f>+D9+1</f>
        <v>2025</v>
      </c>
      <c r="F9" s="82">
        <f>+E9+1</f>
        <v>2026</v>
      </c>
      <c r="G9" s="82">
        <f>+F9+1</f>
        <v>2027</v>
      </c>
      <c r="H9" s="83">
        <f>+G9+1</f>
        <v>2028</v>
      </c>
    </row>
    <row r="10" spans="2:8" ht="15" x14ac:dyDescent="0.2">
      <c r="B10" s="250"/>
      <c r="C10" s="217" t="s">
        <v>29</v>
      </c>
      <c r="D10" s="217" t="s">
        <v>30</v>
      </c>
      <c r="E10" s="217" t="s">
        <v>31</v>
      </c>
      <c r="F10" s="217" t="s">
        <v>32</v>
      </c>
      <c r="G10" s="217" t="s">
        <v>33</v>
      </c>
      <c r="H10" s="218" t="s">
        <v>34</v>
      </c>
    </row>
    <row r="11" spans="2:8" x14ac:dyDescent="0.2">
      <c r="B11" s="250" t="s">
        <v>288</v>
      </c>
      <c r="C11" s="297">
        <v>0.10199999999999999</v>
      </c>
      <c r="D11" s="297">
        <v>5.3999999999999999E-2</v>
      </c>
      <c r="E11" s="297">
        <v>4.3999999999999997E-2</v>
      </c>
      <c r="F11" s="297">
        <v>3.7999999999999999E-2</v>
      </c>
      <c r="G11" s="297">
        <f>+F11</f>
        <v>3.7999999999999999E-2</v>
      </c>
      <c r="H11" s="296">
        <f>+G11</f>
        <v>3.7999999999999999E-2</v>
      </c>
    </row>
    <row r="12" spans="2:8" ht="15" thickBot="1" x14ac:dyDescent="0.25">
      <c r="B12" s="248" t="s">
        <v>287</v>
      </c>
      <c r="C12" s="295">
        <v>0.4</v>
      </c>
      <c r="D12" s="295">
        <v>0.4</v>
      </c>
      <c r="E12" s="295">
        <v>0.4</v>
      </c>
      <c r="F12" s="295">
        <v>0.4</v>
      </c>
      <c r="G12" s="295">
        <v>0.4</v>
      </c>
      <c r="H12" s="294">
        <v>0.4</v>
      </c>
    </row>
    <row r="14" spans="2:8" ht="15" x14ac:dyDescent="0.2">
      <c r="B14" s="367" t="s">
        <v>286</v>
      </c>
      <c r="C14" s="367"/>
      <c r="D14" s="367"/>
      <c r="E14" s="367"/>
      <c r="F14" s="367"/>
      <c r="G14" s="367"/>
      <c r="H14" s="367"/>
    </row>
    <row r="15" spans="2:8" ht="15" thickBot="1" x14ac:dyDescent="0.25"/>
    <row r="16" spans="2:8" ht="15" x14ac:dyDescent="0.2">
      <c r="B16" s="368" t="s">
        <v>46</v>
      </c>
      <c r="C16" s="82">
        <v>2023</v>
      </c>
      <c r="D16" s="82">
        <f>+C16+1</f>
        <v>2024</v>
      </c>
      <c r="E16" s="82">
        <f>+D16+1</f>
        <v>2025</v>
      </c>
      <c r="F16" s="82">
        <f>+E16+1</f>
        <v>2026</v>
      </c>
      <c r="G16" s="82">
        <f>+F16+1</f>
        <v>2027</v>
      </c>
      <c r="H16" s="83">
        <f>+G16+1</f>
        <v>2028</v>
      </c>
    </row>
    <row r="17" spans="2:9" ht="15" x14ac:dyDescent="0.2">
      <c r="B17" s="369"/>
      <c r="C17" s="217" t="s">
        <v>29</v>
      </c>
      <c r="D17" s="217" t="s">
        <v>30</v>
      </c>
      <c r="E17" s="217" t="s">
        <v>31</v>
      </c>
      <c r="F17" s="217" t="s">
        <v>32</v>
      </c>
      <c r="G17" s="217" t="s">
        <v>33</v>
      </c>
      <c r="H17" s="218" t="s">
        <v>34</v>
      </c>
    </row>
    <row r="18" spans="2:9" x14ac:dyDescent="0.2">
      <c r="B18" s="56" t="s">
        <v>240</v>
      </c>
      <c r="C18" s="210">
        <f>+'2. EstudioTécnico y Costos'!L6</f>
        <v>1549900</v>
      </c>
      <c r="D18" s="303">
        <f>+C18*(1+D11)</f>
        <v>1633594.6</v>
      </c>
      <c r="E18" s="303">
        <f t="shared" ref="E18:H18" si="0">+D18*(1+E11)</f>
        <v>1705472.7624000001</v>
      </c>
      <c r="F18" s="210">
        <f t="shared" si="0"/>
        <v>1770280.7273712002</v>
      </c>
      <c r="G18" s="210">
        <f t="shared" si="0"/>
        <v>1837551.3950113058</v>
      </c>
      <c r="H18" s="210">
        <f t="shared" si="0"/>
        <v>1907378.3480217354</v>
      </c>
    </row>
    <row r="19" spans="2:9" x14ac:dyDescent="0.2">
      <c r="B19" s="56" t="s">
        <v>54</v>
      </c>
      <c r="C19" s="210">
        <f>+'2. EstudioTécnico y Costos'!L10</f>
        <v>3500000</v>
      </c>
      <c r="D19" s="210">
        <f>+C19*(1+D11)</f>
        <v>3689000</v>
      </c>
      <c r="E19" s="210">
        <f t="shared" ref="E19:H19" si="1">+D19*(1+E11)</f>
        <v>3851316</v>
      </c>
      <c r="F19" s="210">
        <f t="shared" si="1"/>
        <v>3997666.0079999999</v>
      </c>
      <c r="G19" s="303">
        <f t="shared" si="1"/>
        <v>4149577.3163040001</v>
      </c>
      <c r="H19" s="210">
        <f t="shared" si="1"/>
        <v>4307261.2543235524</v>
      </c>
    </row>
    <row r="20" spans="2:9" ht="15" thickBot="1" x14ac:dyDescent="0.25">
      <c r="B20" s="77" t="s">
        <v>291</v>
      </c>
      <c r="C20" s="284">
        <f>+'2. EstudioTécnico y Costos'!L7</f>
        <v>1800000</v>
      </c>
      <c r="D20" s="304">
        <f>+C20*(1+D11)</f>
        <v>1897200</v>
      </c>
      <c r="E20" s="284">
        <f t="shared" ref="E20:H20" si="2">+D20*(1+E11)</f>
        <v>1980676.8</v>
      </c>
      <c r="F20" s="284">
        <f t="shared" si="2"/>
        <v>2055942.5184000002</v>
      </c>
      <c r="G20" s="284">
        <f t="shared" si="2"/>
        <v>2134068.3340992001</v>
      </c>
      <c r="H20" s="284">
        <f t="shared" si="2"/>
        <v>2215162.9307949697</v>
      </c>
    </row>
    <row r="21" spans="2:9" x14ac:dyDescent="0.2">
      <c r="B21" s="45"/>
      <c r="C21" s="210"/>
      <c r="D21" s="210"/>
      <c r="E21" s="210"/>
      <c r="F21" s="210"/>
      <c r="G21" s="210"/>
      <c r="H21" s="210"/>
    </row>
    <row r="23" spans="2:9" ht="15" x14ac:dyDescent="0.2">
      <c r="B23" s="367" t="s">
        <v>286</v>
      </c>
      <c r="C23" s="367"/>
      <c r="D23" s="367"/>
      <c r="E23" s="367"/>
      <c r="F23" s="367"/>
      <c r="G23" s="367"/>
      <c r="H23" s="367"/>
    </row>
    <row r="24" spans="2:9" ht="15" thickBot="1" x14ac:dyDescent="0.25"/>
    <row r="25" spans="2:9" ht="15" x14ac:dyDescent="0.2">
      <c r="B25" s="368" t="s">
        <v>46</v>
      </c>
      <c r="C25" s="82">
        <v>2023</v>
      </c>
      <c r="D25" s="82">
        <f>+C25+1</f>
        <v>2024</v>
      </c>
      <c r="E25" s="82">
        <f>+D25+1</f>
        <v>2025</v>
      </c>
      <c r="F25" s="82">
        <f>+E25+1</f>
        <v>2026</v>
      </c>
      <c r="G25" s="82">
        <f>+F25+1</f>
        <v>2027</v>
      </c>
      <c r="H25" s="83">
        <f>+G25+1</f>
        <v>2028</v>
      </c>
      <c r="I25" s="370" t="s">
        <v>50</v>
      </c>
    </row>
    <row r="26" spans="2:9" ht="15" x14ac:dyDescent="0.2">
      <c r="B26" s="369"/>
      <c r="C26" s="217" t="s">
        <v>29</v>
      </c>
      <c r="D26" s="217" t="s">
        <v>30</v>
      </c>
      <c r="E26" s="217" t="s">
        <v>31</v>
      </c>
      <c r="F26" s="217" t="s">
        <v>32</v>
      </c>
      <c r="G26" s="217" t="s">
        <v>33</v>
      </c>
      <c r="H26" s="218" t="s">
        <v>34</v>
      </c>
      <c r="I26" s="371"/>
    </row>
    <row r="27" spans="2:9" x14ac:dyDescent="0.2">
      <c r="B27" s="56" t="s">
        <v>240</v>
      </c>
      <c r="C27" s="210">
        <f>+'2. EstudioTécnico y Costos'!L6*'2. EstudioTécnico y Costos'!K6</f>
        <v>7749500</v>
      </c>
      <c r="D27" s="210">
        <f>+D18</f>
        <v>1633594.6</v>
      </c>
      <c r="E27" s="210">
        <f>+E18</f>
        <v>1705472.7624000001</v>
      </c>
      <c r="F27" s="210"/>
      <c r="G27" s="210"/>
      <c r="H27" s="252"/>
      <c r="I27" s="293">
        <v>10</v>
      </c>
    </row>
    <row r="28" spans="2:9" x14ac:dyDescent="0.2">
      <c r="B28" s="56" t="s">
        <v>243</v>
      </c>
      <c r="C28" s="210">
        <f>+'2. EstudioTécnico y Costos'!L7*'2. EstudioTécnico y Costos'!K7</f>
        <v>1800000</v>
      </c>
      <c r="D28" s="210">
        <f>+D20</f>
        <v>1897200</v>
      </c>
      <c r="E28" s="210"/>
      <c r="F28" s="210"/>
      <c r="G28" s="210"/>
      <c r="H28" s="252"/>
      <c r="I28" s="293">
        <v>10</v>
      </c>
    </row>
    <row r="29" spans="2:9" x14ac:dyDescent="0.2">
      <c r="B29" s="56" t="s">
        <v>241</v>
      </c>
      <c r="C29" s="210">
        <f>+'2. EstudioTécnico y Costos'!L8*'2. EstudioTécnico y Costos'!K8</f>
        <v>8000000</v>
      </c>
      <c r="D29" s="210"/>
      <c r="E29" s="210"/>
      <c r="F29" s="210"/>
      <c r="G29" s="210"/>
      <c r="H29" s="252"/>
      <c r="I29" s="293">
        <v>10</v>
      </c>
    </row>
    <row r="30" spans="2:9" x14ac:dyDescent="0.2">
      <c r="B30" s="56" t="s">
        <v>52</v>
      </c>
      <c r="C30" s="210">
        <f>+'2. EstudioTécnico y Costos'!L9*'2. EstudioTécnico y Costos'!K9</f>
        <v>2490000</v>
      </c>
      <c r="D30" s="210"/>
      <c r="E30" s="210"/>
      <c r="F30" s="210"/>
      <c r="G30" s="210"/>
      <c r="H30" s="252"/>
      <c r="I30" s="293">
        <v>10</v>
      </c>
    </row>
    <row r="31" spans="2:9" x14ac:dyDescent="0.2">
      <c r="B31" s="56" t="s">
        <v>54</v>
      </c>
      <c r="C31" s="210">
        <f>+'2. EstudioTécnico y Costos'!L10*'2. EstudioTécnico y Costos'!K10</f>
        <v>10500000</v>
      </c>
      <c r="D31" s="210"/>
      <c r="E31" s="210"/>
      <c r="F31" s="210"/>
      <c r="G31" s="210">
        <f>+G19</f>
        <v>4149577.3163040001</v>
      </c>
      <c r="H31" s="252"/>
      <c r="I31" s="293">
        <v>5</v>
      </c>
    </row>
    <row r="32" spans="2:9" x14ac:dyDescent="0.2">
      <c r="B32" s="56" t="s">
        <v>55</v>
      </c>
      <c r="C32" s="210">
        <f>+'2. EstudioTécnico y Costos'!L11*'2. EstudioTécnico y Costos'!K11</f>
        <v>1400000</v>
      </c>
      <c r="D32" s="210"/>
      <c r="E32" s="210"/>
      <c r="F32" s="210"/>
      <c r="G32" s="210"/>
      <c r="H32" s="252"/>
      <c r="I32" s="293">
        <v>10</v>
      </c>
    </row>
    <row r="33" spans="2:9" x14ac:dyDescent="0.2">
      <c r="B33" s="299" t="s">
        <v>245</v>
      </c>
      <c r="C33" s="210">
        <f>+'2. EstudioTécnico y Costos'!L12*'2. EstudioTécnico y Costos'!K12</f>
        <v>400000</v>
      </c>
      <c r="D33" s="210"/>
      <c r="E33" s="210"/>
      <c r="F33" s="210"/>
      <c r="G33" s="210"/>
      <c r="H33" s="252"/>
      <c r="I33" s="293">
        <v>6</v>
      </c>
    </row>
    <row r="34" spans="2:9" x14ac:dyDescent="0.2">
      <c r="B34" s="299" t="s">
        <v>246</v>
      </c>
      <c r="C34" s="210">
        <f>+'2. EstudioTécnico y Costos'!L13*'2. EstudioTécnico y Costos'!K13</f>
        <v>279600</v>
      </c>
      <c r="D34" s="210"/>
      <c r="E34" s="210"/>
      <c r="F34" s="210"/>
      <c r="G34" s="210"/>
      <c r="H34" s="252"/>
      <c r="I34" s="293">
        <v>6</v>
      </c>
    </row>
    <row r="35" spans="2:9" x14ac:dyDescent="0.2">
      <c r="B35" s="299" t="s">
        <v>244</v>
      </c>
      <c r="C35" s="210">
        <f>+'2. EstudioTécnico y Costos'!L14*'2. EstudioTécnico y Costos'!K14</f>
        <v>399000</v>
      </c>
      <c r="D35" s="210"/>
      <c r="E35" s="210"/>
      <c r="F35" s="210"/>
      <c r="G35" s="210"/>
      <c r="H35" s="252"/>
      <c r="I35" s="293">
        <v>6</v>
      </c>
    </row>
    <row r="36" spans="2:9" ht="15.75" thickBot="1" x14ac:dyDescent="0.3">
      <c r="B36" s="300" t="s">
        <v>285</v>
      </c>
      <c r="C36" s="301">
        <f t="shared" ref="C36:H36" si="3">+-SUM(C27:C35)</f>
        <v>-33018100</v>
      </c>
      <c r="D36" s="301">
        <f t="shared" si="3"/>
        <v>-3530794.6</v>
      </c>
      <c r="E36" s="301">
        <f t="shared" si="3"/>
        <v>-1705472.7624000001</v>
      </c>
      <c r="F36" s="301">
        <f t="shared" si="3"/>
        <v>0</v>
      </c>
      <c r="G36" s="301">
        <f t="shared" si="3"/>
        <v>-4149577.3163040001</v>
      </c>
      <c r="H36" s="302">
        <f t="shared" si="3"/>
        <v>0</v>
      </c>
      <c r="I36" s="292"/>
    </row>
    <row r="38" spans="2:9" ht="15" x14ac:dyDescent="0.2">
      <c r="B38" s="367" t="s">
        <v>284</v>
      </c>
      <c r="C38" s="367"/>
      <c r="D38" s="367"/>
      <c r="E38" s="367"/>
      <c r="F38" s="367"/>
      <c r="G38" s="367"/>
      <c r="H38" s="367"/>
    </row>
    <row r="39" spans="2:9" ht="15" thickBot="1" x14ac:dyDescent="0.25"/>
    <row r="40" spans="2:9" ht="15" x14ac:dyDescent="0.2">
      <c r="B40" s="368" t="s">
        <v>46</v>
      </c>
      <c r="C40" s="82">
        <v>2023</v>
      </c>
      <c r="D40" s="82">
        <f>+C40+1</f>
        <v>2024</v>
      </c>
      <c r="E40" s="82">
        <f>+D40+1</f>
        <v>2025</v>
      </c>
      <c r="F40" s="82">
        <f>+E40+1</f>
        <v>2026</v>
      </c>
      <c r="G40" s="82">
        <f>+F40+1</f>
        <v>2027</v>
      </c>
      <c r="H40" s="83">
        <f>+G40+1</f>
        <v>2028</v>
      </c>
      <c r="I40" s="372" t="s">
        <v>283</v>
      </c>
    </row>
    <row r="41" spans="2:9" ht="15" x14ac:dyDescent="0.2">
      <c r="B41" s="369"/>
      <c r="C41" s="217" t="s">
        <v>29</v>
      </c>
      <c r="D41" s="217" t="s">
        <v>30</v>
      </c>
      <c r="E41" s="217" t="s">
        <v>31</v>
      </c>
      <c r="F41" s="217" t="s">
        <v>32</v>
      </c>
      <c r="G41" s="217" t="s">
        <v>33</v>
      </c>
      <c r="H41" s="218" t="s">
        <v>34</v>
      </c>
      <c r="I41" s="369"/>
    </row>
    <row r="42" spans="2:9" x14ac:dyDescent="0.2">
      <c r="B42" s="250" t="s">
        <v>292</v>
      </c>
      <c r="C42" s="210"/>
      <c r="D42" s="210">
        <f>+$C$27/$I$27</f>
        <v>774950</v>
      </c>
      <c r="E42" s="210">
        <f t="shared" ref="E42:H42" si="4">+$C$27/$I$27</f>
        <v>774950</v>
      </c>
      <c r="F42" s="210">
        <f t="shared" si="4"/>
        <v>774950</v>
      </c>
      <c r="G42" s="210">
        <f t="shared" si="4"/>
        <v>774950</v>
      </c>
      <c r="H42" s="305">
        <f t="shared" si="4"/>
        <v>774950</v>
      </c>
      <c r="I42" s="210">
        <f>+SUM(D42:H42)</f>
        <v>3874750</v>
      </c>
    </row>
    <row r="43" spans="2:9" x14ac:dyDescent="0.2">
      <c r="B43" s="250" t="s">
        <v>294</v>
      </c>
      <c r="C43" s="210"/>
      <c r="D43" s="210"/>
      <c r="E43" s="210">
        <f>+$E$27/$I$27</f>
        <v>170547.27624000001</v>
      </c>
      <c r="F43" s="210">
        <f t="shared" ref="F43:H44" si="5">+$E$27/$I$27</f>
        <v>170547.27624000001</v>
      </c>
      <c r="G43" s="210">
        <f t="shared" si="5"/>
        <v>170547.27624000001</v>
      </c>
      <c r="H43" s="306">
        <f t="shared" si="5"/>
        <v>170547.27624000001</v>
      </c>
      <c r="I43" s="210"/>
    </row>
    <row r="44" spans="2:9" x14ac:dyDescent="0.2">
      <c r="B44" s="250" t="s">
        <v>293</v>
      </c>
      <c r="C44" s="210"/>
      <c r="D44" s="210"/>
      <c r="E44" s="210"/>
      <c r="F44" s="210">
        <f>+$E$27/$I$27</f>
        <v>170547.27624000001</v>
      </c>
      <c r="G44" s="210">
        <f t="shared" si="5"/>
        <v>170547.27624000001</v>
      </c>
      <c r="H44" s="306">
        <f t="shared" si="5"/>
        <v>170547.27624000001</v>
      </c>
      <c r="I44" s="53"/>
    </row>
    <row r="45" spans="2:9" x14ac:dyDescent="0.2">
      <c r="B45" s="250" t="s">
        <v>295</v>
      </c>
      <c r="C45" s="210"/>
      <c r="D45" s="210">
        <f>+$C$28/$I$28</f>
        <v>180000</v>
      </c>
      <c r="E45" s="210">
        <f t="shared" ref="E45:H45" si="6">+$C$28/$I$28</f>
        <v>180000</v>
      </c>
      <c r="F45" s="210">
        <f t="shared" si="6"/>
        <v>180000</v>
      </c>
      <c r="G45" s="210">
        <f t="shared" si="6"/>
        <v>180000</v>
      </c>
      <c r="H45" s="306">
        <f t="shared" si="6"/>
        <v>180000</v>
      </c>
      <c r="I45" s="53"/>
    </row>
    <row r="46" spans="2:9" x14ac:dyDescent="0.2">
      <c r="B46" s="250" t="s">
        <v>296</v>
      </c>
      <c r="C46" s="210"/>
      <c r="D46" s="210"/>
      <c r="E46" s="210">
        <f>+$D$28/$I$28</f>
        <v>189720</v>
      </c>
      <c r="F46" s="210">
        <f t="shared" ref="F46:H46" si="7">+$D$28/$I$28</f>
        <v>189720</v>
      </c>
      <c r="G46" s="210">
        <f t="shared" si="7"/>
        <v>189720</v>
      </c>
      <c r="H46" s="306">
        <f t="shared" si="7"/>
        <v>189720</v>
      </c>
      <c r="I46" s="53"/>
    </row>
    <row r="47" spans="2:9" x14ac:dyDescent="0.2">
      <c r="B47" s="56" t="s">
        <v>241</v>
      </c>
      <c r="C47" s="210"/>
      <c r="D47" s="210">
        <f>+$C$29/$I$29</f>
        <v>800000</v>
      </c>
      <c r="E47" s="210">
        <f t="shared" ref="E47:H47" si="8">+$C$29/$I$29</f>
        <v>800000</v>
      </c>
      <c r="F47" s="210">
        <f t="shared" si="8"/>
        <v>800000</v>
      </c>
      <c r="G47" s="210">
        <f t="shared" si="8"/>
        <v>800000</v>
      </c>
      <c r="H47" s="306">
        <f t="shared" si="8"/>
        <v>800000</v>
      </c>
      <c r="I47" s="53"/>
    </row>
    <row r="48" spans="2:9" x14ac:dyDescent="0.2">
      <c r="B48" s="56" t="s">
        <v>52</v>
      </c>
      <c r="C48" s="210"/>
      <c r="D48" s="210">
        <f>+$C$30/$I$30</f>
        <v>249000</v>
      </c>
      <c r="E48" s="210">
        <f t="shared" ref="E48:H48" si="9">+$C$30/$I$30</f>
        <v>249000</v>
      </c>
      <c r="F48" s="210">
        <f t="shared" si="9"/>
        <v>249000</v>
      </c>
      <c r="G48" s="210">
        <f t="shared" si="9"/>
        <v>249000</v>
      </c>
      <c r="H48" s="306">
        <f t="shared" si="9"/>
        <v>249000</v>
      </c>
      <c r="I48" s="53"/>
    </row>
    <row r="49" spans="2:12" x14ac:dyDescent="0.2">
      <c r="B49" s="56" t="s">
        <v>297</v>
      </c>
      <c r="C49" s="210"/>
      <c r="D49" s="210">
        <f>+$C$31/$I$31</f>
        <v>2100000</v>
      </c>
      <c r="E49" s="210">
        <f t="shared" ref="E49:H49" si="10">+$C$31/$I$31</f>
        <v>2100000</v>
      </c>
      <c r="F49" s="210">
        <f t="shared" si="10"/>
        <v>2100000</v>
      </c>
      <c r="G49" s="210">
        <f t="shared" si="10"/>
        <v>2100000</v>
      </c>
      <c r="H49" s="306">
        <f t="shared" si="10"/>
        <v>2100000</v>
      </c>
      <c r="I49" s="53"/>
    </row>
    <row r="50" spans="2:12" x14ac:dyDescent="0.2">
      <c r="B50" s="56" t="s">
        <v>298</v>
      </c>
      <c r="C50" s="210"/>
      <c r="D50" s="210"/>
      <c r="E50" s="210"/>
      <c r="F50" s="210"/>
      <c r="G50" s="210"/>
      <c r="H50" s="306">
        <f>+G31/I31</f>
        <v>829915.4632608</v>
      </c>
      <c r="I50" s="210">
        <f>+SUM(D50:H50)</f>
        <v>829915.4632608</v>
      </c>
    </row>
    <row r="51" spans="2:12" x14ac:dyDescent="0.2">
      <c r="B51" s="56" t="s">
        <v>55</v>
      </c>
      <c r="C51" s="210"/>
      <c r="D51" s="210">
        <f>+$C$32/$I$32</f>
        <v>140000</v>
      </c>
      <c r="E51" s="210">
        <f t="shared" ref="E51:H51" si="11">+$C$32/$I$32</f>
        <v>140000</v>
      </c>
      <c r="F51" s="210">
        <f t="shared" si="11"/>
        <v>140000</v>
      </c>
      <c r="G51" s="210">
        <f t="shared" si="11"/>
        <v>140000</v>
      </c>
      <c r="H51" s="306">
        <f t="shared" si="11"/>
        <v>140000</v>
      </c>
      <c r="I51" s="53"/>
    </row>
    <row r="52" spans="2:12" x14ac:dyDescent="0.2">
      <c r="B52" s="56" t="s">
        <v>299</v>
      </c>
      <c r="C52" s="210"/>
      <c r="D52" s="210">
        <f>+$C$33/$I$33</f>
        <v>66666.666666666672</v>
      </c>
      <c r="E52" s="210">
        <f t="shared" ref="E52:H52" si="12">+$C$33/$I$33</f>
        <v>66666.666666666672</v>
      </c>
      <c r="F52" s="210">
        <f t="shared" si="12"/>
        <v>66666.666666666672</v>
      </c>
      <c r="G52" s="210">
        <f t="shared" si="12"/>
        <v>66666.666666666672</v>
      </c>
      <c r="H52" s="306">
        <f t="shared" si="12"/>
        <v>66666.666666666672</v>
      </c>
      <c r="I52" s="53"/>
    </row>
    <row r="53" spans="2:12" x14ac:dyDescent="0.2">
      <c r="B53" s="56" t="s">
        <v>300</v>
      </c>
      <c r="C53" s="210"/>
      <c r="D53" s="210">
        <f>+$C$34/$I$34</f>
        <v>46600</v>
      </c>
      <c r="E53" s="210">
        <f t="shared" ref="E53:H53" si="13">+$C$34/$I$34</f>
        <v>46600</v>
      </c>
      <c r="F53" s="210">
        <f t="shared" si="13"/>
        <v>46600</v>
      </c>
      <c r="G53" s="210">
        <f t="shared" si="13"/>
        <v>46600</v>
      </c>
      <c r="H53" s="306">
        <f t="shared" si="13"/>
        <v>46600</v>
      </c>
      <c r="I53" s="53"/>
    </row>
    <row r="54" spans="2:12" x14ac:dyDescent="0.2">
      <c r="B54" s="291" t="s">
        <v>244</v>
      </c>
      <c r="C54" s="290"/>
      <c r="D54" s="210">
        <f>+$C$35/$I$35</f>
        <v>66500</v>
      </c>
      <c r="E54" s="210">
        <f t="shared" ref="E54:H54" si="14">+$C$35/$I$35</f>
        <v>66500</v>
      </c>
      <c r="F54" s="210">
        <f t="shared" si="14"/>
        <v>66500</v>
      </c>
      <c r="G54" s="210">
        <f t="shared" si="14"/>
        <v>66500</v>
      </c>
      <c r="H54" s="306">
        <f t="shared" si="14"/>
        <v>66500</v>
      </c>
      <c r="I54" s="53"/>
    </row>
    <row r="55" spans="2:12" ht="15.75" thickBot="1" x14ac:dyDescent="0.3">
      <c r="B55" s="289" t="s">
        <v>282</v>
      </c>
      <c r="C55" s="288"/>
      <c r="D55" s="287">
        <f>+SUM(D42:D54)</f>
        <v>4423716.666666667</v>
      </c>
      <c r="E55" s="287">
        <f>+SUM(E42:E54)</f>
        <v>4783983.9429066675</v>
      </c>
      <c r="F55" s="287">
        <f>+SUM(F42:F54)</f>
        <v>4954531.219146667</v>
      </c>
      <c r="G55" s="287">
        <f>+SUM(G42:G54)</f>
        <v>4954531.219146667</v>
      </c>
      <c r="H55" s="286">
        <f>+SUM(H42:H54)</f>
        <v>5784446.6824074667</v>
      </c>
      <c r="I55" s="53"/>
    </row>
    <row r="57" spans="2:12" ht="15" x14ac:dyDescent="0.2">
      <c r="B57" s="367" t="s">
        <v>281</v>
      </c>
      <c r="C57" s="367"/>
      <c r="D57" s="367"/>
      <c r="E57" s="367"/>
      <c r="F57" s="367"/>
      <c r="G57" s="367"/>
      <c r="H57" s="367"/>
    </row>
    <row r="58" spans="2:12" ht="15" thickBot="1" x14ac:dyDescent="0.25"/>
    <row r="59" spans="2:12" ht="15" x14ac:dyDescent="0.2">
      <c r="B59" s="265"/>
      <c r="C59" s="82">
        <v>2023</v>
      </c>
      <c r="D59" s="82">
        <f>+C59+1</f>
        <v>2024</v>
      </c>
      <c r="E59" s="82">
        <f>+D59+1</f>
        <v>2025</v>
      </c>
      <c r="F59" s="82">
        <f>+E59+1</f>
        <v>2026</v>
      </c>
      <c r="G59" s="82">
        <f>+F59+1</f>
        <v>2027</v>
      </c>
      <c r="H59" s="83">
        <f>+G59+1</f>
        <v>2028</v>
      </c>
    </row>
    <row r="60" spans="2:12" ht="15" x14ac:dyDescent="0.2">
      <c r="B60" s="250"/>
      <c r="C60" s="217" t="s">
        <v>29</v>
      </c>
      <c r="D60" s="217" t="s">
        <v>30</v>
      </c>
      <c r="E60" s="217" t="s">
        <v>31</v>
      </c>
      <c r="F60" s="217" t="s">
        <v>32</v>
      </c>
      <c r="G60" s="217" t="s">
        <v>33</v>
      </c>
      <c r="H60" s="218" t="s">
        <v>34</v>
      </c>
    </row>
    <row r="61" spans="2:12" s="45" customFormat="1" ht="18.75" customHeight="1" x14ac:dyDescent="0.2">
      <c r="B61" s="56" t="s">
        <v>280</v>
      </c>
      <c r="C61" s="285">
        <f>+'2. EstudioTécnico y Costos'!F73</f>
        <v>213542476.31999999</v>
      </c>
      <c r="D61" s="210">
        <f>+C61*(1+D11)</f>
        <v>225073770.04128</v>
      </c>
      <c r="E61" s="210">
        <f>+D61*(1+E11)</f>
        <v>234977015.92309633</v>
      </c>
      <c r="F61" s="210">
        <f>+E61*(1+F11)</f>
        <v>243906142.52817398</v>
      </c>
      <c r="G61" s="210">
        <f>+F61*(1+G11)</f>
        <v>253174575.94424459</v>
      </c>
      <c r="H61" s="252">
        <f>+G61*(1+H11)</f>
        <v>262795209.8301259</v>
      </c>
      <c r="L61" s="1"/>
    </row>
    <row r="62" spans="2:12" s="45" customFormat="1" ht="18.75" customHeight="1" x14ac:dyDescent="0.2">
      <c r="B62" s="56" t="s">
        <v>301</v>
      </c>
      <c r="C62" s="285">
        <f>+'2. EstudioTécnico y Costos'!E47</f>
        <v>10110.455714285714</v>
      </c>
      <c r="D62" s="210">
        <f>+C62*(1+D11)</f>
        <v>10656.420322857142</v>
      </c>
      <c r="E62" s="210">
        <f t="shared" ref="E62:H62" si="15">+D62*(1+E11)</f>
        <v>11125.302817062857</v>
      </c>
      <c r="F62" s="210">
        <f t="shared" si="15"/>
        <v>11548.064324111247</v>
      </c>
      <c r="G62" s="210">
        <f t="shared" si="15"/>
        <v>11986.890768427475</v>
      </c>
      <c r="H62" s="306">
        <f t="shared" si="15"/>
        <v>12442.392617627718</v>
      </c>
      <c r="L62" s="1"/>
    </row>
    <row r="63" spans="2:12" s="45" customFormat="1" ht="18.75" customHeight="1" thickBot="1" x14ac:dyDescent="0.25">
      <c r="B63" s="77" t="s">
        <v>302</v>
      </c>
      <c r="C63" s="307">
        <f>+'2. EstudioTécnico y Costos'!E49</f>
        <v>8988.1485714285718</v>
      </c>
      <c r="D63" s="290">
        <f>+C63*(1+D$11)</f>
        <v>9473.5085942857149</v>
      </c>
      <c r="E63" s="290">
        <f t="shared" ref="E63:H63" si="16">+D63*(1+E$11)</f>
        <v>9890.3429724342859</v>
      </c>
      <c r="F63" s="290">
        <f t="shared" si="16"/>
        <v>10266.176005386789</v>
      </c>
      <c r="G63" s="290">
        <f t="shared" si="16"/>
        <v>10656.290693591487</v>
      </c>
      <c r="H63" s="290">
        <f t="shared" si="16"/>
        <v>11061.229739947965</v>
      </c>
      <c r="L63" s="1"/>
    </row>
    <row r="65" spans="2:12" ht="21" customHeight="1" x14ac:dyDescent="0.2">
      <c r="B65" s="367" t="s">
        <v>279</v>
      </c>
      <c r="C65" s="367"/>
      <c r="D65" s="367"/>
      <c r="E65" s="367"/>
      <c r="F65" s="367"/>
      <c r="G65" s="367"/>
      <c r="H65" s="367"/>
    </row>
    <row r="66" spans="2:12" ht="15" thickBot="1" x14ac:dyDescent="0.25"/>
    <row r="67" spans="2:12" ht="15" x14ac:dyDescent="0.2">
      <c r="B67" s="265"/>
      <c r="C67" s="82">
        <v>2023</v>
      </c>
      <c r="D67" s="82">
        <f>+C67+1</f>
        <v>2024</v>
      </c>
      <c r="E67" s="82">
        <f>+D67+1</f>
        <v>2025</v>
      </c>
      <c r="F67" s="82">
        <f>+E67+1</f>
        <v>2026</v>
      </c>
      <c r="G67" s="82">
        <f>+F67+1</f>
        <v>2027</v>
      </c>
      <c r="H67" s="83">
        <f>+G67+1</f>
        <v>2028</v>
      </c>
    </row>
    <row r="68" spans="2:12" ht="15" x14ac:dyDescent="0.2">
      <c r="B68" s="250"/>
      <c r="C68" s="217" t="s">
        <v>29</v>
      </c>
      <c r="D68" s="217" t="s">
        <v>30</v>
      </c>
      <c r="E68" s="217" t="s">
        <v>31</v>
      </c>
      <c r="F68" s="217" t="s">
        <v>32</v>
      </c>
      <c r="G68" s="217" t="s">
        <v>33</v>
      </c>
      <c r="H68" s="218" t="s">
        <v>34</v>
      </c>
    </row>
    <row r="69" spans="2:12" x14ac:dyDescent="0.2">
      <c r="B69" s="250" t="s">
        <v>311</v>
      </c>
      <c r="D69" s="89">
        <f>+'1. ProyecciónVentas'!D14*$J$75</f>
        <v>66529.825184463523</v>
      </c>
      <c r="E69" s="89">
        <f>+'1. ProyecciónVentas'!E14*$J$75</f>
        <v>67331.645348025748</v>
      </c>
      <c r="F69" s="89">
        <f>+'1. ProyecciónVentas'!F14*$J$75</f>
        <v>68055.003331459229</v>
      </c>
      <c r="G69" s="89">
        <f>+'1. ProyecciónVentas'!G14*$J$75</f>
        <v>68689.574413133043</v>
      </c>
      <c r="H69" s="89">
        <f>+'1. ProyecciónVentas'!H14*$J$75</f>
        <v>69238.695588712464</v>
      </c>
    </row>
    <row r="70" spans="2:12" x14ac:dyDescent="0.2">
      <c r="B70" s="250" t="s">
        <v>312</v>
      </c>
      <c r="D70" s="89">
        <f>+'1. ProyecciónVentas'!D14*$J$76</f>
        <v>51128.233775536479</v>
      </c>
      <c r="E70" s="89">
        <f>+'1. ProyecciónVentas'!E14*$J$76</f>
        <v>51744.433331974244</v>
      </c>
      <c r="F70" s="89">
        <f>+'1. ProyecciónVentas'!F14*$J$76</f>
        <v>52300.334628540768</v>
      </c>
      <c r="G70" s="89">
        <f>+'1. ProyecciónVentas'!G14*$J$76</f>
        <v>52788.003106866941</v>
      </c>
      <c r="H70" s="89">
        <f>+'1. ProyecciónVentas'!H14*$J$76</f>
        <v>53210.003251287562</v>
      </c>
    </row>
    <row r="71" spans="2:12" x14ac:dyDescent="0.2">
      <c r="B71" s="250" t="s">
        <v>303</v>
      </c>
      <c r="D71" s="210">
        <f>+(D61/D69)+D62</f>
        <v>14039.47099850871</v>
      </c>
      <c r="E71" s="210">
        <f t="shared" ref="E71:H71" si="17">+(E61/E69)+E62</f>
        <v>14615.147966524753</v>
      </c>
      <c r="F71" s="210">
        <f t="shared" si="17"/>
        <v>15132.020397704229</v>
      </c>
      <c r="G71" s="210">
        <f t="shared" si="17"/>
        <v>15672.669550830866</v>
      </c>
      <c r="H71" s="210">
        <f t="shared" si="17"/>
        <v>16237.888872946654</v>
      </c>
    </row>
    <row r="72" spans="2:12" ht="54.75" customHeight="1" x14ac:dyDescent="0.2">
      <c r="B72" s="283" t="s">
        <v>304</v>
      </c>
      <c r="D72" s="210">
        <f>+(D61/D70)+D63</f>
        <v>13875.651078405162</v>
      </c>
      <c r="E72" s="210">
        <f t="shared" ref="E72:H72" si="18">+(E61/E70)+E63</f>
        <v>14431.450117536557</v>
      </c>
      <c r="F72" s="210">
        <f t="shared" si="18"/>
        <v>14929.743538185561</v>
      </c>
      <c r="G72" s="210">
        <f t="shared" si="18"/>
        <v>15452.353454891701</v>
      </c>
      <c r="H72" s="210">
        <f t="shared" si="18"/>
        <v>16000.060669708655</v>
      </c>
      <c r="L72" s="45"/>
    </row>
    <row r="73" spans="2:12" x14ac:dyDescent="0.2">
      <c r="B73" s="250"/>
      <c r="H73" s="251"/>
      <c r="L73" s="45"/>
    </row>
    <row r="74" spans="2:12" s="45" customFormat="1" ht="18.75" customHeight="1" x14ac:dyDescent="0.2">
      <c r="B74" s="56" t="s">
        <v>278</v>
      </c>
      <c r="D74" s="282">
        <v>0.2</v>
      </c>
      <c r="E74" s="282">
        <v>0.2</v>
      </c>
      <c r="F74" s="281">
        <v>0.25</v>
      </c>
      <c r="G74" s="281">
        <v>0.25</v>
      </c>
      <c r="H74" s="280">
        <v>0.25</v>
      </c>
      <c r="L74" s="1"/>
    </row>
    <row r="75" spans="2:12" s="45" customFormat="1" ht="18.75" customHeight="1" x14ac:dyDescent="0.2">
      <c r="B75" s="56" t="s">
        <v>277</v>
      </c>
      <c r="D75" s="282">
        <v>0.15</v>
      </c>
      <c r="E75" s="282">
        <v>0.15</v>
      </c>
      <c r="F75" s="281">
        <v>0.1</v>
      </c>
      <c r="G75" s="281">
        <v>0.1</v>
      </c>
      <c r="H75" s="281">
        <v>0.1</v>
      </c>
      <c r="J75" s="308">
        <f>+'2. EstudioTécnico y Costos'!G168</f>
        <v>0.56545064377682408</v>
      </c>
      <c r="K75" s="45" t="s">
        <v>220</v>
      </c>
      <c r="L75" s="1"/>
    </row>
    <row r="76" spans="2:12" s="45" customFormat="1" ht="18.75" customHeight="1" x14ac:dyDescent="0.2">
      <c r="B76" s="56"/>
      <c r="H76" s="59"/>
      <c r="J76" s="308">
        <f>+'2. EstudioTécnico y Costos'!G167</f>
        <v>0.43454935622317598</v>
      </c>
      <c r="K76" s="45" t="s">
        <v>221</v>
      </c>
      <c r="L76" s="1"/>
    </row>
    <row r="77" spans="2:12" s="45" customFormat="1" ht="18.75" customHeight="1" x14ac:dyDescent="0.2">
      <c r="B77" s="56" t="s">
        <v>306</v>
      </c>
      <c r="D77" s="278">
        <f>+D71/((1-D74)*(1-D75))</f>
        <v>20646.280880159866</v>
      </c>
      <c r="E77" s="278">
        <f t="shared" ref="E77:H77" si="19">+E71/((1-E74)*(1-E75))</f>
        <v>21492.864656654048</v>
      </c>
      <c r="F77" s="278">
        <f t="shared" si="19"/>
        <v>22417.807996598858</v>
      </c>
      <c r="G77" s="278">
        <f t="shared" si="19"/>
        <v>23218.769704934613</v>
      </c>
      <c r="H77" s="278">
        <f t="shared" si="19"/>
        <v>24056.13166362467</v>
      </c>
      <c r="L77" s="1"/>
    </row>
    <row r="78" spans="2:12" s="45" customFormat="1" ht="42.75" customHeight="1" x14ac:dyDescent="0.2">
      <c r="B78" s="279" t="s">
        <v>305</v>
      </c>
      <c r="D78" s="278">
        <f>+D72/((1-D74)*(1-D75))</f>
        <v>20405.369232948768</v>
      </c>
      <c r="E78" s="278">
        <f>+E72/((1-E74)*(1-E75))</f>
        <v>21222.720761083168</v>
      </c>
      <c r="F78" s="278">
        <f>+F72/((1-F74)*(1-F75))</f>
        <v>22118.138575089717</v>
      </c>
      <c r="G78" s="278">
        <f>+G72/((1-G74)*(1-G75))</f>
        <v>22892.375488728445</v>
      </c>
      <c r="H78" s="277">
        <f>+H72/((1-H74)*(1-H75))</f>
        <v>23703.793584753563</v>
      </c>
      <c r="L78" s="1"/>
    </row>
    <row r="79" spans="2:12" s="45" customFormat="1" ht="42.75" customHeight="1" x14ac:dyDescent="0.2">
      <c r="B79" s="279" t="s">
        <v>307</v>
      </c>
      <c r="D79" s="278">
        <f>+D77*(1-D75)</f>
        <v>17549.338748135884</v>
      </c>
      <c r="E79" s="278">
        <f t="shared" ref="E79:H79" si="20">+E77*(1-E75)</f>
        <v>18268.93495815594</v>
      </c>
      <c r="F79" s="278">
        <f t="shared" si="20"/>
        <v>20176.027196938972</v>
      </c>
      <c r="G79" s="278">
        <f t="shared" si="20"/>
        <v>20896.892734441153</v>
      </c>
      <c r="H79" s="278">
        <f t="shared" si="20"/>
        <v>21650.518497262205</v>
      </c>
      <c r="L79" s="1"/>
    </row>
    <row r="80" spans="2:12" s="45" customFormat="1" ht="27.75" customHeight="1" thickBot="1" x14ac:dyDescent="0.25">
      <c r="B80" s="276" t="s">
        <v>308</v>
      </c>
      <c r="C80" s="275"/>
      <c r="D80" s="274">
        <f>+D78*(1-D75)</f>
        <v>17344.563848006452</v>
      </c>
      <c r="E80" s="274">
        <f>+E78*(1-E75)</f>
        <v>18039.312646920691</v>
      </c>
      <c r="F80" s="274">
        <f>+F78*(1-F75)</f>
        <v>19906.324717580745</v>
      </c>
      <c r="G80" s="274">
        <f>+G78*(1-G75)</f>
        <v>20603.137939855602</v>
      </c>
      <c r="H80" s="273">
        <f>+H78*(1-H75)</f>
        <v>21333.414226278208</v>
      </c>
      <c r="L80" s="1"/>
    </row>
    <row r="82" spans="2:12" ht="24" customHeight="1" x14ac:dyDescent="0.2">
      <c r="B82" s="367" t="s">
        <v>276</v>
      </c>
      <c r="C82" s="367"/>
      <c r="D82" s="367"/>
      <c r="E82" s="367"/>
      <c r="F82" s="367"/>
      <c r="G82" s="367"/>
      <c r="H82" s="367"/>
    </row>
    <row r="83" spans="2:12" ht="15" thickBot="1" x14ac:dyDescent="0.25"/>
    <row r="84" spans="2:12" ht="15" x14ac:dyDescent="0.2">
      <c r="B84" s="265"/>
      <c r="C84" s="82">
        <v>2023</v>
      </c>
      <c r="D84" s="82">
        <f>+C84+1</f>
        <v>2024</v>
      </c>
      <c r="E84" s="82">
        <f>+D84+1</f>
        <v>2025</v>
      </c>
      <c r="F84" s="82">
        <f>+E84+1</f>
        <v>2026</v>
      </c>
      <c r="G84" s="82">
        <f>+F84+1</f>
        <v>2027</v>
      </c>
      <c r="H84" s="83">
        <f>+G84+1</f>
        <v>2028</v>
      </c>
    </row>
    <row r="85" spans="2:12" ht="15" x14ac:dyDescent="0.2">
      <c r="B85" s="250"/>
      <c r="C85" s="217" t="s">
        <v>29</v>
      </c>
      <c r="D85" s="217" t="s">
        <v>30</v>
      </c>
      <c r="E85" s="217" t="s">
        <v>31</v>
      </c>
      <c r="F85" s="217" t="s">
        <v>32</v>
      </c>
      <c r="G85" s="217" t="s">
        <v>33</v>
      </c>
      <c r="H85" s="218" t="s">
        <v>34</v>
      </c>
      <c r="L85" s="45"/>
    </row>
    <row r="86" spans="2:12" ht="15" x14ac:dyDescent="0.2">
      <c r="B86" s="250"/>
      <c r="C86" s="127"/>
      <c r="D86" s="366" t="s">
        <v>275</v>
      </c>
      <c r="E86" s="366"/>
      <c r="F86" s="366"/>
      <c r="G86" s="366"/>
      <c r="H86" s="377"/>
      <c r="L86" s="45"/>
    </row>
    <row r="87" spans="2:12" x14ac:dyDescent="0.2">
      <c r="B87" s="250" t="s">
        <v>309</v>
      </c>
      <c r="D87" s="210">
        <f>+D79</f>
        <v>17549.338748135884</v>
      </c>
      <c r="E87" s="210">
        <f t="shared" ref="E87:H87" si="21">+E79</f>
        <v>18268.93495815594</v>
      </c>
      <c r="F87" s="210">
        <f t="shared" si="21"/>
        <v>20176.027196938972</v>
      </c>
      <c r="G87" s="210">
        <f t="shared" si="21"/>
        <v>20896.892734441153</v>
      </c>
      <c r="H87" s="210">
        <f t="shared" si="21"/>
        <v>21650.518497262205</v>
      </c>
      <c r="L87" s="45"/>
    </row>
    <row r="88" spans="2:12" x14ac:dyDescent="0.2">
      <c r="B88" s="250" t="s">
        <v>310</v>
      </c>
      <c r="D88" s="210">
        <f>+D80</f>
        <v>17344.563848006452</v>
      </c>
      <c r="E88" s="210">
        <f t="shared" ref="E88:H88" si="22">+E80</f>
        <v>18039.312646920691</v>
      </c>
      <c r="F88" s="210">
        <f t="shared" si="22"/>
        <v>19906.324717580745</v>
      </c>
      <c r="G88" s="210">
        <f t="shared" si="22"/>
        <v>20603.137939855602</v>
      </c>
      <c r="H88" s="210">
        <f t="shared" si="22"/>
        <v>21333.414226278208</v>
      </c>
      <c r="L88" s="45"/>
    </row>
    <row r="89" spans="2:12" x14ac:dyDescent="0.2">
      <c r="B89" s="250" t="s">
        <v>313</v>
      </c>
      <c r="D89" s="210">
        <f>+D69</f>
        <v>66529.825184463523</v>
      </c>
      <c r="E89" s="210">
        <f t="shared" ref="E89:H89" si="23">+E69</f>
        <v>67331.645348025748</v>
      </c>
      <c r="F89" s="210">
        <f t="shared" si="23"/>
        <v>68055.003331459229</v>
      </c>
      <c r="G89" s="210">
        <f t="shared" si="23"/>
        <v>68689.574413133043</v>
      </c>
      <c r="H89" s="210">
        <f t="shared" si="23"/>
        <v>69238.695588712464</v>
      </c>
      <c r="L89" s="45"/>
    </row>
    <row r="90" spans="2:12" x14ac:dyDescent="0.2">
      <c r="B90" s="250" t="s">
        <v>314</v>
      </c>
      <c r="D90" s="89">
        <f>+D70</f>
        <v>51128.233775536479</v>
      </c>
      <c r="E90" s="89">
        <f t="shared" ref="E90:H90" si="24">+E70</f>
        <v>51744.433331974244</v>
      </c>
      <c r="F90" s="89">
        <f t="shared" si="24"/>
        <v>52300.334628540768</v>
      </c>
      <c r="G90" s="89">
        <f t="shared" si="24"/>
        <v>52788.003106866941</v>
      </c>
      <c r="H90" s="89">
        <f t="shared" si="24"/>
        <v>53210.003251287562</v>
      </c>
      <c r="L90" s="45"/>
    </row>
    <row r="91" spans="2:12" ht="15" x14ac:dyDescent="0.25">
      <c r="B91" s="262" t="s">
        <v>271</v>
      </c>
      <c r="C91" s="272"/>
      <c r="D91" s="271">
        <f>+(D87*D89)+(D88*D90)</f>
        <v>2054351354.1720047</v>
      </c>
      <c r="E91" s="271">
        <f t="shared" ref="E91:H91" si="25">+(E87*E89)+(E88*E90)</f>
        <v>2163511460.101933</v>
      </c>
      <c r="F91" s="271">
        <f t="shared" si="25"/>
        <v>2414187042.0571594</v>
      </c>
      <c r="G91" s="271">
        <f t="shared" si="25"/>
        <v>2522997178.0659604</v>
      </c>
      <c r="H91" s="271">
        <f t="shared" si="25"/>
        <v>2634204699.9110537</v>
      </c>
      <c r="L91" s="45"/>
    </row>
    <row r="92" spans="2:12" x14ac:dyDescent="0.2">
      <c r="B92" s="250"/>
      <c r="D92" s="210"/>
      <c r="E92" s="210"/>
      <c r="F92" s="210"/>
      <c r="G92" s="210"/>
      <c r="H92" s="252"/>
    </row>
    <row r="93" spans="2:12" x14ac:dyDescent="0.2">
      <c r="B93" s="250" t="s">
        <v>165</v>
      </c>
      <c r="D93" s="210">
        <f>+D61</f>
        <v>225073770.04128</v>
      </c>
      <c r="E93" s="210">
        <f>+E61</f>
        <v>234977015.92309633</v>
      </c>
      <c r="F93" s="210">
        <f>+F61</f>
        <v>243906142.52817398</v>
      </c>
      <c r="G93" s="210">
        <f>+G61</f>
        <v>253174575.94424459</v>
      </c>
      <c r="H93" s="252">
        <f>+H61</f>
        <v>262795209.8301259</v>
      </c>
    </row>
    <row r="94" spans="2:12" x14ac:dyDescent="0.2">
      <c r="B94" s="250" t="s">
        <v>316</v>
      </c>
      <c r="D94" s="210">
        <f>+D62*D89</f>
        <v>708969781.17184997</v>
      </c>
      <c r="E94" s="210">
        <f t="shared" ref="E94:H94" si="26">+E62*E89</f>
        <v>749084943.66786802</v>
      </c>
      <c r="F94" s="210">
        <f t="shared" si="26"/>
        <v>785903556.04929638</v>
      </c>
      <c r="G94" s="210">
        <f t="shared" si="26"/>
        <v>823374425.4199965</v>
      </c>
      <c r="H94" s="210">
        <f t="shared" si="26"/>
        <v>861495034.8471688</v>
      </c>
    </row>
    <row r="95" spans="2:12" x14ac:dyDescent="0.2">
      <c r="B95" s="250" t="s">
        <v>315</v>
      </c>
      <c r="D95" s="210">
        <f>+D63*D90</f>
        <v>484363762.08319402</v>
      </c>
      <c r="E95" s="210">
        <f>+E63*E90</f>
        <v>511770192.56748587</v>
      </c>
      <c r="F95" s="210">
        <f>+F63*F90</f>
        <v>536924440.43722498</v>
      </c>
      <c r="G95" s="210">
        <f>+G63*G90</f>
        <v>562524306.24098468</v>
      </c>
      <c r="H95" s="252">
        <f>+H63*H90</f>
        <v>588568070.42586994</v>
      </c>
    </row>
    <row r="96" spans="2:12" x14ac:dyDescent="0.2">
      <c r="B96" s="250" t="s">
        <v>270</v>
      </c>
      <c r="D96" s="210">
        <f>+D55</f>
        <v>4423716.666666667</v>
      </c>
      <c r="E96" s="210">
        <f>+E55</f>
        <v>4783983.9429066675</v>
      </c>
      <c r="F96" s="210">
        <f>+F55</f>
        <v>4954531.219146667</v>
      </c>
      <c r="G96" s="210">
        <f>+G55</f>
        <v>4954531.219146667</v>
      </c>
      <c r="H96" s="252">
        <f>+H55</f>
        <v>5784446.6824074667</v>
      </c>
    </row>
    <row r="97" spans="2:8" ht="15" x14ac:dyDescent="0.25">
      <c r="B97" s="258" t="s">
        <v>269</v>
      </c>
      <c r="C97" s="270"/>
      <c r="D97" s="257">
        <f>+SUM(D93:D96)</f>
        <v>1422831029.9629908</v>
      </c>
      <c r="E97" s="257">
        <f>+SUM(E93:E96)</f>
        <v>1500616136.1013567</v>
      </c>
      <c r="F97" s="257">
        <f>+SUM(F93:F96)</f>
        <v>1571688670.2338419</v>
      </c>
      <c r="G97" s="257">
        <f>+SUM(G93:G96)</f>
        <v>1644027838.8243725</v>
      </c>
      <c r="H97" s="256">
        <f>+SUM(H93:H96)</f>
        <v>1718642761.7855721</v>
      </c>
    </row>
    <row r="98" spans="2:8" x14ac:dyDescent="0.2">
      <c r="B98" s="250"/>
      <c r="D98" s="210"/>
      <c r="E98" s="210"/>
      <c r="F98" s="210"/>
      <c r="G98" s="210"/>
      <c r="H98" s="252"/>
    </row>
    <row r="99" spans="2:8" ht="15.75" thickBot="1" x14ac:dyDescent="0.25">
      <c r="B99" s="269" t="s">
        <v>268</v>
      </c>
      <c r="C99" s="268"/>
      <c r="D99" s="267">
        <f>+D91-D97</f>
        <v>631520324.20901394</v>
      </c>
      <c r="E99" s="267">
        <f>+E91-E97</f>
        <v>662895324.00057626</v>
      </c>
      <c r="F99" s="267">
        <f>+F91-F97</f>
        <v>842498371.82331753</v>
      </c>
      <c r="G99" s="267">
        <f>+G91-G97</f>
        <v>878969339.24158788</v>
      </c>
      <c r="H99" s="266">
        <f>+H91-H97</f>
        <v>915561938.12548161</v>
      </c>
    </row>
    <row r="100" spans="2:8" x14ac:dyDescent="0.2">
      <c r="D100" s="210"/>
      <c r="E100" s="210"/>
      <c r="F100" s="210"/>
      <c r="G100" s="210"/>
      <c r="H100" s="210"/>
    </row>
    <row r="101" spans="2:8" x14ac:dyDescent="0.2">
      <c r="D101" s="210"/>
      <c r="E101" s="210"/>
      <c r="F101" s="210"/>
      <c r="G101" s="210"/>
      <c r="H101" s="210"/>
    </row>
    <row r="102" spans="2:8" ht="21.75" customHeight="1" x14ac:dyDescent="0.2">
      <c r="B102" s="367" t="s">
        <v>274</v>
      </c>
      <c r="C102" s="367"/>
      <c r="D102" s="367"/>
      <c r="E102" s="367"/>
      <c r="F102" s="367"/>
      <c r="G102" s="367"/>
      <c r="H102" s="367"/>
    </row>
    <row r="103" spans="2:8" ht="15" thickBot="1" x14ac:dyDescent="0.25">
      <c r="D103" s="210"/>
      <c r="E103" s="210"/>
      <c r="F103" s="210"/>
      <c r="G103" s="210"/>
      <c r="H103" s="210"/>
    </row>
    <row r="104" spans="2:8" ht="15" x14ac:dyDescent="0.2">
      <c r="B104" s="265"/>
      <c r="C104" s="375">
        <f>+D84</f>
        <v>2024</v>
      </c>
      <c r="D104" s="376"/>
      <c r="E104" s="210"/>
      <c r="F104" s="210"/>
      <c r="G104" s="210"/>
      <c r="H104" s="210"/>
    </row>
    <row r="105" spans="2:8" ht="15" x14ac:dyDescent="0.2">
      <c r="B105" s="250"/>
      <c r="C105" s="373" t="s">
        <v>30</v>
      </c>
      <c r="D105" s="374"/>
      <c r="E105" s="210"/>
      <c r="F105" s="210"/>
      <c r="G105" s="210"/>
      <c r="H105" s="210"/>
    </row>
    <row r="106" spans="2:8" ht="45" x14ac:dyDescent="0.2">
      <c r="B106" s="250"/>
      <c r="C106" s="264" t="s">
        <v>273</v>
      </c>
      <c r="D106" s="263" t="s">
        <v>272</v>
      </c>
      <c r="E106" s="210"/>
      <c r="F106" s="210"/>
      <c r="G106" s="210"/>
      <c r="H106" s="210"/>
    </row>
    <row r="107" spans="2:8" ht="15" x14ac:dyDescent="0.25">
      <c r="B107" s="262" t="s">
        <v>271</v>
      </c>
      <c r="C107" s="261">
        <f>+D91</f>
        <v>2054351354.1720047</v>
      </c>
      <c r="D107" s="260">
        <f>+C107</f>
        <v>2054351354.1720047</v>
      </c>
      <c r="E107" s="259"/>
      <c r="F107" s="259"/>
      <c r="G107" s="259"/>
      <c r="H107" s="259"/>
    </row>
    <row r="108" spans="2:8" x14ac:dyDescent="0.2">
      <c r="B108" s="250"/>
      <c r="C108" s="53"/>
      <c r="D108" s="252"/>
      <c r="E108" s="259"/>
      <c r="F108" s="259"/>
      <c r="G108" s="259"/>
      <c r="H108" s="259"/>
    </row>
    <row r="109" spans="2:8" x14ac:dyDescent="0.2">
      <c r="B109" s="250" t="s">
        <v>165</v>
      </c>
      <c r="C109" s="210">
        <f>+D93</f>
        <v>225073770.04128</v>
      </c>
      <c r="D109" s="252">
        <f>+D93</f>
        <v>225073770.04128</v>
      </c>
    </row>
    <row r="110" spans="2:8" x14ac:dyDescent="0.2">
      <c r="B110" s="250" t="s">
        <v>316</v>
      </c>
      <c r="C110" s="210">
        <f>+D94</f>
        <v>708969781.17184997</v>
      </c>
      <c r="D110" s="252">
        <f>+D94</f>
        <v>708969781.17184997</v>
      </c>
    </row>
    <row r="111" spans="2:8" x14ac:dyDescent="0.2">
      <c r="B111" s="250" t="s">
        <v>315</v>
      </c>
      <c r="C111" s="210">
        <f>+D95</f>
        <v>484363762.08319402</v>
      </c>
      <c r="D111" s="252">
        <f>+D95</f>
        <v>484363762.08319402</v>
      </c>
    </row>
    <row r="112" spans="2:8" x14ac:dyDescent="0.2">
      <c r="B112" s="250" t="s">
        <v>270</v>
      </c>
      <c r="C112" s="210">
        <v>0</v>
      </c>
      <c r="D112" s="252">
        <f>+D96</f>
        <v>4423716.666666667</v>
      </c>
    </row>
    <row r="113" spans="2:4" ht="15" x14ac:dyDescent="0.25">
      <c r="B113" s="258" t="s">
        <v>269</v>
      </c>
      <c r="C113" s="257">
        <f>+SUM(C109:C112)</f>
        <v>1418407313.296324</v>
      </c>
      <c r="D113" s="256">
        <f>+SUM(D109:D112)</f>
        <v>1422831029.9629908</v>
      </c>
    </row>
    <row r="114" spans="2:4" x14ac:dyDescent="0.2">
      <c r="B114" s="250"/>
      <c r="C114" s="53"/>
      <c r="D114" s="101"/>
    </row>
    <row r="115" spans="2:4" ht="15" x14ac:dyDescent="0.2">
      <c r="B115" s="255" t="s">
        <v>268</v>
      </c>
      <c r="C115" s="254">
        <f>+C107-C113</f>
        <v>635944040.87568069</v>
      </c>
      <c r="D115" s="253">
        <f>+D107-D113</f>
        <v>631520324.20901394</v>
      </c>
    </row>
    <row r="116" spans="2:4" x14ac:dyDescent="0.2">
      <c r="B116" s="250"/>
      <c r="C116" s="53"/>
      <c r="D116" s="101"/>
    </row>
    <row r="117" spans="2:4" x14ac:dyDescent="0.2">
      <c r="B117" s="250" t="s">
        <v>267</v>
      </c>
      <c r="C117" s="210">
        <f>+C115*$C$12</f>
        <v>254377616.3502723</v>
      </c>
      <c r="D117" s="252">
        <f>+D115*$C$12</f>
        <v>252608129.68360558</v>
      </c>
    </row>
    <row r="118" spans="2:4" x14ac:dyDescent="0.2">
      <c r="B118" s="250"/>
      <c r="C118" s="53"/>
      <c r="D118" s="101"/>
    </row>
    <row r="119" spans="2:4" ht="15" x14ac:dyDescent="0.2">
      <c r="B119" s="255" t="s">
        <v>266</v>
      </c>
      <c r="C119" s="254">
        <f>+C115-C117</f>
        <v>381566424.52540839</v>
      </c>
      <c r="D119" s="253">
        <f>+D115-D117</f>
        <v>378912194.52540839</v>
      </c>
    </row>
    <row r="120" spans="2:4" x14ac:dyDescent="0.2">
      <c r="B120" s="250"/>
      <c r="C120" s="53"/>
      <c r="D120" s="101"/>
    </row>
    <row r="121" spans="2:4" x14ac:dyDescent="0.2">
      <c r="B121" s="250" t="s">
        <v>265</v>
      </c>
      <c r="C121" s="210">
        <f>+C119</f>
        <v>381566424.52540839</v>
      </c>
      <c r="D121" s="252">
        <f>+D119+D112</f>
        <v>383335911.19207507</v>
      </c>
    </row>
    <row r="122" spans="2:4" x14ac:dyDescent="0.2">
      <c r="B122" s="250"/>
      <c r="D122" s="251"/>
    </row>
    <row r="123" spans="2:4" x14ac:dyDescent="0.2">
      <c r="B123" s="250" t="s">
        <v>264</v>
      </c>
      <c r="D123" s="249">
        <f>+D121-C121</f>
        <v>1769486.6666666865</v>
      </c>
    </row>
    <row r="124" spans="2:4" ht="15" thickBot="1" x14ac:dyDescent="0.25">
      <c r="B124" s="248" t="s">
        <v>263</v>
      </c>
      <c r="C124" s="247"/>
      <c r="D124" s="246">
        <f>+C117-D117</f>
        <v>1769486.6666667163</v>
      </c>
    </row>
  </sheetData>
  <mergeCells count="17">
    <mergeCell ref="C105:D105"/>
    <mergeCell ref="C104:D104"/>
    <mergeCell ref="B102:H102"/>
    <mergeCell ref="B82:H82"/>
    <mergeCell ref="B38:H38"/>
    <mergeCell ref="D86:H86"/>
    <mergeCell ref="I25:I26"/>
    <mergeCell ref="B40:B41"/>
    <mergeCell ref="B57:H57"/>
    <mergeCell ref="B65:H65"/>
    <mergeCell ref="B25:B26"/>
    <mergeCell ref="I40:I41"/>
    <mergeCell ref="D4:H4"/>
    <mergeCell ref="B7:H7"/>
    <mergeCell ref="B14:H14"/>
    <mergeCell ref="B16:B17"/>
    <mergeCell ref="B23:H2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Tamaño_Población</vt:lpstr>
      <vt:lpstr>1. ProyecciónVentas</vt:lpstr>
      <vt:lpstr>2. EstudioTécnico y Costos</vt:lpstr>
      <vt:lpstr>3. EstudioOrganizacional</vt:lpstr>
      <vt:lpstr>4. EstudioFinanciero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Giraldo</dc:creator>
  <cp:keywords/>
  <dc:description/>
  <cp:lastModifiedBy>Jorge Alzate</cp:lastModifiedBy>
  <cp:revision/>
  <dcterms:created xsi:type="dcterms:W3CDTF">2021-02-24T14:05:48Z</dcterms:created>
  <dcterms:modified xsi:type="dcterms:W3CDTF">2023-04-14T20:07:05Z</dcterms:modified>
  <cp:category/>
  <cp:contentStatus/>
</cp:coreProperties>
</file>