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 filterPrivacy="1" codeName="ThisWorkbook"/>
  <xr:revisionPtr revIDLastSave="0" documentId="13_ncr:1_{7E1DFFE9-8111-C741-9916-87F0027BA338}" xr6:coauthVersionLast="47" xr6:coauthVersionMax="47" xr10:uidLastSave="{00000000-0000-0000-0000-000000000000}"/>
  <bookViews>
    <workbookView xWindow="0" yWindow="880" windowWidth="36000" windowHeight="21640" firstSheet="1" activeTab="1" xr2:uid="{00000000-000D-0000-FFFF-FFFF00000000}"/>
  </bookViews>
  <sheets>
    <sheet name="Income Inputs" sheetId="3" r:id="rId1"/>
    <sheet name="Expense Inputs" sheetId="7" r:id="rId2"/>
    <sheet name="All Categories" sheetId="8" state="hidden" r:id="rId3"/>
    <sheet name="Budget Summary" sheetId="1" r:id="rId4"/>
  </sheets>
  <definedNames>
    <definedName name="_xlnm._FilterDatabase" localSheetId="3" hidden="1">'Income Inputs'!#REF!</definedName>
    <definedName name="_xlnm._FilterDatabase" localSheetId="0" hidden="1">'Income Inputs'!#REF!</definedName>
    <definedName name="BUDGET_Title">'Budget Summary'!$B$2</definedName>
    <definedName name="ColumnTitle1">'Budget Summary'!$B$6</definedName>
    <definedName name="COMPANY_NAME">'Budget Summary'!$B$1</definedName>
    <definedName name="_xlnm.Print_Titles" localSheetId="0">'Income Inputs'!$5:$5</definedName>
    <definedName name="Title1">#REF!</definedName>
    <definedName name="Title2">Income[[#Headers],[INCOME]]</definedName>
    <definedName name="Title3">#REF!</definedName>
    <definedName name="Title4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4" i="7"/>
  <c r="E14" i="7"/>
  <c r="F13" i="7"/>
  <c r="F12" i="7"/>
  <c r="F11" i="7"/>
  <c r="F10" i="7"/>
  <c r="F9" i="7"/>
  <c r="F8" i="7"/>
  <c r="F7" i="7"/>
  <c r="F45" i="7"/>
  <c r="F46" i="7"/>
  <c r="E30" i="7"/>
  <c r="D30" i="7"/>
  <c r="B30" i="7"/>
  <c r="F29" i="7"/>
  <c r="F28" i="7"/>
  <c r="F27" i="7"/>
  <c r="F36" i="7"/>
  <c r="F20" i="7"/>
  <c r="F21" i="7"/>
  <c r="B14" i="7"/>
  <c r="B23" i="7"/>
  <c r="B60" i="7"/>
  <c r="B38" i="7"/>
  <c r="B48" i="7"/>
  <c r="B54" i="7"/>
  <c r="B71" i="7"/>
  <c r="B80" i="7"/>
  <c r="B88" i="7"/>
  <c r="E88" i="7"/>
  <c r="D88" i="7"/>
  <c r="F87" i="7"/>
  <c r="F86" i="7"/>
  <c r="F85" i="7"/>
  <c r="F84" i="7"/>
  <c r="E80" i="7"/>
  <c r="D80" i="7"/>
  <c r="F79" i="7"/>
  <c r="F78" i="7"/>
  <c r="F77" i="7"/>
  <c r="F76" i="7"/>
  <c r="F75" i="7"/>
  <c r="E71" i="7"/>
  <c r="D71" i="7"/>
  <c r="F70" i="7"/>
  <c r="F69" i="7"/>
  <c r="F68" i="7"/>
  <c r="F67" i="7"/>
  <c r="F66" i="7"/>
  <c r="E54" i="7"/>
  <c r="D54" i="7"/>
  <c r="F53" i="7"/>
  <c r="F52" i="7"/>
  <c r="E48" i="7"/>
  <c r="D48" i="7"/>
  <c r="F47" i="7"/>
  <c r="F44" i="7"/>
  <c r="F43" i="7"/>
  <c r="F42" i="7"/>
  <c r="E38" i="7"/>
  <c r="D38" i="7"/>
  <c r="F37" i="7"/>
  <c r="F35" i="7"/>
  <c r="F34" i="7"/>
  <c r="E60" i="7"/>
  <c r="D60" i="7"/>
  <c r="F59" i="7"/>
  <c r="F58" i="7"/>
  <c r="F14" i="7" l="1"/>
  <c r="C17" i="1"/>
  <c r="F30" i="7"/>
  <c r="D19" i="1"/>
  <c r="D15" i="1"/>
  <c r="D20" i="1"/>
  <c r="C19" i="1"/>
  <c r="D17" i="1"/>
  <c r="C15" i="1"/>
  <c r="C20" i="1"/>
  <c r="D21" i="1"/>
  <c r="C21" i="1"/>
  <c r="F80" i="7"/>
  <c r="F88" i="7"/>
  <c r="F54" i="7"/>
  <c r="F71" i="7"/>
  <c r="F48" i="7"/>
  <c r="F38" i="7"/>
  <c r="F60" i="7"/>
  <c r="E17" i="1" l="1"/>
  <c r="F17" i="1" s="1"/>
  <c r="E19" i="1"/>
  <c r="F19" i="1" s="1"/>
  <c r="E20" i="1"/>
  <c r="F20" i="1" s="1"/>
  <c r="E15" i="1"/>
  <c r="F15" i="1" s="1"/>
  <c r="E21" i="1"/>
  <c r="F21" i="1" s="1"/>
  <c r="E23" i="7" l="1"/>
  <c r="D23" i="7"/>
  <c r="F22" i="7"/>
  <c r="F19" i="7"/>
  <c r="F18" i="7"/>
  <c r="E12" i="3"/>
  <c r="F12" i="3"/>
  <c r="E7" i="3"/>
  <c r="F7" i="3"/>
  <c r="E8" i="3"/>
  <c r="F8" i="3"/>
  <c r="E9" i="3"/>
  <c r="F9" i="3"/>
  <c r="E10" i="3"/>
  <c r="F10" i="3"/>
  <c r="E11" i="3"/>
  <c r="F11" i="3"/>
  <c r="C16" i="1" l="1"/>
  <c r="D16" i="1"/>
  <c r="F23" i="7"/>
  <c r="D18" i="1" l="1"/>
  <c r="D22" i="1" s="1"/>
  <c r="D8" i="1" s="1"/>
  <c r="C18" i="1"/>
  <c r="E16" i="1"/>
  <c r="F16" i="1" s="1"/>
  <c r="E18" i="1" l="1"/>
  <c r="F18" i="1" s="1"/>
  <c r="C22" i="1"/>
  <c r="D14" i="3"/>
  <c r="C14" i="3"/>
  <c r="F6" i="3"/>
  <c r="F13" i="3"/>
  <c r="E13" i="3"/>
  <c r="E6" i="3"/>
  <c r="E22" i="1" l="1"/>
  <c r="F22" i="1" s="1"/>
  <c r="C8" i="1"/>
  <c r="C7" i="1"/>
  <c r="E7" i="1" s="1"/>
  <c r="D9" i="1"/>
  <c r="F14" i="3"/>
  <c r="E8" i="1" l="1"/>
  <c r="F8" i="1"/>
  <c r="C9" i="1"/>
  <c r="F9" i="1" s="1"/>
  <c r="F7" i="1"/>
  <c r="E9" i="1"/>
</calcChain>
</file>

<file path=xl/sharedStrings.xml><?xml version="1.0" encoding="utf-8"?>
<sst xmlns="http://schemas.openxmlformats.org/spreadsheetml/2006/main" count="461" uniqueCount="138">
  <si>
    <t xml:space="preserve">     [INSERT MONTH]</t>
  </si>
  <si>
    <t xml:space="preserve">  INCOME</t>
  </si>
  <si>
    <t>*Update column C and D</t>
  </si>
  <si>
    <t>INCOME</t>
  </si>
  <si>
    <t>ESTIMATED</t>
  </si>
  <si>
    <t>ACTUAL</t>
  </si>
  <si>
    <t>TOP 5 AMOUNT</t>
  </si>
  <si>
    <t>DIFFERENCE</t>
  </si>
  <si>
    <t>Paycheck</t>
  </si>
  <si>
    <t>Investment</t>
  </si>
  <si>
    <t>Returned Purchase</t>
  </si>
  <si>
    <t>Bonus</t>
  </si>
  <si>
    <t>Interest Income</t>
  </si>
  <si>
    <t>Reimbursement</t>
  </si>
  <si>
    <t>Rental Income</t>
  </si>
  <si>
    <t>Other Income</t>
  </si>
  <si>
    <t>Total Income</t>
  </si>
  <si>
    <t xml:space="preserve">  EXPENSES</t>
  </si>
  <si>
    <t>*Update column D and E within each table</t>
  </si>
  <si>
    <t>Auto &amp; Transport</t>
  </si>
  <si>
    <t>EXPENSES</t>
  </si>
  <si>
    <t>Category</t>
  </si>
  <si>
    <t>Auto Insurance</t>
  </si>
  <si>
    <t>Auto Payment</t>
  </si>
  <si>
    <t>Gas &amp; Fuel</t>
  </si>
  <si>
    <t>Parking</t>
  </si>
  <si>
    <t>Public Transportation</t>
  </si>
  <si>
    <t>Ride Share</t>
  </si>
  <si>
    <t>Service &amp; Parts</t>
  </si>
  <si>
    <t>-</t>
  </si>
  <si>
    <t>Bills &amp; Utilities</t>
  </si>
  <si>
    <t>Home Phone</t>
  </si>
  <si>
    <t>Internet</t>
  </si>
  <si>
    <t>Mobile Phone</t>
  </si>
  <si>
    <t>Television</t>
  </si>
  <si>
    <t>Utilities</t>
  </si>
  <si>
    <t>Education</t>
  </si>
  <si>
    <t>Books &amp; Supplies</t>
  </si>
  <si>
    <t>Student Loan</t>
  </si>
  <si>
    <t>Tuition</t>
  </si>
  <si>
    <t>Personal Care</t>
  </si>
  <si>
    <t>Dentist</t>
  </si>
  <si>
    <t>Health &amp; Fitness</t>
  </si>
  <si>
    <t>Doctor</t>
  </si>
  <si>
    <t>Gym</t>
  </si>
  <si>
    <t>Health Insurance</t>
  </si>
  <si>
    <t>Food &amp; Dining</t>
  </si>
  <si>
    <t>Groceries</t>
  </si>
  <si>
    <t>Restaurants</t>
  </si>
  <si>
    <t>Alcohol &amp; Bars</t>
  </si>
  <si>
    <t>Coffee Shops</t>
  </si>
  <si>
    <t>Fast Food</t>
  </si>
  <si>
    <t>Food Delivery</t>
  </si>
  <si>
    <t>Home</t>
  </si>
  <si>
    <t>Home Supplies</t>
  </si>
  <si>
    <t>Mortgage &amp; Rent</t>
  </si>
  <si>
    <t>Entertainment</t>
  </si>
  <si>
    <t>Amusement</t>
  </si>
  <si>
    <t>Movies &amp; DVDs</t>
  </si>
  <si>
    <t>Auto &amp; Transportation</t>
  </si>
  <si>
    <t>Service &amp; Auto Parts</t>
  </si>
  <si>
    <t>Travel</t>
  </si>
  <si>
    <t>Air Travel</t>
  </si>
  <si>
    <t>Hotel</t>
  </si>
  <si>
    <t>Rental Car &amp; Taxi</t>
  </si>
  <si>
    <t>Vacation</t>
  </si>
  <si>
    <t>Parent</t>
  </si>
  <si>
    <t>Item</t>
  </si>
  <si>
    <t>Income / Expense</t>
  </si>
  <si>
    <t>Income</t>
  </si>
  <si>
    <t>Arts</t>
  </si>
  <si>
    <t>Expenses</t>
  </si>
  <si>
    <t>Music</t>
  </si>
  <si>
    <t>Newspaper &amp; Magazines</t>
  </si>
  <si>
    <t>Shopping</t>
  </si>
  <si>
    <t>Clothing</t>
  </si>
  <si>
    <t>Books</t>
  </si>
  <si>
    <t>Electronics &amp; Software</t>
  </si>
  <si>
    <t>Hobbies</t>
  </si>
  <si>
    <t>Sporting Goods</t>
  </si>
  <si>
    <t>Laundry</t>
  </si>
  <si>
    <t>Hair</t>
  </si>
  <si>
    <t>Spa &amp; Massage</t>
  </si>
  <si>
    <t>Eye Care</t>
  </si>
  <si>
    <t>Pharmacy</t>
  </si>
  <si>
    <t>Sports</t>
  </si>
  <si>
    <t>Kids</t>
  </si>
  <si>
    <t>Activities</t>
  </si>
  <si>
    <t>Allowance</t>
  </si>
  <si>
    <t>Baby Supplies</t>
  </si>
  <si>
    <t>Babysitter &amp; Daycare</t>
  </si>
  <si>
    <t>Child Support</t>
  </si>
  <si>
    <t>Toys</t>
  </si>
  <si>
    <t>Alcohol</t>
  </si>
  <si>
    <t>Gifts &amp; Donations</t>
  </si>
  <si>
    <t>Gift</t>
  </si>
  <si>
    <t>Charity</t>
  </si>
  <si>
    <t>Investments</t>
  </si>
  <si>
    <t>Deposit</t>
  </si>
  <si>
    <t>Withdrawal</t>
  </si>
  <si>
    <t>Dividends &amp; Cap Gains</t>
  </si>
  <si>
    <t>Buy</t>
  </si>
  <si>
    <t>Sell</t>
  </si>
  <si>
    <t>Fees &amp; Charges</t>
  </si>
  <si>
    <t>Service Fee</t>
  </si>
  <si>
    <t>Late Fee</t>
  </si>
  <si>
    <t>Finance Charge</t>
  </si>
  <si>
    <t>ATM Fee</t>
  </si>
  <si>
    <t>Bank Fee</t>
  </si>
  <si>
    <t>Commissions</t>
  </si>
  <si>
    <t>Business Services</t>
  </si>
  <si>
    <t>Advertising</t>
  </si>
  <si>
    <t>Office Supplies</t>
  </si>
  <si>
    <t>Printing</t>
  </si>
  <si>
    <t>Shipping</t>
  </si>
  <si>
    <t>Legal</t>
  </si>
  <si>
    <t>Taxes</t>
  </si>
  <si>
    <t>Federal Tax</t>
  </si>
  <si>
    <t>State Tax</t>
  </si>
  <si>
    <t>Local Tax</t>
  </si>
  <si>
    <t>Sales Tax</t>
  </si>
  <si>
    <t>Property Tax</t>
  </si>
  <si>
    <t xml:space="preserve">  COLLEGE BUDGET TRACKER</t>
  </si>
  <si>
    <t>*Automatic view based on "Income Inputs" and "Expense Inputs"</t>
  </si>
  <si>
    <t>Budget Breakdown</t>
  </si>
  <si>
    <t>BUDGET TOTALS</t>
  </si>
  <si>
    <t>% DIFFERENCE</t>
  </si>
  <si>
    <t>Total Expenses</t>
  </si>
  <si>
    <t>Balance (Income - Expenses)</t>
  </si>
  <si>
    <t>EXPENSE CATEGORIES</t>
  </si>
  <si>
    <t>Status</t>
  </si>
  <si>
    <t>Total Auto &amp; Transport</t>
  </si>
  <si>
    <t>Total Bills &amp; Utilities</t>
  </si>
  <si>
    <t>Total Education</t>
  </si>
  <si>
    <t>Total Personal Care</t>
  </si>
  <si>
    <t>Total Food &amp; Dining</t>
  </si>
  <si>
    <t>Total Home</t>
  </si>
  <si>
    <t>Total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</si>
</sst>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mmmm\ yyyy"/>
    <numFmt numFmtId="165" formatCode="0.0%"/>
    <numFmt numFmtId="166" formatCode="mm/dd/yy;@"/>
    <numFmt numFmtId="167" formatCode="&quot;$&quot;#,##0"/>
    <numFmt numFmtId="168" formatCode="&quot;$&quot;#,##0.00"/>
  </numFmts>
  <fonts count="30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sz val="11"/>
      <name val="Arial"/>
      <family val="2"/>
      <scheme val="minor"/>
    </font>
    <font>
      <sz val="11"/>
      <color rgb="FF6C0000"/>
      <name val="Arial"/>
      <family val="2"/>
      <scheme val="minor"/>
    </font>
    <font>
      <sz val="36"/>
      <color theme="3"/>
      <name val="Arial"/>
      <family val="2"/>
      <scheme val="major"/>
    </font>
    <font>
      <sz val="11"/>
      <color theme="3"/>
      <name val="Arial"/>
      <family val="2"/>
      <scheme val="major"/>
    </font>
    <font>
      <sz val="11"/>
      <color theme="1" tint="4.9989318521683403E-2"/>
      <name val="Arial"/>
      <family val="2"/>
      <scheme val="major"/>
    </font>
    <font>
      <sz val="11"/>
      <color theme="2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  <scheme val="major"/>
    </font>
    <font>
      <sz val="15"/>
      <color theme="0"/>
      <name val="Arial"/>
      <family val="2"/>
      <scheme val="major"/>
    </font>
    <font>
      <sz val="30"/>
      <color theme="0"/>
      <name val="Arial"/>
      <family val="2"/>
      <scheme val="major"/>
    </font>
    <font>
      <sz val="11"/>
      <color theme="1" tint="0.24994659260841701"/>
      <name val="Arial"/>
      <family val="2"/>
      <scheme val="minor"/>
    </font>
    <font>
      <b/>
      <sz val="11"/>
      <name val="Arial"/>
      <family val="2"/>
      <scheme val="minor"/>
    </font>
    <font>
      <sz val="12"/>
      <color theme="0"/>
      <name val="Arial"/>
      <family val="2"/>
      <scheme val="minor"/>
    </font>
    <font>
      <b/>
      <u/>
      <sz val="11"/>
      <color theme="1" tint="0.24994659260841701"/>
      <name val="Arial"/>
      <family val="2"/>
      <scheme val="minor"/>
    </font>
    <font>
      <sz val="11"/>
      <color theme="3" tint="0.24994659260841701"/>
      <name val="Arial"/>
      <family val="2"/>
      <scheme val="minor"/>
    </font>
    <font>
      <b/>
      <sz val="10"/>
      <color theme="3" tint="9.9948118533890809E-2"/>
      <name val="Arial"/>
      <family val="2"/>
      <scheme val="major"/>
    </font>
    <font>
      <sz val="24"/>
      <color theme="3" tint="0.24994659260841701"/>
      <name val="Arial"/>
      <family val="2"/>
      <scheme val="minor"/>
    </font>
    <font>
      <sz val="20"/>
      <color theme="0"/>
      <name val="Arial"/>
      <family val="2"/>
      <scheme val="major"/>
    </font>
    <font>
      <sz val="13"/>
      <color theme="3" tint="0.24994659260841701"/>
      <name val="Arial"/>
      <family val="2"/>
      <scheme val="major"/>
    </font>
    <font>
      <sz val="11"/>
      <color theme="4" tint="-0.24994659260841701"/>
      <name val="Arial"/>
      <family val="2"/>
      <scheme val="major"/>
    </font>
    <font>
      <sz val="10"/>
      <color theme="1"/>
      <name val="Arial"/>
      <family val="2"/>
      <scheme val="major"/>
    </font>
    <font>
      <sz val="30"/>
      <color rgb="FF000000"/>
      <name val="Arial"/>
      <family val="2"/>
      <scheme val="major"/>
    </font>
    <font>
      <sz val="11"/>
      <color theme="1" tint="0.24994659260841701"/>
      <name val="Avenir Next Regular"/>
    </font>
    <font>
      <sz val="11"/>
      <color theme="2"/>
      <name val="Avenir Next"/>
      <family val="2"/>
    </font>
    <font>
      <sz val="11"/>
      <color theme="0"/>
      <name val="Avenir Next Regular"/>
    </font>
    <font>
      <b/>
      <sz val="12"/>
      <color theme="0"/>
      <name val="Avenir Next Regula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DF8"/>
        <bgColor indexed="64"/>
      </patternFill>
    </fill>
    <fill>
      <patternFill patternType="solid">
        <fgColor rgb="FFF2F2F2"/>
      </patternFill>
    </fill>
    <fill>
      <patternFill patternType="solid">
        <fgColor rgb="FF1B8381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6"/>
      </bottom>
      <diagonal/>
    </border>
  </borders>
  <cellStyleXfs count="30">
    <xf numFmtId="40" fontId="0" fillId="0" borderId="0" applyNumberFormat="0">
      <alignment horizontal="center" vertical="center" wrapTex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16" fillId="0" borderId="0" applyNumberFormat="0" applyFill="0" applyAlignment="0" applyProtection="0"/>
    <xf numFmtId="0" fontId="8" fillId="5" borderId="0" applyBorder="0" applyProtection="0">
      <alignment horizontal="left" vertical="center" indent="1"/>
    </xf>
    <xf numFmtId="0" fontId="8" fillId="5" borderId="0" applyNumberFormat="0" applyBorder="0" applyProtection="0">
      <alignment horizontal="left" vertical="center"/>
    </xf>
    <xf numFmtId="0" fontId="2" fillId="0" borderId="0" applyNumberFormat="0" applyFill="0" applyAlignment="0" applyProtection="0"/>
    <xf numFmtId="0" fontId="5" fillId="0" borderId="0" applyNumberFormat="0" applyFill="0" applyBorder="0" applyAlignment="0" applyProtection="0"/>
    <xf numFmtId="40" fontId="2" fillId="0" borderId="0" applyFont="0" applyFill="0" applyBorder="0" applyProtection="0">
      <alignment horizontal="right"/>
    </xf>
    <xf numFmtId="165" fontId="2" fillId="0" borderId="0" applyFont="0" applyFill="0" applyBorder="0" applyProtection="0">
      <alignment horizontal="right"/>
    </xf>
    <xf numFmtId="164" fontId="7" fillId="4" borderId="0" applyFill="0" applyBorder="0">
      <alignment horizontal="right"/>
    </xf>
    <xf numFmtId="0" fontId="14" fillId="0" borderId="0" applyNumberFormat="0" applyProtection="0">
      <alignment horizontal="left" vertical="center" indent="1"/>
    </xf>
    <xf numFmtId="0" fontId="15" fillId="7" borderId="1" applyNumberFormat="0" applyFill="0" applyBorder="0" applyAlignment="0" applyProtection="0"/>
    <xf numFmtId="0" fontId="18" fillId="0" borderId="0"/>
    <xf numFmtId="0" fontId="21" fillId="9" borderId="0" applyNumberFormat="0" applyProtection="0">
      <alignment horizontal="left" vertical="center"/>
    </xf>
    <xf numFmtId="0" fontId="22" fillId="0" borderId="0" applyNumberFormat="0" applyProtection="0">
      <alignment horizontal="left"/>
    </xf>
    <xf numFmtId="0" fontId="23" fillId="0" borderId="2" applyNumberFormat="0" applyAlignment="0" applyProtection="0"/>
    <xf numFmtId="167" fontId="20" fillId="0" borderId="0" applyAlignment="0" applyProtection="0"/>
    <xf numFmtId="0" fontId="19" fillId="0" borderId="0" applyNumberFormat="0" applyFill="0" applyBorder="0" applyAlignment="0" applyProtection="0"/>
    <xf numFmtId="167" fontId="20" fillId="0" borderId="0">
      <alignment horizontal="left" vertical="top"/>
    </xf>
    <xf numFmtId="168" fontId="18" fillId="0" borderId="0">
      <alignment horizontal="left" vertical="center"/>
    </xf>
    <xf numFmtId="0" fontId="18" fillId="0" borderId="0">
      <alignment horizontal="left" vertical="center" wrapText="1"/>
    </xf>
    <xf numFmtId="14" fontId="18" fillId="0" borderId="0">
      <alignment horizontal="left" vertical="center"/>
    </xf>
    <xf numFmtId="44" fontId="14" fillId="0" borderId="0" applyFont="0" applyFill="0" applyBorder="0" applyAlignment="0" applyProtection="0"/>
    <xf numFmtId="44" fontId="27" fillId="0" borderId="7">
      <alignment horizontal="left" vertical="center" wrapText="1"/>
    </xf>
    <xf numFmtId="40" fontId="29" fillId="12" borderId="0">
      <alignment horizontal="center" vertical="center" wrapText="1"/>
    </xf>
    <xf numFmtId="40" fontId="26" fillId="0" borderId="0">
      <alignment horizontal="left" vertical="center" wrapText="1"/>
    </xf>
    <xf numFmtId="44" fontId="28" fillId="12" borderId="0">
      <alignment horizontal="left" vertical="center" wrapText="1"/>
    </xf>
  </cellStyleXfs>
  <cellXfs count="60">
    <xf numFmtId="40" fontId="0" fillId="0" borderId="0" xfId="0">
      <alignment horizontal="center" vertical="center" wrapText="1"/>
    </xf>
    <xf numFmtId="40" fontId="0" fillId="4" borderId="0" xfId="0" applyFill="1">
      <alignment horizontal="center" vertical="center" wrapText="1"/>
    </xf>
    <xf numFmtId="40" fontId="0" fillId="0" borderId="0" xfId="0" applyAlignment="1">
      <alignment vertical="center"/>
    </xf>
    <xf numFmtId="40" fontId="0" fillId="4" borderId="0" xfId="0" applyFill="1" applyAlignment="1">
      <alignment vertical="center"/>
    </xf>
    <xf numFmtId="40" fontId="10" fillId="4" borderId="0" xfId="0" applyFont="1" applyFill="1">
      <alignment horizontal="center" vertical="center" wrapText="1"/>
    </xf>
    <xf numFmtId="40" fontId="0" fillId="6" borderId="0" xfId="0" applyFill="1">
      <alignment horizontal="center" vertical="center" wrapText="1"/>
    </xf>
    <xf numFmtId="40" fontId="4" fillId="6" borderId="0" xfId="4" applyNumberFormat="1" applyFont="1" applyFill="1"/>
    <xf numFmtId="40" fontId="0" fillId="6" borderId="0" xfId="0" applyFill="1" applyAlignment="1">
      <alignment vertical="center"/>
    </xf>
    <xf numFmtId="40" fontId="4" fillId="6" borderId="0" xfId="8" applyNumberFormat="1" applyFont="1" applyFill="1"/>
    <xf numFmtId="40" fontId="10" fillId="0" borderId="0" xfId="0" applyFont="1">
      <alignment horizontal="center" vertical="center" wrapText="1"/>
    </xf>
    <xf numFmtId="40" fontId="9" fillId="0" borderId="0" xfId="0" applyFont="1">
      <alignment horizontal="center" vertical="center" wrapText="1"/>
    </xf>
    <xf numFmtId="0" fontId="6" fillId="0" borderId="0" xfId="1"/>
    <xf numFmtId="166" fontId="11" fillId="8" borderId="0" xfId="0" applyNumberFormat="1" applyFont="1" applyFill="1" applyAlignment="1">
      <alignment horizontal="left" wrapText="1"/>
    </xf>
    <xf numFmtId="40" fontId="0" fillId="8" borderId="0" xfId="0" applyFill="1">
      <alignment horizontal="center" vertical="center" wrapText="1"/>
    </xf>
    <xf numFmtId="40" fontId="13" fillId="8" borderId="0" xfId="0" applyFont="1" applyFill="1" applyAlignment="1">
      <alignment vertical="center" wrapText="1"/>
    </xf>
    <xf numFmtId="40" fontId="13" fillId="0" borderId="0" xfId="0" applyFont="1" applyAlignment="1">
      <alignment vertical="center" wrapText="1"/>
    </xf>
    <xf numFmtId="40" fontId="0" fillId="0" borderId="0" xfId="0" applyAlignment="1">
      <alignment horizontal="center" wrapText="1"/>
    </xf>
    <xf numFmtId="40" fontId="14" fillId="0" borderId="0" xfId="13" applyNumberFormat="1">
      <alignment horizontal="left" vertical="center" indent="1"/>
    </xf>
    <xf numFmtId="40" fontId="0" fillId="10" borderId="0" xfId="0" applyFill="1" applyAlignment="1">
      <alignment horizontal="left" vertical="center" indent="1"/>
    </xf>
    <xf numFmtId="44" fontId="0" fillId="0" borderId="0" xfId="25" applyFont="1" applyAlignment="1">
      <alignment horizontal="center" vertical="center" wrapText="1"/>
    </xf>
    <xf numFmtId="40" fontId="0" fillId="0" borderId="0" xfId="0" applyAlignment="1">
      <alignment horizontal="center" vertical="center"/>
    </xf>
    <xf numFmtId="40" fontId="0" fillId="0" borderId="0" xfId="0" applyAlignment="1"/>
    <xf numFmtId="44" fontId="0" fillId="10" borderId="0" xfId="0" applyNumberFormat="1" applyFill="1">
      <alignment horizontal="center" vertical="center" wrapText="1"/>
    </xf>
    <xf numFmtId="40" fontId="1" fillId="0" borderId="3" xfId="0" applyFont="1" applyBorder="1" applyAlignment="1"/>
    <xf numFmtId="40" fontId="1" fillId="0" borderId="4" xfId="0" applyFont="1" applyBorder="1" applyAlignment="1"/>
    <xf numFmtId="40" fontId="1" fillId="0" borderId="5" xfId="0" applyFont="1" applyBorder="1" applyAlignment="1"/>
    <xf numFmtId="40" fontId="1" fillId="0" borderId="6" xfId="0" applyFont="1" applyBorder="1" applyAlignment="1"/>
    <xf numFmtId="40" fontId="17" fillId="0" borderId="0" xfId="0" applyFont="1" applyAlignment="1">
      <alignment horizontal="left" vertical="center" indent="1"/>
    </xf>
    <xf numFmtId="44" fontId="15" fillId="0" borderId="0" xfId="25" applyFont="1" applyFill="1" applyBorder="1" applyAlignment="1">
      <alignment horizontal="center" vertical="center" wrapText="1"/>
    </xf>
    <xf numFmtId="165" fontId="4" fillId="0" borderId="0" xfId="11" applyFont="1" applyFill="1" applyBorder="1" applyAlignment="1">
      <alignment horizontal="center" vertical="center"/>
    </xf>
    <xf numFmtId="40" fontId="0" fillId="0" borderId="0" xfId="0" applyAlignment="1">
      <alignment horizontal="left" vertical="center" wrapText="1" indent="1"/>
    </xf>
    <xf numFmtId="0" fontId="4" fillId="6" borderId="0" xfId="3" applyFont="1" applyFill="1" applyBorder="1"/>
    <xf numFmtId="40" fontId="4" fillId="6" borderId="0" xfId="4" applyNumberFormat="1" applyFont="1" applyFill="1" applyBorder="1"/>
    <xf numFmtId="40" fontId="24" fillId="11" borderId="0" xfId="0" applyFont="1" applyFill="1" applyAlignment="1">
      <alignment vertical="center"/>
    </xf>
    <xf numFmtId="40" fontId="13" fillId="0" borderId="0" xfId="0" applyFont="1" applyAlignment="1">
      <alignment vertical="center"/>
    </xf>
    <xf numFmtId="40" fontId="1" fillId="11" borderId="0" xfId="13" applyNumberFormat="1" applyFont="1" applyFill="1">
      <alignment horizontal="left" vertical="center" indent="1"/>
    </xf>
    <xf numFmtId="40" fontId="25" fillId="11" borderId="0" xfId="0" applyFont="1" applyFill="1" applyAlignment="1">
      <alignment vertical="center"/>
    </xf>
    <xf numFmtId="40" fontId="13" fillId="11" borderId="0" xfId="0" applyFont="1" applyFill="1" applyAlignment="1">
      <alignment vertical="center" wrapText="1"/>
    </xf>
    <xf numFmtId="40" fontId="12" fillId="8" borderId="0" xfId="0" applyFont="1" applyFill="1" applyAlignment="1">
      <alignment horizontal="left" wrapText="1"/>
    </xf>
    <xf numFmtId="40" fontId="13" fillId="8" borderId="0" xfId="0" applyFont="1" applyFill="1" applyAlignment="1">
      <alignment vertical="center" wrapText="1"/>
    </xf>
    <xf numFmtId="40" fontId="0" fillId="8" borderId="0" xfId="0" applyFill="1" applyAlignment="1">
      <alignment horizontal="center" wrapText="1"/>
    </xf>
    <xf numFmtId="40" fontId="13" fillId="0" borderId="0" xfId="0" applyFont="1" applyBorder="1">
      <alignment horizontal="center" vertical="center" wrapText="1"/>
    </xf>
    <xf numFmtId="40" fontId="0" fillId="0" borderId="0" xfId="0" applyBorder="1">
      <alignment horizontal="center" vertical="center" wrapText="1"/>
    </xf>
    <xf numFmtId="40" fontId="0" fillId="0" borderId="0" xfId="0" applyBorder="1" applyAlignment="1">
      <alignment horizontal="left" vertical="center" wrapText="1" indent="1"/>
    </xf>
    <xf numFmtId="40" fontId="13" fillId="0" borderId="0" xfId="0" applyFont="1" applyBorder="1" applyAlignment="1">
      <alignment horizontal="left" vertical="center" wrapText="1" indent="1"/>
    </xf>
    <xf numFmtId="40" fontId="0" fillId="0" borderId="0" xfId="0" applyBorder="1" applyAlignment="1">
      <alignment horizontal="center" wrapText="1"/>
    </xf>
    <xf numFmtId="40" fontId="0" fillId="6" borderId="0" xfId="0" applyFill="1" applyBorder="1">
      <alignment horizontal="center" vertical="center" wrapText="1"/>
    </xf>
    <xf numFmtId="40" fontId="4" fillId="6" borderId="0" xfId="8" applyNumberFormat="1" applyFont="1" applyFill="1" applyBorder="1"/>
    <xf numFmtId="40" fontId="29" fillId="12" borderId="0" xfId="27">
      <alignment horizontal="center" vertical="center" wrapText="1"/>
    </xf>
    <xf numFmtId="40" fontId="26" fillId="0" borderId="0" xfId="28">
      <alignment horizontal="left" vertical="center" wrapText="1"/>
    </xf>
    <xf numFmtId="44" fontId="27" fillId="0" borderId="7" xfId="26">
      <alignment horizontal="left" vertical="center" wrapText="1"/>
    </xf>
    <xf numFmtId="44" fontId="28" fillId="12" borderId="0" xfId="29">
      <alignment horizontal="left" vertical="center" wrapText="1"/>
    </xf>
    <xf numFmtId="40" fontId="12" fillId="12" borderId="0" xfId="0" applyFont="1" applyFill="1" applyAlignment="1">
      <alignment wrapText="1"/>
    </xf>
    <xf numFmtId="166" fontId="11" fillId="12" borderId="0" xfId="0" applyNumberFormat="1" applyFont="1" applyFill="1" applyAlignment="1">
      <alignment horizontal="left" wrapText="1"/>
    </xf>
    <xf numFmtId="40" fontId="0" fillId="12" borderId="0" xfId="0" applyFill="1">
      <alignment horizontal="center" vertical="center" wrapText="1"/>
    </xf>
    <xf numFmtId="40" fontId="0" fillId="12" borderId="0" xfId="0" applyFill="1" applyAlignment="1">
      <alignment horizontal="center" wrapText="1"/>
    </xf>
    <xf numFmtId="40" fontId="13" fillId="12" borderId="0" xfId="0" applyFont="1" applyFill="1" applyAlignment="1">
      <alignment vertical="center"/>
    </xf>
    <xf numFmtId="40" fontId="13" fillId="12" borderId="0" xfId="0" applyFont="1" applyFill="1" applyAlignment="1">
      <alignment vertical="center" wrapText="1"/>
    </xf>
    <xf numFmtId="40" fontId="12" fillId="12" borderId="0" xfId="0" applyFont="1" applyFill="1" applyAlignment="1">
      <alignment horizontal="left" wrapText="1"/>
    </xf>
    <xf numFmtId="40" fontId="13" fillId="12" borderId="0" xfId="0" applyFont="1" applyFill="1" applyAlignment="1">
      <alignment vertical="center" wrapText="1"/>
    </xf>
  </cellXfs>
  <cellStyles count="30">
    <cellStyle name="20% - Accent5" xfId="4" builtinId="46"/>
    <cellStyle name="60% - Accent4" xfId="3" builtinId="44" customBuiltin="1"/>
    <cellStyle name="Actual" xfId="29" xr:uid="{746C7B57-320D-194F-BA13-6A1E73619B0D}"/>
    <cellStyle name="Amount" xfId="22" xr:uid="{54CC64B0-939B-4A01-9040-95A3DA8C1CD1}"/>
    <cellStyle name="Comma" xfId="10" builtinId="3" customBuiltin="1"/>
    <cellStyle name="Currency" xfId="25" builtinId="4"/>
    <cellStyle name="Date" xfId="12" xr:uid="{00000000-0005-0000-0000-000003000000}"/>
    <cellStyle name="Date 2" xfId="24" xr:uid="{8CF60F69-1270-4398-9C5B-D6731B748598}"/>
    <cellStyle name="Expense Category" xfId="27" xr:uid="{194F2559-656D-D140-B013-C2B0106735C5}"/>
    <cellStyle name="Expense Title" xfId="28" xr:uid="{91ED8759-C2B7-A340-8744-60BA4F1B2C0C}"/>
    <cellStyle name="Heading 1" xfId="5" builtinId="16" customBuiltin="1"/>
    <cellStyle name="Heading 1 2" xfId="17" xr:uid="{2AF2BEC4-D872-4192-886F-468C4B636A66}"/>
    <cellStyle name="Heading 2" xfId="6" builtinId="17" customBuiltin="1"/>
    <cellStyle name="Heading 2 2" xfId="18" xr:uid="{406A93BB-7EC4-4A06-BB88-25DC873CB170}"/>
    <cellStyle name="Heading 3" xfId="7" builtinId="18" customBuiltin="1"/>
    <cellStyle name="Heading 3 2" xfId="19" xr:uid="{082BF479-28B0-4D1E-84E1-DE3EE4514F31}"/>
    <cellStyle name="Heading 4" xfId="2" builtinId="19" customBuiltin="1"/>
    <cellStyle name="Heading 4 2" xfId="20" xr:uid="{4B336E5A-E772-412D-85AB-78D52FE7D6C2}"/>
    <cellStyle name="Input" xfId="13" builtinId="20" customBuiltin="1"/>
    <cellStyle name="Intuit" xfId="26" xr:uid="{00FA13A0-B59B-2642-BF41-E08506AAEAA4}"/>
    <cellStyle name="Item" xfId="23" xr:uid="{C86FE3BF-B7A1-4FD4-B40E-A09B80410965}"/>
    <cellStyle name="Normal" xfId="0" builtinId="0" customBuiltin="1"/>
    <cellStyle name="Normal 2" xfId="15" xr:uid="{0F2154B9-2534-49C8-9F30-09DDDAE9B395}"/>
    <cellStyle name="Output" xfId="14" builtinId="21" customBuiltin="1"/>
    <cellStyle name="Percent" xfId="11" builtinId="5" customBuiltin="1"/>
    <cellStyle name="Title" xfId="1" builtinId="15" customBuiltin="1"/>
    <cellStyle name="Title 2" xfId="16" xr:uid="{2D9542AF-7A34-47F6-97DC-699BE4A38E84}"/>
    <cellStyle name="Total" xfId="8" builtinId="25" customBuiltin="1"/>
    <cellStyle name="Totals" xfId="21" xr:uid="{D654A5CE-240D-4A83-994E-010357E98AD0}"/>
    <cellStyle name="Warning Text" xfId="9" builtinId="11" customBuiltin="1"/>
  </cellStyles>
  <dxfs count="45">
    <dxf>
      <font>
        <color rgb="FFDA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A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1B838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9" tint="0.79998168889431442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9" tint="0.79998168889431442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9" tint="0.79998168889431442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 val="0"/>
        <i val="0"/>
        <color theme="1"/>
      </font>
      <fill>
        <patternFill patternType="solid">
          <fgColor theme="4"/>
          <bgColor theme="0" tint="-0.14996795556505021"/>
        </patternFill>
      </fill>
      <border>
        <top style="thin">
          <color theme="0"/>
        </top>
      </border>
    </dxf>
    <dxf>
      <font>
        <b val="0"/>
        <i val="0"/>
        <color theme="0"/>
      </font>
      <fill>
        <gradientFill degree="90">
          <stop position="0">
            <color theme="6" tint="-0.49803155613879818"/>
          </stop>
          <stop position="1">
            <color theme="6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2" defaultTableStyle="Monthly Budget" defaultPivotStyle="PivotStyleLight16">
    <tableStyle name="Monthly Budget" pivot="0" count="5" xr9:uid="{00000000-0011-0000-FFFF-FFFF00000000}">
      <tableStyleElement type="wholeTable" dxfId="44"/>
      <tableStyleElement type="headerRow" dxfId="43"/>
      <tableStyleElement type="totalRow" dxfId="42"/>
      <tableStyleElement type="lastColumn" dxfId="41"/>
      <tableStyleElement type="secondRowStripe" dxfId="40"/>
    </tableStyle>
    <tableStyle name="Personal budget table" pivot="0" count="3" xr9:uid="{9CE77D1B-BABE-4770-82A6-F3E5D0644789}">
      <tableStyleElement type="wholeTable" dxfId="39"/>
      <tableStyleElement type="headerRow" dxfId="38"/>
      <tableStyleElement type="totalRow" dxfId="37"/>
    </tableStyle>
  </tableStyles>
  <colors>
    <mruColors>
      <color rgb="FFA3A18F"/>
      <color rgb="FF8F96A3"/>
      <color rgb="FF2F3237"/>
      <color rgb="FF1B8381"/>
      <color rgb="FFEEEADE"/>
      <color rgb="FF44382C"/>
      <color rgb="FFFFFDF8"/>
      <color rgb="FFA7937B"/>
      <color rgb="FFF2F2F2"/>
      <color rgb="FF5A50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  <a:latin typeface="Avenir Next" panose="020B0503020202020204" pitchFamily="34" charset="0"/>
              </a:rPr>
              <a:t>Budget Totals [Breakdown]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Summary'!$B$7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'Budget Summary'!$C$6:$F$6</c15:sqref>
                  </c15:fullRef>
                </c:ext>
              </c:extLst>
              <c:f>'Budget Summary'!$C$6:$D$6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'Budget Summary'!$C$7:$F$7</c15:sqref>
                  </c15:fullRef>
                </c:ext>
              </c:extLst>
              <c:f>'Budget Summary'!$C$7:$D$7</c:f>
              <c:numCache>
                <c:formatCode>_("$"* #,##0.00_);_("$"* \(#,##0.00\);_("$"* "-"??_);_(@_)</c:formatCode>
                <c:ptCount val="2"/>
                <c:pt idx="0">
                  <c:v>4300</c:v>
                </c:pt>
                <c:pt idx="1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5-4677-A832-ABF3F3B985A8}"/>
            </c:ext>
          </c:extLst>
        </c:ser>
        <c:ser>
          <c:idx val="1"/>
          <c:order val="1"/>
          <c:tx>
            <c:strRef>
              <c:f>'Budget Summary'!$B$8</c:f>
              <c:strCache>
                <c:ptCount val="1"/>
                <c:pt idx="0">
                  <c:v> Total 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'Budget Summary'!$C$6:$F$6</c15:sqref>
                  </c15:fullRef>
                </c:ext>
              </c:extLst>
              <c:f>'Budget Summary'!$C$6:$D$6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'Budget Summary'!$C$8:$F$8</c15:sqref>
                  </c15:fullRef>
                </c:ext>
              </c:extLst>
              <c:f>'Budget Summary'!$C$8:$D$8</c:f>
              <c:numCache>
                <c:formatCode>_("$"* #,##0.00_);_("$"* \(#,##0.00\);_("$"* "-"??_);_(@_)</c:formatCode>
                <c:ptCount val="2"/>
                <c:pt idx="0">
                  <c:v>3080</c:v>
                </c:pt>
                <c:pt idx="1">
                  <c:v>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5-4677-A832-ABF3F3B9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69344736"/>
        <c:axId val="969341408"/>
      </c:barChart>
      <c:catAx>
        <c:axId val="9693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969341408"/>
        <c:crosses val="autoZero"/>
        <c:auto val="1"/>
        <c:lblAlgn val="ctr"/>
        <c:lblOffset val="100"/>
        <c:noMultiLvlLbl val="0"/>
      </c:catAx>
      <c:valAx>
        <c:axId val="9693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19050">
            <a:solidFill>
              <a:schemeClr val="accent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9693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2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  <a:latin typeface="Avenir Next" panose="020B0503020202020204" pitchFamily="34" charset="0"/>
              </a:rPr>
              <a:t>Expense Breakdown by Budget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'Budget Summary'!$C$14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 Summary'!$B$15:$B$21</c:f>
              <c:strCache>
                <c:ptCount val="7"/>
                <c:pt idx="0">
                  <c:v> Total Auto &amp; Transport </c:v>
                </c:pt>
                <c:pt idx="1">
                  <c:v> Total Bills &amp; Utilities </c:v>
                </c:pt>
                <c:pt idx="2">
                  <c:v> Total Education </c:v>
                </c:pt>
                <c:pt idx="3">
                  <c:v> Total Personal Care </c:v>
                </c:pt>
                <c:pt idx="4">
                  <c:v> Total Food &amp; Dining </c:v>
                </c:pt>
                <c:pt idx="5">
                  <c:v> Total Home </c:v>
                </c:pt>
                <c:pt idx="6">
                  <c:v> Total Entertainment </c:v>
                </c:pt>
              </c:strCache>
            </c:strRef>
          </c:cat>
          <c:val>
            <c:numRef>
              <c:f>'Budget Summary'!$C$15:$C$21</c:f>
              <c:numCache>
                <c:formatCode>_("$"* #,##0.00_);_("$"* \(#,##0.00\);_("$"* "-"??_);_(@_)</c:formatCode>
                <c:ptCount val="7"/>
                <c:pt idx="0">
                  <c:v>1749</c:v>
                </c:pt>
                <c:pt idx="1">
                  <c:v>650</c:v>
                </c:pt>
                <c:pt idx="2">
                  <c:v>1000</c:v>
                </c:pt>
                <c:pt idx="3">
                  <c:v>330</c:v>
                </c:pt>
                <c:pt idx="4">
                  <c:v>900</c:v>
                </c:pt>
                <c:pt idx="5">
                  <c:v>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A-4093-8163-890F80AEE497}"/>
            </c:ext>
          </c:extLst>
        </c:ser>
        <c:ser>
          <c:idx val="1"/>
          <c:order val="1"/>
          <c:tx>
            <c:strRef>
              <c:f>'Budget Summary'!$D$14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'Budget Summary'!$B$15:$B$21</c:f>
              <c:strCache>
                <c:ptCount val="7"/>
                <c:pt idx="0">
                  <c:v> Total Auto &amp; Transport </c:v>
                </c:pt>
                <c:pt idx="1">
                  <c:v> Total Bills &amp; Utilities </c:v>
                </c:pt>
                <c:pt idx="2">
                  <c:v> Total Education </c:v>
                </c:pt>
                <c:pt idx="3">
                  <c:v> Total Personal Care </c:v>
                </c:pt>
                <c:pt idx="4">
                  <c:v> Total Food &amp; Dining </c:v>
                </c:pt>
                <c:pt idx="5">
                  <c:v> Total Home </c:v>
                </c:pt>
                <c:pt idx="6">
                  <c:v> Total Entertainment </c:v>
                </c:pt>
              </c:strCache>
            </c:strRef>
          </c:cat>
          <c:val>
            <c:numRef>
              <c:f>'Budget Summary'!$D$15:$D$21</c:f>
              <c:numCache>
                <c:formatCode>_("$"* #,##0.00_);_("$"* \(#,##0.00\);_("$"* "-"??_);_(@_)</c:formatCode>
                <c:ptCount val="7"/>
                <c:pt idx="0">
                  <c:v>665</c:v>
                </c:pt>
                <c:pt idx="1">
                  <c:v>667</c:v>
                </c:pt>
                <c:pt idx="2">
                  <c:v>950</c:v>
                </c:pt>
                <c:pt idx="3">
                  <c:v>330</c:v>
                </c:pt>
                <c:pt idx="4">
                  <c:v>650</c:v>
                </c:pt>
                <c:pt idx="5">
                  <c:v>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A-4093-8163-890F80AE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9338560"/>
        <c:axId val="1019340224"/>
      </c:barChart>
      <c:catAx>
        <c:axId val="101933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019340224"/>
        <c:crosses val="autoZero"/>
        <c:auto val="1"/>
        <c:lblAlgn val="ctr"/>
        <c:lblOffset val="100"/>
        <c:noMultiLvlLbl val="0"/>
      </c:catAx>
      <c:valAx>
        <c:axId val="1019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0193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2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0</xdr:row>
      <xdr:rowOff>38100</xdr:rowOff>
    </xdr:from>
    <xdr:to>
      <xdr:col>19</xdr:col>
      <xdr:colOff>515471</xdr:colOff>
      <xdr:row>1</xdr:row>
      <xdr:rowOff>569786</xdr:rowOff>
    </xdr:to>
    <xdr:pic>
      <xdr:nvPicPr>
        <xdr:cNvPr id="2" name="Picture 1" descr="Retirement Calculator [Calculate Retirement Savings Progress for Free] -  Mint">
          <a:extLst>
            <a:ext uri="{FF2B5EF4-FFF2-40B4-BE49-F238E27FC236}">
              <a16:creationId xmlns:a16="http://schemas.microsoft.com/office/drawing/2014/main" id="{1A77416E-DB0F-46F6-84B6-2401D2C4D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38100"/>
          <a:ext cx="3753971" cy="931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18714</xdr:colOff>
      <xdr:row>4</xdr:row>
      <xdr:rowOff>135368</xdr:rowOff>
    </xdr:from>
    <xdr:to>
      <xdr:col>20</xdr:col>
      <xdr:colOff>231962</xdr:colOff>
      <xdr:row>11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270E4-E72F-47C2-809C-B47D31DE7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12165</xdr:colOff>
      <xdr:row>13</xdr:row>
      <xdr:rowOff>29710</xdr:rowOff>
    </xdr:from>
    <xdr:to>
      <xdr:col>20</xdr:col>
      <xdr:colOff>270349</xdr:colOff>
      <xdr:row>21</xdr:row>
      <xdr:rowOff>353785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3E430-5F95-4FF9-B4A0-B6DA041D5C53}"/>
            </a:ext>
            <a:ext uri="{147F2762-F138-4A5C-976F-8EAC2B608ADB}">
              <a16:predDERef xmlns:a16="http://schemas.microsoft.com/office/drawing/2014/main" pred="{6C368837-70F9-46AA-99D8-2F919D9A5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5:F14" totalsRowCount="1" headerRowDxfId="36" totalsRowDxfId="35" headerRowCellStyle="Heading 1" dataCellStyle="Normal" totalsRowCellStyle="Normal">
  <autoFilter ref="B5:F13" xr:uid="{00000000-0009-0000-0100-000003000000}"/>
  <tableColumns count="5">
    <tableColumn id="1" xr3:uid="{00000000-0010-0000-0200-000001000000}" name="INCOME" totalsRowLabel="Total Income" totalsRowDxfId="34" dataCellStyle="Input"/>
    <tableColumn id="2" xr3:uid="{00000000-0010-0000-0200-000002000000}" name="ESTIMATED" totalsRowFunction="sum" totalsRowDxfId="33" dataCellStyle="Currency"/>
    <tableColumn id="3" xr3:uid="{00000000-0010-0000-0200-000003000000}" name="ACTUAL" totalsRowFunction="sum" totalsRowDxfId="32" dataCellStyle="Currency"/>
    <tableColumn id="5" xr3:uid="{00000000-0010-0000-0200-000005000000}" name="TOP 5 AMOUNT" totalsRowDxfId="31" dataCellStyle="Currency">
      <calculatedColumnFormula>Income[[#This Row],[ACTUAL]]+(10^-6)*ROW(Income[[#This Row],[ACTUAL]])</calculatedColumnFormula>
    </tableColumn>
    <tableColumn id="4" xr3:uid="{00000000-0010-0000-0200-000004000000}" name="DIFFERENCE" totalsRowFunction="sum" totalsRowDxfId="30" dataCellStyle="Currency">
      <calculatedColumnFormula>Income[[#This Row],[ACTUAL]]-Income[[#This Row],[ESTIMATED]]</calculatedColumnFormula>
    </tableColumn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2D687-B76F-4DB3-A682-9DF735C05555}" name="Expenses82" displayName="Expenses82" ref="B26:F30" totalsRowCount="1" headerRowCellStyle="Expense Title">
  <autoFilter ref="B26:F29" xr:uid="{1682D687-B76F-4DB3-A682-9DF735C05555}"/>
  <sortState xmlns:xlrd2="http://schemas.microsoft.com/office/spreadsheetml/2017/richdata2" ref="B27:F30">
    <sortCondition ref="B14:B27"/>
  </sortState>
  <tableColumns count="5">
    <tableColumn id="1" xr3:uid="{8E17326A-715A-4548-926A-5F6425089003}" name="EXPENSES" totalsRowFunction="custom" dataCellStyle="Intuit" totalsRowCellStyle="Intuit">
      <totalsRowFormula>CONCATENATE("Total ",B25)</totalsRowFormula>
    </tableColumn>
    <tableColumn id="6" xr3:uid="{F6E3C328-D6EE-415F-8C51-BA6FEC6BBF3B}" name="Category" totalsRowLabel="-" dataCellStyle="Intuit" totalsRowCellStyle="Intuit"/>
    <tableColumn id="2" xr3:uid="{A65F2D23-5956-4D7F-BB1C-378DFF1AE1E6}" name="ESTIMATED" totalsRowFunction="sum" dataCellStyle="Intuit" totalsRowCellStyle="Intuit"/>
    <tableColumn id="3" xr3:uid="{356E8812-9CBC-4593-B63B-1682A3E88290}" name="ACTUAL" totalsRowFunction="sum" dataCellStyle="Actual" totalsRowCellStyle="Intuit"/>
    <tableColumn id="4" xr3:uid="{8E0C96D8-C05F-48AE-9FDD-507AC2A0963C}" name="DIFFERENCE" totalsRowFunction="sum" dataCellStyle="Intuit" totalsRowCellStyle="Intuit">
      <calculatedColumnFormula>Expenses82[[#This Row],[ESTIMATED]]-Expenses82[[#This Row],[ACTUAL]]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EBF2D8-570C-4363-81B6-36C2257D3154}" name="Table5" displayName="Table5" ref="A2:C80" totalsRowShown="0" headerRowDxfId="29" dataDxfId="28">
  <autoFilter ref="A2:C80" xr:uid="{12EBF2D8-570C-4363-81B6-36C2257D3154}"/>
  <tableColumns count="3">
    <tableColumn id="1" xr3:uid="{39C924C7-C8BF-4FEA-81FD-C19D2CC62229}" name="Parent" dataDxfId="27"/>
    <tableColumn id="2" xr3:uid="{B552E78D-22CE-4F70-BEA5-B2F64FDB2C01}" name="Item" dataDxfId="26"/>
    <tableColumn id="3" xr3:uid="{9C42997B-6B78-4AAD-B2E3-F055AD05C1E6}" name="Income / Expense" dataDxfId="25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AA8B5-B642-44B0-8FF6-B12CE9F901F6}" name="Table2" displayName="Table2" ref="B6:F9" totalsRowCount="1" headerRowCellStyle="Expense Title">
  <autoFilter ref="B6:F8" xr:uid="{47B637C1-818B-4BED-881E-062FC4FD7398}"/>
  <tableColumns count="5">
    <tableColumn id="1" xr3:uid="{1F3E0BC5-EBB5-4EC3-A58F-4EC1C5D18EDD}" name="BUDGET TOTALS" totalsRowLabel="Balance (Income - Expenses)" dataCellStyle="Intuit" totalsRowCellStyle="Intuit"/>
    <tableColumn id="2" xr3:uid="{97762248-6052-4C5E-B7CD-C84E3157FFDA}" name="ESTIMATED" totalsRowFunction="custom" dataCellStyle="Intuit" totalsRowCellStyle="Intuit">
      <totalsRowFormula>C7-C8</totalsRowFormula>
    </tableColumn>
    <tableColumn id="3" xr3:uid="{4B6AA04A-DDC8-43A6-A51B-A82E80AD793F}" name="ACTUAL" totalsRowFunction="custom" dataCellStyle="Actual" totalsRowCellStyle="Intuit">
      <totalsRowFormula>D7-D8</totalsRowFormula>
    </tableColumn>
    <tableColumn id="4" xr3:uid="{421FA974-B591-456B-8462-4F763A15D3C5}" name="DIFFERENCE" totalsRowFunction="sum" dataCellStyle="Intuit" totalsRowCellStyle="Intuit">
      <calculatedColumnFormula>Table2[[#This Row],[ACTUAL]]-Table2[[#This Row],[ESTIMATED]]</calculatedColumnFormula>
    </tableColumn>
    <tableColumn id="5" xr3:uid="{FEC26463-7C51-41D7-BED2-652EA6CA6A14}" name="% DIFFERENCE" totalsRowFunction="custom" dataCellStyle="Intuit" totalsRowCellStyle="Intuit">
      <calculatedColumnFormula>Table2[[#This Row],[ACTUAL]]/Table2[[#This Row],[ESTIMATED]]-1</calculatedColumnFormula>
      <totalsRowFormula>Table2[[#Totals],[ACTUAL]]/Table2[[#Totals],[ESTIMATED]]-1</totalsRowFormula>
    </tableColumn>
  </tableColumns>
  <tableStyleInfo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687831-987E-42B2-BD52-98438D3235E9}" name="Table813" displayName="Table813" ref="B14:F22" totalsRowShown="0" headerRowCellStyle="Expense Title" dataCellStyle="Intuit">
  <autoFilter ref="B14:F22" xr:uid="{48D736D2-409F-4CCC-9229-BC8BBB0F6627}"/>
  <tableColumns count="5">
    <tableColumn id="1" xr3:uid="{5BB30AE3-01B6-45EC-B5D1-77EB9F47AEF6}" name="EXPENSE CATEGORIES" dataCellStyle="Intuit"/>
    <tableColumn id="2" xr3:uid="{816B5BF8-0B90-41E0-AC96-F507C0A2220B}" name="ESTIMATED" dataCellStyle="Intuit"/>
    <tableColumn id="3" xr3:uid="{02DFC22E-DFD1-46DF-A607-21FE7987E801}" name="ACTUAL" dataCellStyle="Actual"/>
    <tableColumn id="4" xr3:uid="{6FCECB5A-A738-4A0D-A483-10280AB7CA05}" name="DIFFERENCE" dataCellStyle="Intuit"/>
    <tableColumn id="5" xr3:uid="{7D98620E-E62D-4363-B129-291A53354158}" name="Status" dataCellStyle="Intuit">
      <calculatedColumnFormula>IF(Table813[[#This Row],[DIFFERENCE]]&lt;0,"You are under budget!","You are over budget.")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11D61B-7892-4F1B-A8FE-EB81B22B888E}" name="Expenses8" displayName="Expenses8" ref="B17:F23" totalsRowCount="1" headerRowCellStyle="Expense Title">
  <autoFilter ref="B17:F22" xr:uid="{8A11D61B-7892-4F1B-A8FE-EB81B22B888E}"/>
  <sortState xmlns:xlrd2="http://schemas.microsoft.com/office/spreadsheetml/2017/richdata2" ref="B18:F23">
    <sortCondition ref="B14:B27"/>
  </sortState>
  <tableColumns count="5">
    <tableColumn id="1" xr3:uid="{8E491F9B-228F-4742-9613-8F5AFE886FA7}" name="EXPENSES" totalsRowFunction="custom" dataCellStyle="Intuit" totalsRowCellStyle="Intuit">
      <totalsRowFormula>CONCATENATE("Total ",B16)</totalsRowFormula>
    </tableColumn>
    <tableColumn id="6" xr3:uid="{778C2C2D-4033-4F8F-8E82-FC1CF7393127}" name="Category" totalsRowLabel="-" dataCellStyle="Intuit" totalsRowCellStyle="Intuit"/>
    <tableColumn id="2" xr3:uid="{93EE077D-ED73-4270-9858-DC1A7192F712}" name="ESTIMATED" totalsRowFunction="sum" dataCellStyle="Intuit" totalsRowCellStyle="Intuit"/>
    <tableColumn id="3" xr3:uid="{355C9BEB-9B5A-4F74-B08F-853DBD0FE2CE}" name="ACTUAL" totalsRowFunction="sum" dataCellStyle="Actual" totalsRowCellStyle="Intuit"/>
    <tableColumn id="4" xr3:uid="{B0E857FF-4DD3-4628-9E57-8089758BA880}" name="DIFFERENCE" totalsRowFunction="sum" dataCellStyle="Intuit" totalsRowCellStyle="Intuit">
      <calculatedColumnFormula>Expenses8[[#This Row],[ESTIMATED]]-Expenses8[[#This Row],[ACTUAL]]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141FEA-2F7A-47D0-89FC-42ECF8AB86CC}" name="Expenses81415" displayName="Expenses81415" ref="B57:F60" totalsRowCount="1" headerRowCellStyle="Expense Title">
  <autoFilter ref="B57:F59" xr:uid="{CD141FEA-2F7A-47D0-89FC-42ECF8AB86CC}"/>
  <sortState xmlns:xlrd2="http://schemas.microsoft.com/office/spreadsheetml/2017/richdata2" ref="B58:F60">
    <sortCondition ref="B54:B55"/>
  </sortState>
  <tableColumns count="5">
    <tableColumn id="1" xr3:uid="{79FCE662-68AB-4C02-B7DD-63CB21F1A941}" name="EXPENSES" totalsRowFunction="custom" dataCellStyle="Intuit" totalsRowCellStyle="Intuit">
      <totalsRowFormula>CONCATENATE("Total ",B56)</totalsRowFormula>
    </tableColumn>
    <tableColumn id="6" xr3:uid="{B446620E-4EFC-4744-BA20-9EF4471A6F69}" name="Category" totalsRowLabel="-" dataCellStyle="Intuit" totalsRowCellStyle="Intuit"/>
    <tableColumn id="2" xr3:uid="{6D374563-5838-4341-AB5E-AD284515FB66}" name="ESTIMATED" totalsRowFunction="sum" dataCellStyle="Intuit" totalsRowCellStyle="Intuit"/>
    <tableColumn id="3" xr3:uid="{51B82082-8D16-4D25-B67B-631EE5074FAB}" name="ACTUAL" totalsRowFunction="sum" dataCellStyle="Actual" totalsRowCellStyle="Intuit"/>
    <tableColumn id="4" xr3:uid="{5DD8BDAC-378A-48BB-8CAA-3FC876EDD8B7}" name="DIFFERENCE" totalsRowFunction="sum" dataCellStyle="Intuit" totalsRowCellStyle="Intuit">
      <calculatedColumnFormula>Expenses81415[[#This Row],[ESTIMATED]]-Expenses81415[[#This Row],[ACTUAL]]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402F8DC-73A3-4AFE-AC6B-032164BEF9CB}" name="Expenses816" displayName="Expenses816" ref="B33:F38" totalsRowCount="1" headerRowCellStyle="Expense Title">
  <autoFilter ref="B33:F37" xr:uid="{4402F8DC-73A3-4AFE-AC6B-032164BEF9CB}"/>
  <sortState xmlns:xlrd2="http://schemas.microsoft.com/office/spreadsheetml/2017/richdata2" ref="B34:F38">
    <sortCondition ref="B24:B31"/>
  </sortState>
  <tableColumns count="5">
    <tableColumn id="1" xr3:uid="{39279FCA-F864-403A-923C-3C95095B3A93}" name="EXPENSES" totalsRowFunction="custom" dataCellStyle="Intuit" totalsRowCellStyle="Intuit">
      <totalsRowFormula>CONCATENATE("Total ",B32)</totalsRowFormula>
    </tableColumn>
    <tableColumn id="6" xr3:uid="{2A23ED75-A739-4E94-8776-12BEEDC37187}" name="Category" totalsRowLabel="-" dataCellStyle="Intuit" totalsRowCellStyle="Intuit"/>
    <tableColumn id="2" xr3:uid="{3832DB6C-6E4B-45B5-B5BD-7662C378D5BF}" name="ESTIMATED" totalsRowFunction="sum" dataCellStyle="Intuit" totalsRowCellStyle="Intuit"/>
    <tableColumn id="3" xr3:uid="{7762B310-3BC0-4093-918F-6573C61EB6A8}" name="ACTUAL" totalsRowFunction="sum" dataCellStyle="Actual" totalsRowCellStyle="Intuit"/>
    <tableColumn id="4" xr3:uid="{410F9000-8120-4C9F-A2FC-35BB86C8F88A}" name="DIFFERENCE" totalsRowFunction="sum" dataCellStyle="Intuit" totalsRowCellStyle="Intuit">
      <calculatedColumnFormula>Expenses816[[#This Row],[ESTIMATED]]-Expenses816[[#This Row],[ACTUAL]]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72242AD-6825-4733-8611-45095E7AB1AC}" name="Expenses8161718" displayName="Expenses8161718" ref="B41:F48" totalsRowCount="1" headerRowCellStyle="Expense Title">
  <autoFilter ref="B41:F47" xr:uid="{D72242AD-6825-4733-8611-45095E7AB1AC}"/>
  <sortState xmlns:xlrd2="http://schemas.microsoft.com/office/spreadsheetml/2017/richdata2" ref="B42:F48">
    <sortCondition ref="B14:B23"/>
  </sortState>
  <tableColumns count="5">
    <tableColumn id="1" xr3:uid="{C9545615-DA2A-4FBE-A5A9-F28C3D460290}" name="EXPENSES" totalsRowFunction="custom" dataCellStyle="Intuit" totalsRowCellStyle="Intuit">
      <totalsRowFormula>CONCATENATE("Total ",B40)</totalsRowFormula>
    </tableColumn>
    <tableColumn id="6" xr3:uid="{975068C3-E1D7-4098-A109-6025740EE28C}" name="Category" totalsRowLabel="-" dataCellStyle="Intuit" totalsRowCellStyle="Intuit"/>
    <tableColumn id="2" xr3:uid="{AC8B034A-EA2C-497A-B83E-F75BB8251C01}" name="ESTIMATED" totalsRowFunction="sum" dataCellStyle="Intuit" totalsRowCellStyle="Intuit"/>
    <tableColumn id="3" xr3:uid="{3E2FEC71-CB3C-4051-B4FC-C0F6E1AA8129}" name="ACTUAL" totalsRowFunction="sum" dataCellStyle="Actual" totalsRowCellStyle="Intuit"/>
    <tableColumn id="4" xr3:uid="{92FDFB84-21A7-4782-B6F3-B4AC7B4C3DA7}" name="DIFFERENCE" totalsRowFunction="sum" dataCellStyle="Intuit" totalsRowCellStyle="Intuit">
      <calculatedColumnFormula>Expenses8161718[[#This Row],[ESTIMATED]]-Expenses8161718[[#This Row],[ACTUAL]]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AB12F71-65DB-4AC4-AFB0-4FCC2BFDFB84}" name="Expenses816171820" displayName="Expenses816171820" ref="B51:F54" totalsRowCount="1" headerRowCellStyle="Expense Title">
  <autoFilter ref="B51:F53" xr:uid="{4AB12F71-65DB-4AC4-AFB0-4FCC2BFDFB84}"/>
  <sortState xmlns:xlrd2="http://schemas.microsoft.com/office/spreadsheetml/2017/richdata2" ref="B52:F54">
    <sortCondition ref="B14:B23"/>
  </sortState>
  <tableColumns count="5">
    <tableColumn id="1" xr3:uid="{FC963430-3F3A-4A1B-B9DD-9874257C939E}" name="EXPENSES" totalsRowFunction="custom" dataCellStyle="Intuit" totalsRowCellStyle="Intuit">
      <totalsRowFormula>CONCATENATE("Total ",B50)</totalsRowFormula>
    </tableColumn>
    <tableColumn id="6" xr3:uid="{B8147CA4-0173-4C2A-B5B3-3A50811805CC}" name="Category" totalsRowLabel="-" dataCellStyle="Intuit" totalsRowCellStyle="Intuit"/>
    <tableColumn id="2" xr3:uid="{9E2353EF-921B-407B-A2DC-A501A15EE8DD}" name="ESTIMATED" totalsRowFunction="sum" dataCellStyle="Intuit" totalsRowCellStyle="Intuit"/>
    <tableColumn id="3" xr3:uid="{2C64FE19-4D35-43AB-A421-6CD33DF7BC81}" name="ACTUAL" totalsRowFunction="sum" dataCellStyle="Actual" totalsRowCellStyle="Actual"/>
    <tableColumn id="4" xr3:uid="{B733CFAA-0DF3-4CD6-A734-D724D098409E}" name="DIFFERENCE" totalsRowFunction="sum" dataCellStyle="Intuit" totalsRowCellStyle="Intuit">
      <calculatedColumnFormula>Expenses816171820[[#This Row],[ESTIMATED]]-Expenses816171820[[#This Row],[ACTUAL]]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61930E5-8606-45B0-B689-0D5576BD773A}" name="Expenses81617182021" displayName="Expenses81617182021" ref="B65:F71" totalsRowCount="1" headerRowCellStyle="Expense Title">
  <autoFilter ref="B65:F70" xr:uid="{161930E5-8606-45B0-B689-0D5576BD773A}"/>
  <sortState xmlns:xlrd2="http://schemas.microsoft.com/office/spreadsheetml/2017/richdata2" ref="B66:F71">
    <sortCondition ref="B14:B23"/>
  </sortState>
  <tableColumns count="5">
    <tableColumn id="1" xr3:uid="{FEF6A5E3-A880-451D-99D8-24809077E06A}" name="EXPENSES" totalsRowFunction="custom" dataCellStyle="Intuit" totalsRowCellStyle="Intuit">
      <totalsRowFormula>CONCATENATE("Total ",B64)</totalsRowFormula>
    </tableColumn>
    <tableColumn id="6" xr3:uid="{71D6DF70-FC81-451E-ABC3-5DCDF791292B}" name="Category" totalsRowLabel="-" dataCellStyle="Intuit" totalsRowCellStyle="Intuit"/>
    <tableColumn id="2" xr3:uid="{F946434F-5E17-42AE-B426-D30747C7B9FD}" name="ESTIMATED" totalsRowFunction="sum" dataCellStyle="Intuit" totalsRowCellStyle="Intuit"/>
    <tableColumn id="3" xr3:uid="{EAB5BE48-48F2-4542-8508-2CDFCB1A0DEC}" name="ACTUAL" totalsRowFunction="sum" dataCellStyle="Actual" totalsRowCellStyle="Intuit"/>
    <tableColumn id="4" xr3:uid="{246526F5-0691-4487-BF02-3137A1637B95}" name="DIFFERENCE" totalsRowFunction="sum" dataCellStyle="Intuit" totalsRowCellStyle="Intuit">
      <calculatedColumnFormula>Expenses81617182021[[#This Row],[ESTIMATED]]-Expenses81617182021[[#This Row],[ACTUAL]]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F5F9106-2061-4243-BCB4-15526AE035F7}" name="Expenses8161718202122" displayName="Expenses8161718202122" ref="B74:F80" totalsRowCount="1" headerRowCellStyle="Expense Title">
  <autoFilter ref="B74:F79" xr:uid="{6F5F9106-2061-4243-BCB4-15526AE035F7}"/>
  <sortState xmlns:xlrd2="http://schemas.microsoft.com/office/spreadsheetml/2017/richdata2" ref="B75:F80">
    <sortCondition ref="B14:B23"/>
  </sortState>
  <tableColumns count="5">
    <tableColumn id="1" xr3:uid="{0D5480E2-5F6F-4FB9-BDD6-B9DDF40F5F63}" name="EXPENSES" totalsRowFunction="custom" dataCellStyle="Intuit" totalsRowCellStyle="Intuit">
      <totalsRowFormula>CONCATENATE("Total ",B73)</totalsRowFormula>
    </tableColumn>
    <tableColumn id="6" xr3:uid="{9FF2AB29-EA15-4226-AFB7-62986866FECA}" name="Category" totalsRowLabel="-" dataCellStyle="Intuit" totalsRowCellStyle="Intuit"/>
    <tableColumn id="2" xr3:uid="{7C4BD184-4391-40CE-9881-AE2F43BD9615}" name="ESTIMATED" totalsRowFunction="sum" dataCellStyle="Intuit" totalsRowCellStyle="Intuit"/>
    <tableColumn id="3" xr3:uid="{F1F7C552-2A94-4C9E-B0D8-553E6528D3D3}" name="ACTUAL" totalsRowFunction="sum" dataCellStyle="Actual" totalsRowCellStyle="Intuit"/>
    <tableColumn id="4" xr3:uid="{23650621-EFBF-4C76-840A-480B94D08B2B}" name="DIFFERENCE" totalsRowFunction="sum" dataCellStyle="Intuit" totalsRowCellStyle="Intuit">
      <calculatedColumnFormula>Expenses8161718202122[[#This Row],[ESTIMATED]]-Expenses8161718202122[[#This Row],[ACTUAL]]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57E2B7E-6804-411A-81F9-57976A6C4444}" name="Expenses816171820212223" displayName="Expenses816171820212223" ref="B83:F88" totalsRowCount="1" headerRowCellStyle="Expense Title">
  <autoFilter ref="B83:F87" xr:uid="{257E2B7E-6804-411A-81F9-57976A6C4444}"/>
  <sortState xmlns:xlrd2="http://schemas.microsoft.com/office/spreadsheetml/2017/richdata2" ref="B84:F88">
    <sortCondition ref="B14:B23"/>
  </sortState>
  <tableColumns count="5">
    <tableColumn id="1" xr3:uid="{338F1AA9-E8AD-42C7-8601-364F7E7723B7}" name="EXPENSES" totalsRowFunction="custom" dataCellStyle="Intuit" totalsRowCellStyle="Intuit">
      <totalsRowFormula>CONCATENATE("Total ",B82)</totalsRowFormula>
    </tableColumn>
    <tableColumn id="6" xr3:uid="{93B1F1B6-9F7E-48D0-96B3-22D21B18799C}" name="Category" totalsRowLabel="-" dataCellStyle="Intuit" totalsRowCellStyle="Intuit"/>
    <tableColumn id="2" xr3:uid="{6733688F-8EAC-45D5-88FA-3FFD54704A61}" name="ESTIMATED" totalsRowFunction="sum" dataCellStyle="Intuit" totalsRowCellStyle="Intuit"/>
    <tableColumn id="3" xr3:uid="{CD97832A-5157-4C6F-A048-149058A00129}" name="ACTUAL" totalsRowFunction="sum" dataCellStyle="Actual" totalsRowCellStyle="Intuit"/>
    <tableColumn id="4" xr3:uid="{7427D5F7-C4F7-4D80-B885-E089E7CF7B56}" name="DIFFERENCE" totalsRowFunction="sum" dataCellStyle="Intuit" totalsRowCellStyle="Intuit">
      <calculatedColumnFormula>Expenses816171820212223[[#This Row],[ESTIMATED]]-Expenses816171820212223[[#This Row],[ACTUAL]]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Intuit">
  <a:themeElements>
    <a:clrScheme name="Intuit 1">
      <a:dk1>
        <a:srgbClr val="00254A"/>
      </a:dk1>
      <a:lt1>
        <a:srgbClr val="FFFFFF"/>
      </a:lt1>
      <a:dk2>
        <a:srgbClr val="D1DEE9"/>
      </a:dk2>
      <a:lt2>
        <a:srgbClr val="000000"/>
      </a:lt2>
      <a:accent1>
        <a:srgbClr val="236CFF"/>
      </a:accent1>
      <a:accent2>
        <a:srgbClr val="34BFFF"/>
      </a:accent2>
      <a:accent3>
        <a:srgbClr val="6B6C72"/>
      </a:accent3>
      <a:accent4>
        <a:srgbClr val="002449"/>
      </a:accent4>
      <a:accent5>
        <a:srgbClr val="002449"/>
      </a:accent5>
      <a:accent6>
        <a:srgbClr val="6B6C71"/>
      </a:accent6>
      <a:hlink>
        <a:srgbClr val="0077C5"/>
      </a:hlink>
      <a:folHlink>
        <a:srgbClr val="236CFF"/>
      </a:folHlink>
    </a:clrScheme>
    <a:fontScheme name="Office">
      <a:maj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uit" id="{DD2E12AF-48E1-1340-9A99-20181B6331A6}" vid="{178E1629-930E-4C4A-8F00-8F347205C0A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8F96A3"/>
    <pageSetUpPr autoPageBreaks="0" fitToPage="1"/>
  </sheetPr>
  <dimension ref="A1:S133"/>
  <sheetViews>
    <sheetView showGridLines="0" zoomScaleNormal="100" workbookViewId="0">
      <selection activeCell="C3" sqref="C3"/>
    </sheetView>
  </sheetViews>
  <sheetFormatPr baseColWidth="10" defaultColWidth="9" defaultRowHeight="30" customHeight="1"/>
  <cols>
    <col min="1" max="1" width="4.1640625" customWidth="1"/>
    <col min="2" max="2" width="29.1640625" customWidth="1"/>
    <col min="3" max="3" width="19" customWidth="1"/>
    <col min="4" max="4" width="18.6640625" customWidth="1"/>
    <col min="5" max="5" width="26" hidden="1" customWidth="1"/>
    <col min="6" max="6" width="19" customWidth="1"/>
    <col min="7" max="8" width="4.1640625" customWidth="1"/>
  </cols>
  <sheetData>
    <row r="1" spans="1:19" ht="31.5" customHeight="1">
      <c r="B1" s="38" t="s">
        <v>0</v>
      </c>
      <c r="C1" s="38"/>
      <c r="D1" s="38"/>
      <c r="E1" s="12"/>
      <c r="F1" s="13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19" ht="50.5" customHeight="1">
      <c r="B2" s="39" t="s">
        <v>1</v>
      </c>
      <c r="C2" s="39"/>
      <c r="D2" s="39"/>
      <c r="E2" s="14"/>
      <c r="F2" s="13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ht="25.5" customHeight="1">
      <c r="B3" s="33" t="s">
        <v>2</v>
      </c>
      <c r="C3" s="37"/>
      <c r="D3" s="15"/>
      <c r="E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ht="35" customHeight="1">
      <c r="B4" s="15"/>
      <c r="C4" s="15"/>
      <c r="D4" s="15"/>
      <c r="E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s="2" customFormat="1" ht="30" customHeight="1">
      <c r="A5" s="7"/>
      <c r="B5" s="13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6"/>
      <c r="H5" s="4"/>
      <c r="I5" s="4"/>
      <c r="J5"/>
      <c r="K5"/>
      <c r="L5"/>
      <c r="M5"/>
      <c r="N5"/>
      <c r="O5"/>
      <c r="P5"/>
      <c r="Q5"/>
      <c r="R5"/>
      <c r="S5"/>
    </row>
    <row r="6" spans="1:19" ht="30" customHeight="1">
      <c r="A6" s="5"/>
      <c r="B6" s="17" t="s">
        <v>8</v>
      </c>
      <c r="C6" s="19">
        <v>3800</v>
      </c>
      <c r="D6" s="19">
        <v>4200</v>
      </c>
      <c r="E6" s="19">
        <f>Income[[#This Row],[ACTUAL]]+(10^-6)*ROW(Income[[#This Row],[ACTUAL]])</f>
        <v>4200.0000060000002</v>
      </c>
      <c r="F6" s="19">
        <f>Income[[#This Row],[ACTUAL]]-Income[[#This Row],[ESTIMATED]]</f>
        <v>400</v>
      </c>
      <c r="G6" s="6"/>
      <c r="H6" s="4"/>
      <c r="I6" s="4"/>
    </row>
    <row r="7" spans="1:19" ht="30" customHeight="1">
      <c r="A7" s="5"/>
      <c r="B7" s="17" t="s">
        <v>9</v>
      </c>
      <c r="C7" s="19">
        <v>500</v>
      </c>
      <c r="D7" s="19">
        <v>750</v>
      </c>
      <c r="E7" s="19">
        <f>Income[[#This Row],[ACTUAL]]+(10^-6)*ROW(Income[[#This Row],[ACTUAL]])</f>
        <v>750.00000699999998</v>
      </c>
      <c r="F7" s="19">
        <f>Income[[#This Row],[ACTUAL]]-Income[[#This Row],[ESTIMATED]]</f>
        <v>250</v>
      </c>
      <c r="G7" s="6"/>
      <c r="H7" s="4"/>
      <c r="I7" s="4"/>
    </row>
    <row r="8" spans="1:19" ht="30" customHeight="1">
      <c r="A8" s="5"/>
      <c r="B8" s="17" t="s">
        <v>10</v>
      </c>
      <c r="C8" s="19">
        <v>0</v>
      </c>
      <c r="D8" s="19">
        <v>0</v>
      </c>
      <c r="E8" s="19">
        <f>Income[[#This Row],[ACTUAL]]+(10^-6)*ROW(Income[[#This Row],[ACTUAL]])</f>
        <v>7.9999999999999996E-6</v>
      </c>
      <c r="F8" s="19">
        <f>Income[[#This Row],[ACTUAL]]-Income[[#This Row],[ESTIMATED]]</f>
        <v>0</v>
      </c>
      <c r="G8" s="6"/>
      <c r="H8" s="4"/>
      <c r="I8" s="4"/>
    </row>
    <row r="9" spans="1:19" ht="30" customHeight="1">
      <c r="A9" s="5"/>
      <c r="B9" s="17" t="s">
        <v>11</v>
      </c>
      <c r="C9" s="19">
        <v>0</v>
      </c>
      <c r="D9" s="19">
        <v>1000</v>
      </c>
      <c r="E9" s="19">
        <f>Income[[#This Row],[ACTUAL]]+(10^-6)*ROW(Income[[#This Row],[ACTUAL]])</f>
        <v>1000.000009</v>
      </c>
      <c r="F9" s="19">
        <f>Income[[#This Row],[ACTUAL]]-Income[[#This Row],[ESTIMATED]]</f>
        <v>1000</v>
      </c>
      <c r="G9" s="6"/>
      <c r="H9" s="4"/>
      <c r="I9" s="4"/>
    </row>
    <row r="10" spans="1:19" ht="30" customHeight="1">
      <c r="A10" s="5"/>
      <c r="B10" s="17" t="s">
        <v>12</v>
      </c>
      <c r="C10" s="19">
        <v>0</v>
      </c>
      <c r="D10" s="19">
        <v>0</v>
      </c>
      <c r="E10" s="19">
        <f>Income[[#This Row],[ACTUAL]]+(10^-6)*ROW(Income[[#This Row],[ACTUAL]])</f>
        <v>9.9999999999999991E-6</v>
      </c>
      <c r="F10" s="19">
        <f>Income[[#This Row],[ACTUAL]]-Income[[#This Row],[ESTIMATED]]</f>
        <v>0</v>
      </c>
      <c r="G10" s="6"/>
      <c r="H10" s="4"/>
      <c r="I10" s="4"/>
    </row>
    <row r="11" spans="1:19" ht="30" customHeight="1">
      <c r="A11" s="5"/>
      <c r="B11" s="17" t="s">
        <v>13</v>
      </c>
      <c r="C11" s="19">
        <v>0</v>
      </c>
      <c r="D11" s="19">
        <v>0</v>
      </c>
      <c r="E11" s="19">
        <f>Income[[#This Row],[ACTUAL]]+(10^-6)*ROW(Income[[#This Row],[ACTUAL]])</f>
        <v>1.1E-5</v>
      </c>
      <c r="F11" s="19">
        <f>Income[[#This Row],[ACTUAL]]-Income[[#This Row],[ESTIMATED]]</f>
        <v>0</v>
      </c>
      <c r="G11" s="6"/>
      <c r="H11" s="4"/>
      <c r="I11" s="4"/>
    </row>
    <row r="12" spans="1:19" ht="30" customHeight="1">
      <c r="A12" s="5"/>
      <c r="B12" s="17" t="s">
        <v>14</v>
      </c>
      <c r="C12" s="19">
        <v>0</v>
      </c>
      <c r="D12" s="19">
        <v>0</v>
      </c>
      <c r="E12" s="19">
        <f>Income[[#This Row],[ACTUAL]]+(10^-6)*ROW(Income[[#This Row],[ACTUAL]])</f>
        <v>1.2E-5</v>
      </c>
      <c r="F12" s="19">
        <f>Income[[#This Row],[ACTUAL]]-Income[[#This Row],[ESTIMATED]]</f>
        <v>0</v>
      </c>
      <c r="G12" s="6"/>
      <c r="H12" s="4"/>
      <c r="I12" s="4"/>
    </row>
    <row r="13" spans="1:19" ht="30" customHeight="1">
      <c r="A13" s="5"/>
      <c r="B13" s="17" t="s">
        <v>15</v>
      </c>
      <c r="C13" s="19">
        <v>0</v>
      </c>
      <c r="D13" s="19">
        <v>0</v>
      </c>
      <c r="E13" s="19">
        <f>Income[[#This Row],[ACTUAL]]+(10^-6)*ROW(Income[[#This Row],[ACTUAL]])</f>
        <v>1.2999999999999999E-5</v>
      </c>
      <c r="F13" s="19">
        <f>Income[[#This Row],[ACTUAL]]-Income[[#This Row],[ESTIMATED]]</f>
        <v>0</v>
      </c>
      <c r="G13" s="8"/>
      <c r="H13" s="4"/>
      <c r="I13" s="4"/>
    </row>
    <row r="14" spans="1:19" ht="30" customHeight="1">
      <c r="A14" s="5"/>
      <c r="B14" s="18" t="s">
        <v>16</v>
      </c>
      <c r="C14" s="22">
        <f>SUBTOTAL(109,Income[ESTIMATED])</f>
        <v>4300</v>
      </c>
      <c r="D14" s="22">
        <f>SUBTOTAL(109,Income[ACTUAL])</f>
        <v>5950</v>
      </c>
      <c r="E14" s="22"/>
      <c r="F14" s="22">
        <f>SUBTOTAL(109,Income[DIFFERENCE])</f>
        <v>1650</v>
      </c>
      <c r="G14" s="5"/>
      <c r="H14" s="4"/>
      <c r="I14" s="4"/>
    </row>
    <row r="15" spans="1:19" ht="30" customHeight="1">
      <c r="H15" s="9"/>
      <c r="I15" s="9"/>
    </row>
    <row r="16" spans="1:19" ht="30" customHeight="1">
      <c r="H16" s="9"/>
      <c r="I16" s="9"/>
    </row>
    <row r="17" spans="8:9" ht="30" customHeight="1">
      <c r="H17" s="9"/>
      <c r="I17" s="9"/>
    </row>
    <row r="18" spans="8:9" ht="30" customHeight="1">
      <c r="H18" s="9"/>
      <c r="I18" s="9"/>
    </row>
    <row r="19" spans="8:9" ht="30" customHeight="1">
      <c r="H19" s="9"/>
      <c r="I19" s="9"/>
    </row>
    <row r="20" spans="8:9" ht="30" customHeight="1">
      <c r="H20" s="9"/>
      <c r="I20" s="9"/>
    </row>
    <row r="21" spans="8:9" ht="30" customHeight="1">
      <c r="H21" s="9"/>
      <c r="I21" s="9"/>
    </row>
    <row r="22" spans="8:9" ht="30" customHeight="1">
      <c r="H22" s="9"/>
      <c r="I22" s="9"/>
    </row>
    <row r="23" spans="8:9" ht="30" customHeight="1">
      <c r="H23" s="9"/>
      <c r="I23" s="9"/>
    </row>
    <row r="24" spans="8:9" ht="30" customHeight="1">
      <c r="H24" s="9"/>
      <c r="I24" s="9"/>
    </row>
    <row r="25" spans="8:9" ht="30" customHeight="1">
      <c r="H25" s="9"/>
      <c r="I25" s="9"/>
    </row>
    <row r="26" spans="8:9" ht="30" customHeight="1">
      <c r="H26" s="9"/>
      <c r="I26" s="9"/>
    </row>
    <row r="27" spans="8:9" ht="30" customHeight="1">
      <c r="H27" s="9"/>
      <c r="I27" s="9"/>
    </row>
    <row r="28" spans="8:9" ht="30" customHeight="1">
      <c r="H28" s="9"/>
      <c r="I28" s="9"/>
    </row>
    <row r="29" spans="8:9" ht="30" customHeight="1">
      <c r="H29" s="9"/>
      <c r="I29" s="9"/>
    </row>
    <row r="30" spans="8:9" ht="30" customHeight="1">
      <c r="H30" s="9"/>
      <c r="I30" s="9"/>
    </row>
    <row r="31" spans="8:9" ht="30" customHeight="1">
      <c r="H31" s="9"/>
      <c r="I31" s="9"/>
    </row>
    <row r="32" spans="8:9" ht="30" customHeight="1">
      <c r="H32" s="9"/>
      <c r="I32" s="9"/>
    </row>
    <row r="33" spans="8:9" ht="30" customHeight="1">
      <c r="H33" s="9"/>
      <c r="I33" s="9"/>
    </row>
    <row r="34" spans="8:9" ht="30" customHeight="1">
      <c r="H34" s="9"/>
      <c r="I34" s="9"/>
    </row>
    <row r="35" spans="8:9" ht="30" customHeight="1">
      <c r="H35" s="9"/>
      <c r="I35" s="9"/>
    </row>
    <row r="36" spans="8:9" ht="30" customHeight="1">
      <c r="H36" s="9"/>
      <c r="I36" s="9"/>
    </row>
    <row r="37" spans="8:9" ht="30" customHeight="1">
      <c r="H37" s="9"/>
      <c r="I37" s="9"/>
    </row>
    <row r="38" spans="8:9" ht="30" customHeight="1">
      <c r="H38" s="9"/>
      <c r="I38" s="9"/>
    </row>
    <row r="39" spans="8:9" ht="30" customHeight="1">
      <c r="H39" s="9"/>
      <c r="I39" s="9"/>
    </row>
    <row r="40" spans="8:9" ht="30" customHeight="1">
      <c r="H40" s="9"/>
      <c r="I40" s="9"/>
    </row>
    <row r="41" spans="8:9" ht="30" customHeight="1">
      <c r="H41" s="9"/>
      <c r="I41" s="9"/>
    </row>
    <row r="42" spans="8:9" ht="30" customHeight="1">
      <c r="H42" s="9"/>
      <c r="I42" s="9"/>
    </row>
    <row r="43" spans="8:9" ht="30" customHeight="1">
      <c r="H43" s="9"/>
      <c r="I43" s="9"/>
    </row>
    <row r="44" spans="8:9" ht="30" customHeight="1">
      <c r="H44" s="9"/>
      <c r="I44" s="9"/>
    </row>
    <row r="45" spans="8:9" ht="30" customHeight="1">
      <c r="H45" s="9"/>
      <c r="I45" s="9"/>
    </row>
    <row r="46" spans="8:9" ht="30" customHeight="1">
      <c r="H46" s="9"/>
      <c r="I46" s="9"/>
    </row>
    <row r="47" spans="8:9" ht="30" customHeight="1">
      <c r="H47" s="9"/>
      <c r="I47" s="9"/>
    </row>
    <row r="48" spans="8:9" ht="30" customHeight="1">
      <c r="H48" s="9"/>
      <c r="I48" s="9"/>
    </row>
    <row r="49" spans="8:9" ht="30" customHeight="1">
      <c r="H49" s="9"/>
      <c r="I49" s="9"/>
    </row>
    <row r="50" spans="8:9" ht="30" customHeight="1">
      <c r="H50" s="9"/>
      <c r="I50" s="9"/>
    </row>
    <row r="51" spans="8:9" ht="30" customHeight="1">
      <c r="H51" s="9"/>
      <c r="I51" s="9"/>
    </row>
    <row r="52" spans="8:9" ht="30" customHeight="1">
      <c r="H52" s="9"/>
      <c r="I52" s="9"/>
    </row>
    <row r="53" spans="8:9" ht="30" customHeight="1">
      <c r="H53" s="9"/>
      <c r="I53" s="9"/>
    </row>
    <row r="54" spans="8:9" ht="30" customHeight="1">
      <c r="H54" s="9"/>
      <c r="I54" s="9"/>
    </row>
    <row r="55" spans="8:9" ht="30" customHeight="1">
      <c r="H55" s="9"/>
      <c r="I55" s="9"/>
    </row>
    <row r="56" spans="8:9" ht="30" customHeight="1">
      <c r="H56" s="9"/>
      <c r="I56" s="9"/>
    </row>
    <row r="57" spans="8:9" ht="30" customHeight="1">
      <c r="H57" s="9"/>
      <c r="I57" s="9"/>
    </row>
    <row r="58" spans="8:9" ht="30" customHeight="1">
      <c r="H58" s="9"/>
      <c r="I58" s="9"/>
    </row>
    <row r="59" spans="8:9" ht="30" customHeight="1">
      <c r="H59" s="9"/>
      <c r="I59" s="9"/>
    </row>
    <row r="60" spans="8:9" ht="30" customHeight="1">
      <c r="H60" s="9"/>
      <c r="I60" s="9"/>
    </row>
    <row r="61" spans="8:9" ht="30" customHeight="1">
      <c r="H61" s="9"/>
      <c r="I61" s="9"/>
    </row>
    <row r="62" spans="8:9" ht="30" customHeight="1">
      <c r="H62" s="9"/>
      <c r="I62" s="9"/>
    </row>
    <row r="63" spans="8:9" ht="30" customHeight="1">
      <c r="H63" s="9"/>
      <c r="I63" s="9"/>
    </row>
    <row r="64" spans="8:9" ht="30" customHeight="1">
      <c r="H64" s="9"/>
      <c r="I64" s="9"/>
    </row>
    <row r="65" spans="8:9" ht="30" customHeight="1">
      <c r="H65" s="9"/>
      <c r="I65" s="9"/>
    </row>
    <row r="66" spans="8:9" ht="30" customHeight="1">
      <c r="H66" s="9"/>
      <c r="I66" s="9"/>
    </row>
    <row r="67" spans="8:9" ht="30" customHeight="1">
      <c r="H67" s="9"/>
      <c r="I67" s="9"/>
    </row>
    <row r="68" spans="8:9" ht="30" customHeight="1">
      <c r="H68" s="9"/>
      <c r="I68" s="9"/>
    </row>
    <row r="69" spans="8:9" ht="30" customHeight="1">
      <c r="H69" s="9"/>
      <c r="I69" s="9"/>
    </row>
    <row r="70" spans="8:9" ht="30" customHeight="1">
      <c r="H70" s="9"/>
      <c r="I70" s="9"/>
    </row>
    <row r="71" spans="8:9" ht="30" customHeight="1">
      <c r="H71" s="9"/>
      <c r="I71" s="9"/>
    </row>
    <row r="72" spans="8:9" ht="30" customHeight="1">
      <c r="H72" s="9"/>
      <c r="I72" s="9"/>
    </row>
    <row r="73" spans="8:9" ht="30" customHeight="1">
      <c r="H73" s="9"/>
      <c r="I73" s="9"/>
    </row>
    <row r="74" spans="8:9" ht="30" customHeight="1">
      <c r="H74" s="9"/>
      <c r="I74" s="9"/>
    </row>
    <row r="75" spans="8:9" ht="30" customHeight="1">
      <c r="H75" s="9"/>
      <c r="I75" s="9"/>
    </row>
    <row r="76" spans="8:9" ht="30" customHeight="1">
      <c r="H76" s="9"/>
      <c r="I76" s="9"/>
    </row>
    <row r="77" spans="8:9" ht="30" customHeight="1">
      <c r="H77" s="9"/>
      <c r="I77" s="9"/>
    </row>
    <row r="78" spans="8:9" ht="30" customHeight="1">
      <c r="H78" s="9"/>
      <c r="I78" s="9"/>
    </row>
    <row r="79" spans="8:9" ht="30" customHeight="1">
      <c r="H79" s="9"/>
      <c r="I79" s="9"/>
    </row>
    <row r="80" spans="8:9" ht="30" customHeight="1">
      <c r="H80" s="9"/>
      <c r="I80" s="9"/>
    </row>
    <row r="81" spans="8:9" ht="30" customHeight="1">
      <c r="H81" s="9"/>
      <c r="I81" s="9"/>
    </row>
    <row r="82" spans="8:9" ht="30" customHeight="1">
      <c r="H82" s="9"/>
      <c r="I82" s="9"/>
    </row>
    <row r="83" spans="8:9" ht="30" customHeight="1">
      <c r="H83" s="9"/>
      <c r="I83" s="9"/>
    </row>
    <row r="84" spans="8:9" ht="30" customHeight="1">
      <c r="H84" s="9"/>
      <c r="I84" s="9"/>
    </row>
    <row r="85" spans="8:9" ht="30" customHeight="1">
      <c r="H85" s="9"/>
      <c r="I85" s="9"/>
    </row>
    <row r="86" spans="8:9" ht="30" customHeight="1">
      <c r="H86" s="9"/>
      <c r="I86" s="9"/>
    </row>
    <row r="87" spans="8:9" ht="30" customHeight="1">
      <c r="H87" s="9"/>
      <c r="I87" s="9"/>
    </row>
    <row r="88" spans="8:9" ht="30" customHeight="1">
      <c r="H88" s="9"/>
      <c r="I88" s="9"/>
    </row>
    <row r="89" spans="8:9" ht="30" customHeight="1">
      <c r="H89" s="9"/>
      <c r="I89" s="9"/>
    </row>
    <row r="90" spans="8:9" ht="30" customHeight="1">
      <c r="H90" s="9"/>
      <c r="I90" s="9"/>
    </row>
    <row r="91" spans="8:9" ht="30" customHeight="1">
      <c r="H91" s="9"/>
      <c r="I91" s="9"/>
    </row>
    <row r="92" spans="8:9" ht="30" customHeight="1">
      <c r="H92" s="9"/>
      <c r="I92" s="9"/>
    </row>
    <row r="93" spans="8:9" ht="30" customHeight="1">
      <c r="H93" s="9"/>
      <c r="I93" s="9"/>
    </row>
    <row r="94" spans="8:9" ht="30" customHeight="1">
      <c r="H94" s="9"/>
      <c r="I94" s="9"/>
    </row>
    <row r="95" spans="8:9" ht="30" customHeight="1">
      <c r="H95" s="9"/>
      <c r="I95" s="9"/>
    </row>
    <row r="96" spans="8:9" ht="30" customHeight="1">
      <c r="H96" s="9"/>
      <c r="I96" s="9"/>
    </row>
    <row r="97" spans="8:9" ht="30" customHeight="1">
      <c r="H97" s="9"/>
      <c r="I97" s="9"/>
    </row>
    <row r="98" spans="8:9" ht="30" customHeight="1">
      <c r="H98" s="9"/>
      <c r="I98" s="9"/>
    </row>
    <row r="99" spans="8:9" ht="30" customHeight="1">
      <c r="H99" s="9"/>
      <c r="I99" s="9"/>
    </row>
    <row r="100" spans="8:9" ht="30" customHeight="1">
      <c r="H100" s="9"/>
      <c r="I100" s="9"/>
    </row>
    <row r="101" spans="8:9" ht="30" customHeight="1">
      <c r="H101" s="9"/>
      <c r="I101" s="9"/>
    </row>
    <row r="102" spans="8:9" ht="30" customHeight="1">
      <c r="H102" s="9"/>
      <c r="I102" s="9"/>
    </row>
    <row r="103" spans="8:9" ht="30" customHeight="1">
      <c r="H103" s="9"/>
      <c r="I103" s="9"/>
    </row>
    <row r="104" spans="8:9" ht="30" customHeight="1">
      <c r="H104" s="9"/>
      <c r="I104" s="9"/>
    </row>
    <row r="105" spans="8:9" ht="30" customHeight="1">
      <c r="H105" s="9"/>
      <c r="I105" s="9"/>
    </row>
    <row r="106" spans="8:9" ht="30" customHeight="1">
      <c r="H106" s="9"/>
      <c r="I106" s="9"/>
    </row>
    <row r="107" spans="8:9" ht="30" customHeight="1">
      <c r="H107" s="9"/>
      <c r="I107" s="9"/>
    </row>
    <row r="108" spans="8:9" ht="30" customHeight="1">
      <c r="H108" s="9"/>
      <c r="I108" s="9"/>
    </row>
    <row r="109" spans="8:9" ht="30" customHeight="1">
      <c r="H109" s="9"/>
      <c r="I109" s="9"/>
    </row>
    <row r="110" spans="8:9" ht="30" customHeight="1">
      <c r="H110" s="9"/>
      <c r="I110" s="9"/>
    </row>
    <row r="111" spans="8:9" ht="30" customHeight="1">
      <c r="H111" s="9"/>
      <c r="I111" s="9"/>
    </row>
    <row r="112" spans="8:9" ht="30" customHeight="1">
      <c r="H112" s="9"/>
      <c r="I112" s="9"/>
    </row>
    <row r="113" spans="8:9" ht="30" customHeight="1">
      <c r="H113" s="9"/>
      <c r="I113" s="9"/>
    </row>
    <row r="114" spans="8:9" ht="30" customHeight="1">
      <c r="H114" s="9"/>
      <c r="I114" s="9"/>
    </row>
    <row r="115" spans="8:9" ht="30" customHeight="1">
      <c r="H115" s="9"/>
      <c r="I115" s="9"/>
    </row>
    <row r="116" spans="8:9" ht="30" customHeight="1">
      <c r="H116" s="9"/>
      <c r="I116" s="9"/>
    </row>
    <row r="117" spans="8:9" ht="30" customHeight="1">
      <c r="H117" s="9"/>
      <c r="I117" s="9"/>
    </row>
    <row r="118" spans="8:9" ht="30" customHeight="1">
      <c r="H118" s="9"/>
      <c r="I118" s="9"/>
    </row>
    <row r="119" spans="8:9" ht="30" customHeight="1">
      <c r="H119" s="9"/>
      <c r="I119" s="9"/>
    </row>
    <row r="120" spans="8:9" ht="30" customHeight="1">
      <c r="H120" s="9"/>
      <c r="I120" s="9"/>
    </row>
    <row r="121" spans="8:9" ht="30" customHeight="1">
      <c r="H121" s="9"/>
      <c r="I121" s="9"/>
    </row>
    <row r="122" spans="8:9" ht="30" customHeight="1">
      <c r="H122" s="9"/>
      <c r="I122" s="9"/>
    </row>
    <row r="123" spans="8:9" ht="30" customHeight="1">
      <c r="H123" s="9"/>
      <c r="I123" s="9"/>
    </row>
    <row r="124" spans="8:9" ht="30" customHeight="1">
      <c r="H124" s="9"/>
      <c r="I124" s="9"/>
    </row>
    <row r="125" spans="8:9" ht="30" customHeight="1">
      <c r="H125" s="9"/>
      <c r="I125" s="9"/>
    </row>
    <row r="126" spans="8:9" ht="30" customHeight="1">
      <c r="H126" s="9"/>
      <c r="I126" s="9"/>
    </row>
    <row r="127" spans="8:9" ht="30" customHeight="1">
      <c r="H127" s="9"/>
      <c r="I127" s="9"/>
    </row>
    <row r="128" spans="8:9" ht="30" customHeight="1">
      <c r="H128" s="9"/>
      <c r="I128" s="9"/>
    </row>
    <row r="129" spans="8:9" ht="30" customHeight="1">
      <c r="H129" s="9"/>
      <c r="I129" s="9"/>
    </row>
    <row r="130" spans="8:9" ht="30" customHeight="1">
      <c r="H130" s="9"/>
      <c r="I130" s="9"/>
    </row>
    <row r="131" spans="8:9" ht="30" customHeight="1">
      <c r="H131" s="9"/>
      <c r="I131" s="9"/>
    </row>
    <row r="132" spans="8:9" ht="30" customHeight="1">
      <c r="H132" s="9"/>
      <c r="I132" s="9"/>
    </row>
    <row r="133" spans="8:9" ht="30" customHeight="1">
      <c r="H133" s="9"/>
      <c r="I133" s="9"/>
    </row>
  </sheetData>
  <sheetProtection insertColumns="0" insertRows="0" deleteColumns="0" deleteRows="0" selectLockedCells="1" autoFilter="0"/>
  <dataConsolidate/>
  <mergeCells count="3">
    <mergeCell ref="B1:D1"/>
    <mergeCell ref="B2:D2"/>
    <mergeCell ref="G1:S2"/>
  </mergeCells>
  <conditionalFormatting sqref="F14">
    <cfRule type="cellIs" dxfId="24" priority="3" operator="lessThan">
      <formula>0</formula>
    </cfRule>
  </conditionalFormatting>
  <dataValidations count="2">
    <dataValidation type="custom" allowBlank="1" showInputMessage="1" showErrorMessage="1" errorTitle="ALERT" error="This cell is automatically populated and should not be overwitten. Overwriting this cell would break calculations in this worksheet." sqref="G5:G12" xr:uid="{00000000-0002-0000-01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6:F13" xr:uid="{00000000-0002-0000-0100-000001000000}"/>
  </dataValidations>
  <printOptions horizontalCentered="1"/>
  <pageMargins left="0.25" right="0.25" top="0.25" bottom="0.25" header="0" footer="0"/>
  <pageSetup scale="97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E9C3-16AA-4C4A-96B3-05E1973A8501}">
  <sheetPr codeName="Sheet6">
    <tabColor rgb="FFA3A18F"/>
  </sheetPr>
  <dimension ref="A1:S103"/>
  <sheetViews>
    <sheetView showGridLines="0" tabSelected="1" zoomScale="34" zoomScaleNormal="101" workbookViewId="0">
      <selection activeCell="AE38" sqref="AE38"/>
    </sheetView>
  </sheetViews>
  <sheetFormatPr baseColWidth="10" defaultColWidth="9" defaultRowHeight="27" customHeight="1"/>
  <cols>
    <col min="1" max="1" width="4.1640625" customWidth="1"/>
    <col min="2" max="2" width="40.5" style="30" customWidth="1"/>
    <col min="3" max="3" width="20.6640625" customWidth="1"/>
    <col min="4" max="4" width="25.33203125" customWidth="1"/>
    <col min="5" max="6" width="20.6640625" customWidth="1"/>
    <col min="7" max="8" width="4.1640625" customWidth="1"/>
  </cols>
  <sheetData>
    <row r="1" spans="1:19" ht="31.5" customHeight="1">
      <c r="B1" s="58" t="s">
        <v>0</v>
      </c>
      <c r="C1" s="58"/>
      <c r="D1" s="58"/>
      <c r="E1" s="58"/>
      <c r="F1" s="54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 ht="50.5" customHeight="1">
      <c r="B2" s="59" t="s">
        <v>17</v>
      </c>
      <c r="C2" s="59"/>
      <c r="D2" s="59"/>
      <c r="E2" s="59"/>
      <c r="F2" s="54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19" ht="25.5" customHeight="1">
      <c r="B3" s="33" t="s">
        <v>18</v>
      </c>
      <c r="C3" s="37"/>
      <c r="D3" s="15"/>
      <c r="E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ht="50.5" customHeight="1">
      <c r="A4" s="42"/>
      <c r="B4" s="44"/>
      <c r="C4" s="41"/>
      <c r="D4" s="41"/>
      <c r="E4" s="41"/>
      <c r="F4" s="42"/>
      <c r="G4" s="45"/>
      <c r="H4" s="45"/>
      <c r="I4" s="45"/>
      <c r="J4" s="45"/>
      <c r="K4" s="16"/>
      <c r="L4" s="16"/>
      <c r="M4" s="16"/>
      <c r="N4" s="16"/>
      <c r="O4" s="16"/>
      <c r="P4" s="16"/>
      <c r="Q4" s="16"/>
      <c r="R4" s="16"/>
      <c r="S4" s="16"/>
    </row>
    <row r="5" spans="1:19" ht="27" customHeight="1">
      <c r="A5" s="42"/>
      <c r="B5" s="48" t="s">
        <v>19</v>
      </c>
      <c r="G5" s="45"/>
      <c r="H5" s="45"/>
      <c r="I5" s="45"/>
      <c r="J5" s="45"/>
      <c r="K5" s="16"/>
      <c r="L5" s="16"/>
      <c r="M5" s="16"/>
      <c r="N5" s="16"/>
      <c r="O5" s="16"/>
      <c r="P5" s="16"/>
      <c r="Q5" s="16"/>
      <c r="R5" s="16"/>
      <c r="S5" s="16"/>
    </row>
    <row r="6" spans="1:19" ht="27" customHeight="1">
      <c r="A6" s="46"/>
      <c r="B6" s="49" t="s">
        <v>20</v>
      </c>
      <c r="C6" s="49" t="s">
        <v>21</v>
      </c>
      <c r="D6" s="49" t="s">
        <v>4</v>
      </c>
      <c r="E6" s="49" t="s">
        <v>5</v>
      </c>
      <c r="F6" s="49" t="s">
        <v>7</v>
      </c>
      <c r="G6" s="31"/>
      <c r="H6" s="42"/>
      <c r="I6" s="42"/>
      <c r="J6" s="42"/>
    </row>
    <row r="7" spans="1:19" ht="27" customHeight="1">
      <c r="A7" s="46"/>
      <c r="B7" s="50" t="s">
        <v>22</v>
      </c>
      <c r="C7" s="50" t="s">
        <v>19</v>
      </c>
      <c r="D7" s="50">
        <v>300</v>
      </c>
      <c r="E7" s="51">
        <v>250</v>
      </c>
      <c r="F7" s="50">
        <f>D7-E7</f>
        <v>50</v>
      </c>
      <c r="G7" s="32"/>
      <c r="H7" s="42"/>
      <c r="I7" s="42"/>
      <c r="J7" s="42"/>
    </row>
    <row r="8" spans="1:19" ht="27" customHeight="1">
      <c r="A8" s="46"/>
      <c r="B8" s="50" t="s">
        <v>23</v>
      </c>
      <c r="C8" s="50" t="s">
        <v>19</v>
      </c>
      <c r="D8" s="50">
        <v>499</v>
      </c>
      <c r="E8" s="51">
        <v>0</v>
      </c>
      <c r="F8" s="50">
        <f t="shared" ref="F8:F13" si="0">D8-E8</f>
        <v>499</v>
      </c>
      <c r="G8" s="32"/>
      <c r="H8" s="42"/>
      <c r="I8" s="42"/>
      <c r="J8" s="42"/>
    </row>
    <row r="9" spans="1:19" ht="27" customHeight="1">
      <c r="A9" s="46"/>
      <c r="B9" s="50" t="s">
        <v>24</v>
      </c>
      <c r="C9" s="50" t="s">
        <v>19</v>
      </c>
      <c r="D9" s="50">
        <v>200</v>
      </c>
      <c r="E9" s="51">
        <v>0</v>
      </c>
      <c r="F9" s="50">
        <f t="shared" si="0"/>
        <v>200</v>
      </c>
      <c r="G9" s="32"/>
      <c r="H9" s="42"/>
      <c r="I9" s="42"/>
      <c r="J9" s="42"/>
    </row>
    <row r="10" spans="1:19" ht="27" customHeight="1">
      <c r="A10" s="46"/>
      <c r="B10" s="50" t="s">
        <v>25</v>
      </c>
      <c r="C10" s="50" t="s">
        <v>19</v>
      </c>
      <c r="D10" s="50">
        <v>200</v>
      </c>
      <c r="E10" s="51">
        <v>0</v>
      </c>
      <c r="F10" s="50">
        <f t="shared" si="0"/>
        <v>200</v>
      </c>
      <c r="G10" s="32"/>
      <c r="H10" s="42"/>
      <c r="I10" s="42"/>
      <c r="J10" s="42"/>
    </row>
    <row r="11" spans="1:19" ht="27" customHeight="1">
      <c r="A11" s="46"/>
      <c r="B11" s="50" t="s">
        <v>26</v>
      </c>
      <c r="C11" s="50" t="s">
        <v>19</v>
      </c>
      <c r="D11" s="50">
        <v>200</v>
      </c>
      <c r="E11" s="51">
        <v>0</v>
      </c>
      <c r="F11" s="50">
        <f t="shared" si="0"/>
        <v>200</v>
      </c>
      <c r="G11" s="32"/>
      <c r="H11" s="42"/>
      <c r="I11" s="42"/>
      <c r="J11" s="42"/>
    </row>
    <row r="12" spans="1:19" ht="27" customHeight="1">
      <c r="A12" s="46"/>
      <c r="B12" s="50" t="s">
        <v>27</v>
      </c>
      <c r="C12" s="50" t="s">
        <v>19</v>
      </c>
      <c r="D12" s="50">
        <v>200</v>
      </c>
      <c r="E12" s="51">
        <v>200</v>
      </c>
      <c r="F12" s="50">
        <f t="shared" si="0"/>
        <v>0</v>
      </c>
      <c r="G12" s="32"/>
      <c r="H12" s="42"/>
      <c r="I12" s="42"/>
      <c r="J12" s="42"/>
    </row>
    <row r="13" spans="1:19" ht="27" customHeight="1">
      <c r="A13" s="46"/>
      <c r="B13" s="50" t="s">
        <v>28</v>
      </c>
      <c r="C13" s="50" t="s">
        <v>19</v>
      </c>
      <c r="D13" s="50">
        <v>150</v>
      </c>
      <c r="E13" s="51">
        <v>215</v>
      </c>
      <c r="F13" s="50">
        <f t="shared" si="0"/>
        <v>-65</v>
      </c>
      <c r="G13" s="32"/>
      <c r="H13" s="42"/>
      <c r="I13" s="42"/>
      <c r="J13" s="42"/>
    </row>
    <row r="14" spans="1:19" ht="27" customHeight="1">
      <c r="A14" s="46"/>
      <c r="B14" s="50" t="str">
        <f>CONCATENATE("Total ",B5)</f>
        <v>Total Auto &amp; Transport</v>
      </c>
      <c r="C14" s="50" t="s">
        <v>29</v>
      </c>
      <c r="D14" s="50">
        <f>SUM(D7:D13)</f>
        <v>1749</v>
      </c>
      <c r="E14" s="51">
        <f>SUM(E7:E13)</f>
        <v>665</v>
      </c>
      <c r="F14" s="50">
        <f>D14-E14</f>
        <v>1084</v>
      </c>
      <c r="G14" s="47"/>
      <c r="H14" s="42"/>
      <c r="I14" s="42"/>
      <c r="J14" s="42"/>
    </row>
    <row r="15" spans="1:19" ht="27" customHeight="1">
      <c r="A15" s="42"/>
      <c r="B15"/>
      <c r="G15" s="42"/>
      <c r="H15" s="42"/>
      <c r="I15" s="42"/>
      <c r="J15" s="42"/>
    </row>
    <row r="16" spans="1:19" ht="27" customHeight="1">
      <c r="A16" s="42"/>
      <c r="B16" s="48" t="s">
        <v>30</v>
      </c>
      <c r="G16" s="42"/>
      <c r="H16" s="42"/>
      <c r="I16" s="42"/>
      <c r="J16" s="42"/>
    </row>
    <row r="17" spans="1:10" ht="27" customHeight="1">
      <c r="A17" s="42"/>
      <c r="B17" s="49" t="s">
        <v>20</v>
      </c>
      <c r="C17" s="49" t="s">
        <v>21</v>
      </c>
      <c r="D17" s="49" t="s">
        <v>4</v>
      </c>
      <c r="E17" s="49" t="s">
        <v>5</v>
      </c>
      <c r="F17" s="49" t="s">
        <v>7</v>
      </c>
      <c r="G17" s="42"/>
      <c r="H17" s="42"/>
      <c r="I17" s="42"/>
      <c r="J17" s="42"/>
    </row>
    <row r="18" spans="1:10" ht="27" customHeight="1">
      <c r="A18" s="42"/>
      <c r="B18" s="50" t="s">
        <v>31</v>
      </c>
      <c r="C18" s="50" t="s">
        <v>30</v>
      </c>
      <c r="D18" s="50">
        <v>300</v>
      </c>
      <c r="E18" s="51">
        <v>250</v>
      </c>
      <c r="F18" s="50">
        <f>Expenses8[[#This Row],[ESTIMATED]]-Expenses8[[#This Row],[ACTUAL]]</f>
        <v>50</v>
      </c>
      <c r="G18" s="42"/>
      <c r="H18" s="42"/>
      <c r="I18" s="42"/>
      <c r="J18" s="42"/>
    </row>
    <row r="19" spans="1:10" ht="27" customHeight="1">
      <c r="A19" s="42"/>
      <c r="B19" s="50" t="s">
        <v>32</v>
      </c>
      <c r="C19" s="50" t="s">
        <v>30</v>
      </c>
      <c r="D19" s="50">
        <v>200</v>
      </c>
      <c r="E19" s="51">
        <v>200</v>
      </c>
      <c r="F19" s="50">
        <f>Expenses8[[#This Row],[ESTIMATED]]-Expenses8[[#This Row],[ACTUAL]]</f>
        <v>0</v>
      </c>
      <c r="G19" s="42"/>
      <c r="H19" s="42"/>
      <c r="I19" s="42"/>
      <c r="J19" s="42"/>
    </row>
    <row r="20" spans="1:10" ht="27" customHeight="1">
      <c r="A20" s="42"/>
      <c r="B20" s="50" t="s">
        <v>33</v>
      </c>
      <c r="C20" s="50" t="s">
        <v>30</v>
      </c>
      <c r="D20" s="50">
        <v>0</v>
      </c>
      <c r="E20" s="51">
        <v>0</v>
      </c>
      <c r="F20" s="50">
        <f>Expenses8[[#This Row],[ESTIMATED]]-Expenses8[[#This Row],[ACTUAL]]</f>
        <v>0</v>
      </c>
      <c r="G20" s="42"/>
      <c r="H20" s="42"/>
      <c r="I20" s="42"/>
      <c r="J20" s="42"/>
    </row>
    <row r="21" spans="1:10" ht="27" customHeight="1">
      <c r="A21" s="42"/>
      <c r="B21" s="50" t="s">
        <v>34</v>
      </c>
      <c r="C21" s="50" t="s">
        <v>30</v>
      </c>
      <c r="D21" s="50">
        <v>0</v>
      </c>
      <c r="E21" s="51">
        <v>0</v>
      </c>
      <c r="F21" s="50">
        <f>Expenses8[[#This Row],[ESTIMATED]]-Expenses8[[#This Row],[ACTUAL]]</f>
        <v>0</v>
      </c>
      <c r="G21" s="42"/>
      <c r="H21" s="42"/>
      <c r="I21" s="42"/>
      <c r="J21" s="42"/>
    </row>
    <row r="22" spans="1:10" ht="27" customHeight="1">
      <c r="A22" s="42"/>
      <c r="B22" s="50" t="s">
        <v>35</v>
      </c>
      <c r="C22" s="50" t="s">
        <v>30</v>
      </c>
      <c r="D22" s="50">
        <v>150</v>
      </c>
      <c r="E22" s="51">
        <v>217</v>
      </c>
      <c r="F22" s="50">
        <f>Expenses8[[#This Row],[ESTIMATED]]-Expenses8[[#This Row],[ACTUAL]]</f>
        <v>-67</v>
      </c>
      <c r="G22" s="42"/>
      <c r="H22" s="42"/>
      <c r="I22" s="42"/>
      <c r="J22" s="42"/>
    </row>
    <row r="23" spans="1:10" ht="27" customHeight="1">
      <c r="A23" s="42"/>
      <c r="B23" s="50" t="str">
        <f>CONCATENATE("Total ",B16)</f>
        <v>Total Bills &amp; Utilities</v>
      </c>
      <c r="C23" s="50" t="s">
        <v>29</v>
      </c>
      <c r="D23" s="50">
        <f>SUBTOTAL(109,Expenses8[ESTIMATED])</f>
        <v>650</v>
      </c>
      <c r="E23" s="51">
        <f>SUBTOTAL(109,Expenses8[ACTUAL])</f>
        <v>667</v>
      </c>
      <c r="F23" s="50">
        <f>SUBTOTAL(109,Expenses8[DIFFERENCE])</f>
        <v>-17</v>
      </c>
      <c r="G23" s="42"/>
      <c r="H23" s="42"/>
      <c r="I23" s="42"/>
      <c r="J23" s="42"/>
    </row>
    <row r="24" spans="1:10" ht="27" customHeight="1">
      <c r="A24" s="42"/>
      <c r="B24"/>
      <c r="G24" s="42"/>
      <c r="H24" s="42"/>
      <c r="I24" s="42"/>
      <c r="J24" s="42"/>
    </row>
    <row r="25" spans="1:10" ht="27" customHeight="1">
      <c r="A25" s="42"/>
      <c r="B25" s="48" t="s">
        <v>36</v>
      </c>
      <c r="G25" s="42"/>
      <c r="H25" s="42"/>
      <c r="I25" s="42"/>
      <c r="J25" s="42"/>
    </row>
    <row r="26" spans="1:10" ht="27" customHeight="1">
      <c r="A26" s="42"/>
      <c r="B26" s="49" t="s">
        <v>20</v>
      </c>
      <c r="C26" s="49" t="s">
        <v>21</v>
      </c>
      <c r="D26" s="49" t="s">
        <v>4</v>
      </c>
      <c r="E26" s="49" t="s">
        <v>5</v>
      </c>
      <c r="F26" s="49" t="s">
        <v>7</v>
      </c>
      <c r="G26" s="42"/>
      <c r="H26" s="42"/>
      <c r="I26" s="42"/>
      <c r="J26" s="42"/>
    </row>
    <row r="27" spans="1:10" ht="27" customHeight="1">
      <c r="A27" s="42"/>
      <c r="B27" s="50" t="s">
        <v>37</v>
      </c>
      <c r="C27" s="50" t="s">
        <v>36</v>
      </c>
      <c r="D27" s="50">
        <v>300</v>
      </c>
      <c r="E27" s="51">
        <v>250</v>
      </c>
      <c r="F27" s="50">
        <f>Expenses82[[#This Row],[ESTIMATED]]-Expenses82[[#This Row],[ACTUAL]]</f>
        <v>50</v>
      </c>
      <c r="G27" s="42"/>
      <c r="H27" s="42"/>
      <c r="I27" s="42"/>
      <c r="J27" s="42"/>
    </row>
    <row r="28" spans="1:10" ht="27" customHeight="1">
      <c r="A28" s="42"/>
      <c r="B28" s="50" t="s">
        <v>38</v>
      </c>
      <c r="C28" s="50" t="s">
        <v>36</v>
      </c>
      <c r="D28" s="50">
        <v>200</v>
      </c>
      <c r="E28" s="51">
        <v>200</v>
      </c>
      <c r="F28" s="50">
        <f>Expenses82[[#This Row],[ESTIMATED]]-Expenses82[[#This Row],[ACTUAL]]</f>
        <v>0</v>
      </c>
      <c r="G28" s="42"/>
      <c r="H28" s="42"/>
      <c r="I28" s="42"/>
      <c r="J28" s="42"/>
    </row>
    <row r="29" spans="1:10" ht="27" customHeight="1">
      <c r="A29" s="42"/>
      <c r="B29" s="50" t="s">
        <v>39</v>
      </c>
      <c r="C29" s="50" t="s">
        <v>36</v>
      </c>
      <c r="D29" s="50">
        <v>500</v>
      </c>
      <c r="E29" s="51">
        <v>500</v>
      </c>
      <c r="F29" s="50">
        <f>Expenses82[[#This Row],[ESTIMATED]]-Expenses82[[#This Row],[ACTUAL]]</f>
        <v>0</v>
      </c>
      <c r="G29" s="42"/>
      <c r="H29" s="42"/>
      <c r="I29" s="42"/>
      <c r="J29" s="42"/>
    </row>
    <row r="30" spans="1:10" ht="27" customHeight="1">
      <c r="A30" s="42"/>
      <c r="B30" s="50" t="str">
        <f>CONCATENATE("Total ",B25)</f>
        <v>Total Education</v>
      </c>
      <c r="C30" s="50" t="s">
        <v>29</v>
      </c>
      <c r="D30" s="50">
        <f>SUBTOTAL(109,Expenses82[ESTIMATED])</f>
        <v>1000</v>
      </c>
      <c r="E30" s="51">
        <f>SUBTOTAL(109,Expenses82[ACTUAL])</f>
        <v>950</v>
      </c>
      <c r="F30" s="50">
        <f>SUBTOTAL(109,Expenses82[DIFFERENCE])</f>
        <v>50</v>
      </c>
      <c r="G30" s="42"/>
      <c r="H30" s="42"/>
      <c r="I30" s="42"/>
      <c r="J30" s="42"/>
    </row>
    <row r="31" spans="1:10" ht="27" customHeight="1">
      <c r="A31" s="42"/>
      <c r="B31"/>
      <c r="G31" s="42"/>
      <c r="H31" s="42"/>
      <c r="I31" s="42"/>
      <c r="J31" s="42"/>
    </row>
    <row r="32" spans="1:10" ht="27" customHeight="1">
      <c r="A32" s="42"/>
      <c r="B32" s="48" t="s">
        <v>40</v>
      </c>
      <c r="G32" s="42"/>
      <c r="H32" s="42"/>
      <c r="I32" s="42"/>
      <c r="J32" s="42"/>
    </row>
    <row r="33" spans="1:10" ht="27" customHeight="1">
      <c r="A33" s="42"/>
      <c r="B33" s="49" t="s">
        <v>20</v>
      </c>
      <c r="C33" s="49" t="s">
        <v>21</v>
      </c>
      <c r="D33" s="49" t="s">
        <v>4</v>
      </c>
      <c r="E33" s="49" t="s">
        <v>5</v>
      </c>
      <c r="F33" s="49" t="s">
        <v>7</v>
      </c>
      <c r="G33" s="42"/>
      <c r="H33" s="42"/>
      <c r="I33" s="42"/>
      <c r="J33" s="42"/>
    </row>
    <row r="34" spans="1:10" ht="27" customHeight="1">
      <c r="A34" s="42"/>
      <c r="B34" s="50" t="s">
        <v>41</v>
      </c>
      <c r="C34" s="50" t="s">
        <v>42</v>
      </c>
      <c r="D34" s="50">
        <v>150</v>
      </c>
      <c r="E34" s="51">
        <v>150</v>
      </c>
      <c r="F34" s="50">
        <f>Expenses816[[#This Row],[ESTIMATED]]-Expenses816[[#This Row],[ACTUAL]]</f>
        <v>0</v>
      </c>
      <c r="G34" s="42"/>
      <c r="H34" s="42"/>
      <c r="I34" s="42"/>
      <c r="J34" s="42"/>
    </row>
    <row r="35" spans="1:10" ht="27" customHeight="1">
      <c r="A35" s="42"/>
      <c r="B35" s="50" t="s">
        <v>43</v>
      </c>
      <c r="C35" s="50" t="s">
        <v>42</v>
      </c>
      <c r="D35" s="50">
        <v>50</v>
      </c>
      <c r="E35" s="51">
        <v>50</v>
      </c>
      <c r="F35" s="50">
        <f>Expenses816[[#This Row],[ESTIMATED]]-Expenses816[[#This Row],[ACTUAL]]</f>
        <v>0</v>
      </c>
      <c r="G35" s="42"/>
      <c r="H35" s="42"/>
      <c r="I35" s="42"/>
      <c r="J35" s="42"/>
    </row>
    <row r="36" spans="1:10" ht="27" customHeight="1">
      <c r="A36" s="42"/>
      <c r="B36" s="50" t="s">
        <v>44</v>
      </c>
      <c r="C36" s="50" t="s">
        <v>42</v>
      </c>
      <c r="D36" s="50">
        <v>85</v>
      </c>
      <c r="E36" s="51">
        <v>85</v>
      </c>
      <c r="F36" s="50">
        <f>Expenses816[[#This Row],[ESTIMATED]]-Expenses816[[#This Row],[ACTUAL]]</f>
        <v>0</v>
      </c>
      <c r="G36" s="42"/>
      <c r="H36" s="42"/>
      <c r="I36" s="42"/>
      <c r="J36" s="42"/>
    </row>
    <row r="37" spans="1:10" ht="27" customHeight="1">
      <c r="A37" s="42"/>
      <c r="B37" s="50" t="s">
        <v>45</v>
      </c>
      <c r="C37" s="50" t="s">
        <v>42</v>
      </c>
      <c r="D37" s="50">
        <v>45</v>
      </c>
      <c r="E37" s="51">
        <v>45</v>
      </c>
      <c r="F37" s="50">
        <f>Expenses816[[#This Row],[ESTIMATED]]-Expenses816[[#This Row],[ACTUAL]]</f>
        <v>0</v>
      </c>
      <c r="G37" s="42"/>
      <c r="H37" s="42"/>
      <c r="I37" s="42"/>
      <c r="J37" s="42"/>
    </row>
    <row r="38" spans="1:10" ht="27" customHeight="1">
      <c r="A38" s="42"/>
      <c r="B38" s="50" t="str">
        <f>CONCATENATE("Total ",B32)</f>
        <v>Total Personal Care</v>
      </c>
      <c r="C38" s="50" t="s">
        <v>29</v>
      </c>
      <c r="D38" s="50">
        <f>SUBTOTAL(109,Expenses816[ESTIMATED])</f>
        <v>330</v>
      </c>
      <c r="E38" s="51">
        <f>SUBTOTAL(109,Expenses816[ACTUAL])</f>
        <v>330</v>
      </c>
      <c r="F38" s="50">
        <f>SUBTOTAL(109,Expenses816[DIFFERENCE])</f>
        <v>0</v>
      </c>
      <c r="G38" s="42"/>
      <c r="H38" s="42"/>
      <c r="I38" s="42"/>
      <c r="J38" s="42"/>
    </row>
    <row r="39" spans="1:10" ht="27" customHeight="1">
      <c r="A39" s="42"/>
      <c r="B39"/>
      <c r="G39" s="42"/>
      <c r="H39" s="42"/>
      <c r="I39" s="42"/>
      <c r="J39" s="42"/>
    </row>
    <row r="40" spans="1:10" ht="27" customHeight="1">
      <c r="A40" s="42"/>
      <c r="B40" s="48" t="s">
        <v>46</v>
      </c>
      <c r="G40" s="42"/>
      <c r="H40" s="42"/>
      <c r="I40" s="42"/>
      <c r="J40" s="42"/>
    </row>
    <row r="41" spans="1:10" ht="27" customHeight="1">
      <c r="A41" s="42"/>
      <c r="B41" s="49" t="s">
        <v>20</v>
      </c>
      <c r="C41" s="49" t="s">
        <v>21</v>
      </c>
      <c r="D41" s="49" t="s">
        <v>4</v>
      </c>
      <c r="E41" s="49" t="s">
        <v>5</v>
      </c>
      <c r="F41" s="49" t="s">
        <v>7</v>
      </c>
      <c r="G41" s="42"/>
      <c r="H41" s="42"/>
      <c r="I41" s="42"/>
      <c r="J41" s="42"/>
    </row>
    <row r="42" spans="1:10" ht="27" customHeight="1">
      <c r="A42" s="42"/>
      <c r="B42" s="50" t="s">
        <v>47</v>
      </c>
      <c r="C42" s="50" t="s">
        <v>46</v>
      </c>
      <c r="D42" s="50">
        <v>300</v>
      </c>
      <c r="E42" s="51">
        <v>200</v>
      </c>
      <c r="F42" s="50">
        <f>Expenses8161718[[#This Row],[ESTIMATED]]-Expenses8161718[[#This Row],[ACTUAL]]</f>
        <v>100</v>
      </c>
      <c r="G42" s="42"/>
      <c r="H42" s="42"/>
      <c r="I42" s="42"/>
      <c r="J42" s="42"/>
    </row>
    <row r="43" spans="1:10" ht="27" customHeight="1">
      <c r="A43" s="42"/>
      <c r="B43" s="50" t="s">
        <v>48</v>
      </c>
      <c r="C43" s="50" t="s">
        <v>46</v>
      </c>
      <c r="D43" s="50">
        <v>0</v>
      </c>
      <c r="E43" s="51">
        <v>0</v>
      </c>
      <c r="F43" s="50">
        <f>Expenses8161718[[#This Row],[ESTIMATED]]-Expenses8161718[[#This Row],[ACTUAL]]</f>
        <v>0</v>
      </c>
      <c r="G43" s="42"/>
      <c r="H43" s="42"/>
      <c r="I43" s="42"/>
      <c r="J43" s="42"/>
    </row>
    <row r="44" spans="1:10" ht="27" customHeight="1">
      <c r="A44" s="42"/>
      <c r="B44" s="50" t="s">
        <v>49</v>
      </c>
      <c r="C44" s="50" t="s">
        <v>46</v>
      </c>
      <c r="D44" s="50">
        <v>100</v>
      </c>
      <c r="E44" s="51">
        <v>250</v>
      </c>
      <c r="F44" s="50">
        <f>Expenses8161718[[#This Row],[ESTIMATED]]-Expenses8161718[[#This Row],[ACTUAL]]</f>
        <v>-150</v>
      </c>
      <c r="G44" s="42"/>
      <c r="H44" s="42"/>
      <c r="I44" s="42"/>
      <c r="J44" s="42"/>
    </row>
    <row r="45" spans="1:10" ht="27" customHeight="1">
      <c r="A45" s="42"/>
      <c r="B45" s="50" t="s">
        <v>50</v>
      </c>
      <c r="C45" s="50" t="s">
        <v>46</v>
      </c>
      <c r="D45" s="50">
        <v>0</v>
      </c>
      <c r="E45" s="51">
        <v>0</v>
      </c>
      <c r="F45" s="50">
        <f>Expenses8161718[[#This Row],[ESTIMATED]]-Expenses8161718[[#This Row],[ACTUAL]]</f>
        <v>0</v>
      </c>
      <c r="G45" s="42"/>
      <c r="H45" s="42"/>
      <c r="I45" s="42"/>
      <c r="J45" s="42"/>
    </row>
    <row r="46" spans="1:10" ht="27" customHeight="1">
      <c r="A46" s="42"/>
      <c r="B46" s="50" t="s">
        <v>51</v>
      </c>
      <c r="C46" s="50" t="s">
        <v>46</v>
      </c>
      <c r="D46" s="50">
        <v>0</v>
      </c>
      <c r="E46" s="51">
        <v>0</v>
      </c>
      <c r="F46" s="50">
        <f>Expenses8161718[[#This Row],[ESTIMATED]]-Expenses8161718[[#This Row],[ACTUAL]]</f>
        <v>0</v>
      </c>
      <c r="G46" s="42"/>
      <c r="H46" s="42"/>
      <c r="I46" s="42"/>
      <c r="J46" s="42"/>
    </row>
    <row r="47" spans="1:10" ht="27" customHeight="1">
      <c r="A47" s="42"/>
      <c r="B47" s="50" t="s">
        <v>52</v>
      </c>
      <c r="C47" s="50" t="s">
        <v>46</v>
      </c>
      <c r="D47" s="50">
        <v>500</v>
      </c>
      <c r="E47" s="51">
        <v>200</v>
      </c>
      <c r="F47" s="50">
        <f>Expenses8161718[[#This Row],[ESTIMATED]]-Expenses8161718[[#This Row],[ACTUAL]]</f>
        <v>300</v>
      </c>
      <c r="G47" s="42"/>
      <c r="H47" s="42"/>
      <c r="I47" s="42"/>
      <c r="J47" s="42"/>
    </row>
    <row r="48" spans="1:10" ht="27" customHeight="1">
      <c r="A48" s="42"/>
      <c r="B48" s="50" t="str">
        <f>CONCATENATE("Total ",B40)</f>
        <v>Total Food &amp; Dining</v>
      </c>
      <c r="C48" s="50" t="s">
        <v>29</v>
      </c>
      <c r="D48" s="50">
        <f>SUBTOTAL(109,Expenses8161718[ESTIMATED])</f>
        <v>900</v>
      </c>
      <c r="E48" s="51">
        <f>SUBTOTAL(109,Expenses8161718[ACTUAL])</f>
        <v>650</v>
      </c>
      <c r="F48" s="50">
        <f>SUBTOTAL(109,Expenses8161718[DIFFERENCE])</f>
        <v>250</v>
      </c>
      <c r="G48" s="42"/>
      <c r="H48" s="42"/>
      <c r="I48" s="42"/>
      <c r="J48" s="42"/>
    </row>
    <row r="49" spans="1:10" ht="27" customHeight="1">
      <c r="A49" s="42"/>
      <c r="B49"/>
      <c r="G49" s="42"/>
      <c r="H49" s="42"/>
      <c r="I49" s="42"/>
      <c r="J49" s="42"/>
    </row>
    <row r="50" spans="1:10" ht="27" customHeight="1">
      <c r="A50" s="42"/>
      <c r="B50" s="48" t="s">
        <v>53</v>
      </c>
      <c r="G50" s="42"/>
      <c r="H50" s="42"/>
      <c r="I50" s="42"/>
      <c r="J50" s="42"/>
    </row>
    <row r="51" spans="1:10" ht="27" customHeight="1">
      <c r="A51" s="42"/>
      <c r="B51" s="49" t="s">
        <v>20</v>
      </c>
      <c r="C51" s="49" t="s">
        <v>21</v>
      </c>
      <c r="D51" s="49" t="s">
        <v>4</v>
      </c>
      <c r="E51" s="49" t="s">
        <v>5</v>
      </c>
      <c r="F51" s="49" t="s">
        <v>7</v>
      </c>
      <c r="G51" s="42"/>
      <c r="H51" s="42"/>
      <c r="I51" s="42"/>
      <c r="J51" s="42"/>
    </row>
    <row r="52" spans="1:10" ht="27" customHeight="1">
      <c r="A52" s="42"/>
      <c r="B52" s="50" t="s">
        <v>54</v>
      </c>
      <c r="C52" s="50" t="s">
        <v>53</v>
      </c>
      <c r="D52" s="50">
        <v>0</v>
      </c>
      <c r="E52" s="51">
        <v>0</v>
      </c>
      <c r="F52" s="50">
        <f>Expenses816171820[[#This Row],[ESTIMATED]]-Expenses816171820[[#This Row],[ACTUAL]]</f>
        <v>0</v>
      </c>
      <c r="G52" s="42"/>
      <c r="H52" s="42"/>
      <c r="I52" s="42"/>
      <c r="J52" s="42"/>
    </row>
    <row r="53" spans="1:10" ht="27" customHeight="1">
      <c r="A53" s="42"/>
      <c r="B53" s="50" t="s">
        <v>55</v>
      </c>
      <c r="C53" s="50" t="s">
        <v>53</v>
      </c>
      <c r="D53" s="50">
        <v>0</v>
      </c>
      <c r="E53" s="51">
        <v>0</v>
      </c>
      <c r="F53" s="50">
        <f>Expenses816171820[[#This Row],[ESTIMATED]]-Expenses816171820[[#This Row],[ACTUAL]]</f>
        <v>0</v>
      </c>
      <c r="G53" s="42"/>
      <c r="H53" s="42"/>
      <c r="I53" s="42"/>
      <c r="J53" s="42"/>
    </row>
    <row r="54" spans="1:10" ht="27" customHeight="1">
      <c r="A54" s="42"/>
      <c r="B54" s="50" t="str">
        <f>CONCATENATE("Total ",B50)</f>
        <v>Total Home</v>
      </c>
      <c r="C54" s="50" t="s">
        <v>29</v>
      </c>
      <c r="D54" s="50">
        <f>SUBTOTAL(109,Expenses816171820[ESTIMATED])</f>
        <v>0</v>
      </c>
      <c r="E54" s="51">
        <f>SUBTOTAL(109,Expenses816171820[ACTUAL])</f>
        <v>0</v>
      </c>
      <c r="F54" s="50">
        <f>SUBTOTAL(109,Expenses816171820[DIFFERENCE])</f>
        <v>0</v>
      </c>
      <c r="G54" s="42"/>
      <c r="H54" s="42"/>
      <c r="I54" s="42"/>
      <c r="J54" s="42"/>
    </row>
    <row r="55" spans="1:10" ht="27" customHeight="1">
      <c r="A55" s="42"/>
      <c r="B55"/>
      <c r="G55" s="42"/>
      <c r="H55" s="42"/>
      <c r="I55" s="42"/>
      <c r="J55" s="42"/>
    </row>
    <row r="56" spans="1:10" ht="27" customHeight="1">
      <c r="A56" s="42"/>
      <c r="B56" s="48" t="s">
        <v>56</v>
      </c>
      <c r="G56" s="42"/>
      <c r="H56" s="42"/>
      <c r="I56" s="42"/>
      <c r="J56" s="42"/>
    </row>
    <row r="57" spans="1:10" ht="27" customHeight="1">
      <c r="A57" s="42"/>
      <c r="B57" s="49" t="s">
        <v>20</v>
      </c>
      <c r="C57" s="49" t="s">
        <v>21</v>
      </c>
      <c r="D57" s="49" t="s">
        <v>4</v>
      </c>
      <c r="E57" s="49" t="s">
        <v>5</v>
      </c>
      <c r="F57" s="49" t="s">
        <v>7</v>
      </c>
      <c r="G57" s="42"/>
      <c r="H57" s="42"/>
      <c r="I57" s="42"/>
      <c r="J57" s="42"/>
    </row>
    <row r="58" spans="1:10" ht="27" customHeight="1">
      <c r="A58" s="42"/>
      <c r="B58" s="50" t="s">
        <v>57</v>
      </c>
      <c r="C58" s="50" t="s">
        <v>56</v>
      </c>
      <c r="D58" s="50">
        <v>200</v>
      </c>
      <c r="E58" s="51">
        <v>300</v>
      </c>
      <c r="F58" s="50">
        <f>Expenses81415[[#This Row],[ESTIMATED]]-Expenses81415[[#This Row],[ACTUAL]]</f>
        <v>-100</v>
      </c>
      <c r="G58" s="42"/>
      <c r="H58" s="42"/>
      <c r="I58" s="42"/>
      <c r="J58" s="42"/>
    </row>
    <row r="59" spans="1:10" ht="27" customHeight="1">
      <c r="A59" s="42"/>
      <c r="B59" s="50" t="s">
        <v>58</v>
      </c>
      <c r="C59" s="50" t="s">
        <v>56</v>
      </c>
      <c r="D59" s="50">
        <v>0</v>
      </c>
      <c r="E59" s="51">
        <v>150</v>
      </c>
      <c r="F59" s="50">
        <f>Expenses81415[[#This Row],[ESTIMATED]]-Expenses81415[[#This Row],[ACTUAL]]</f>
        <v>-150</v>
      </c>
      <c r="G59" s="42"/>
      <c r="H59" s="42"/>
      <c r="I59" s="42"/>
      <c r="J59" s="42"/>
    </row>
    <row r="60" spans="1:10" ht="27" customHeight="1">
      <c r="A60" s="42"/>
      <c r="B60" s="50" t="str">
        <f>CONCATENATE("Total ",B56)</f>
        <v>Total Entertainment</v>
      </c>
      <c r="C60" s="50" t="s">
        <v>29</v>
      </c>
      <c r="D60" s="50">
        <f>SUBTOTAL(109,Expenses81415[ESTIMATED])</f>
        <v>200</v>
      </c>
      <c r="E60" s="51">
        <f>SUBTOTAL(109,Expenses81415[ACTUAL])</f>
        <v>450</v>
      </c>
      <c r="F60" s="50">
        <f>SUBTOTAL(109,Expenses81415[DIFFERENCE])</f>
        <v>-250</v>
      </c>
      <c r="G60" s="42"/>
      <c r="H60" s="42"/>
      <c r="I60" s="42"/>
      <c r="J60" s="42"/>
    </row>
    <row r="61" spans="1:10" ht="27" customHeight="1">
      <c r="A61" s="42"/>
      <c r="B61"/>
      <c r="G61" s="42"/>
      <c r="H61" s="42"/>
      <c r="I61" s="42"/>
      <c r="J61" s="42"/>
    </row>
    <row r="62" spans="1:10" ht="27" customHeight="1">
      <c r="A62" s="42"/>
      <c r="B62"/>
      <c r="G62" s="42"/>
      <c r="H62" s="42"/>
      <c r="I62" s="42"/>
      <c r="J62" s="42"/>
    </row>
    <row r="63" spans="1:10" ht="27" customHeight="1">
      <c r="A63" s="42"/>
      <c r="B63"/>
      <c r="G63" s="42"/>
      <c r="H63" s="42"/>
      <c r="I63" s="42"/>
      <c r="J63" s="42"/>
    </row>
    <row r="64" spans="1:10" ht="27" customHeight="1">
      <c r="A64" s="42"/>
      <c r="B64" s="48" t="s">
        <v>30</v>
      </c>
      <c r="G64" s="42"/>
      <c r="H64" s="42"/>
      <c r="I64" s="42"/>
      <c r="J64" s="42"/>
    </row>
    <row r="65" spans="1:10" ht="27" customHeight="1">
      <c r="A65" s="42"/>
      <c r="B65" s="49" t="s">
        <v>20</v>
      </c>
      <c r="C65" s="49" t="s">
        <v>21</v>
      </c>
      <c r="D65" s="49" t="s">
        <v>4</v>
      </c>
      <c r="E65" s="49" t="s">
        <v>5</v>
      </c>
      <c r="F65" s="49" t="s">
        <v>7</v>
      </c>
      <c r="G65" s="42"/>
      <c r="H65" s="42"/>
      <c r="I65" s="42"/>
      <c r="J65" s="42"/>
    </row>
    <row r="66" spans="1:10" ht="27" customHeight="1">
      <c r="A66" s="42"/>
      <c r="B66" s="50" t="s">
        <v>34</v>
      </c>
      <c r="C66" s="50" t="s">
        <v>30</v>
      </c>
      <c r="D66" s="50">
        <v>3000</v>
      </c>
      <c r="E66" s="51">
        <v>2500</v>
      </c>
      <c r="F66" s="50">
        <f>Expenses81617182021[[#This Row],[ESTIMATED]]-Expenses81617182021[[#This Row],[ACTUAL]]</f>
        <v>500</v>
      </c>
      <c r="G66" s="42"/>
      <c r="H66" s="42"/>
      <c r="I66" s="42"/>
      <c r="J66" s="42"/>
    </row>
    <row r="67" spans="1:10" ht="27" customHeight="1">
      <c r="A67" s="42"/>
      <c r="B67" s="50" t="s">
        <v>31</v>
      </c>
      <c r="C67" s="50" t="s">
        <v>30</v>
      </c>
      <c r="D67" s="50"/>
      <c r="E67" s="51"/>
      <c r="F67" s="50">
        <f>Expenses81617182021[[#This Row],[ESTIMATED]]-Expenses81617182021[[#This Row],[ACTUAL]]</f>
        <v>0</v>
      </c>
      <c r="G67" s="42"/>
      <c r="H67" s="42"/>
      <c r="I67" s="42"/>
      <c r="J67" s="42"/>
    </row>
    <row r="68" spans="1:10" ht="27" customHeight="1">
      <c r="A68" s="42"/>
      <c r="B68" s="50" t="s">
        <v>32</v>
      </c>
      <c r="C68" s="50" t="s">
        <v>30</v>
      </c>
      <c r="D68" s="50"/>
      <c r="E68" s="51"/>
      <c r="F68" s="50">
        <f>Expenses81617182021[[#This Row],[ESTIMATED]]-Expenses81617182021[[#This Row],[ACTUAL]]</f>
        <v>0</v>
      </c>
      <c r="G68" s="42"/>
      <c r="H68" s="42"/>
      <c r="I68" s="42"/>
      <c r="J68" s="42"/>
    </row>
    <row r="69" spans="1:10" ht="27" customHeight="1">
      <c r="A69" s="42"/>
      <c r="B69" s="50" t="s">
        <v>33</v>
      </c>
      <c r="C69" s="50" t="s">
        <v>30</v>
      </c>
      <c r="D69" s="50"/>
      <c r="E69" s="51"/>
      <c r="F69" s="50">
        <f>Expenses81617182021[[#This Row],[ESTIMATED]]-Expenses81617182021[[#This Row],[ACTUAL]]</f>
        <v>0</v>
      </c>
      <c r="G69" s="42"/>
      <c r="H69" s="42"/>
      <c r="I69" s="42"/>
      <c r="J69" s="42"/>
    </row>
    <row r="70" spans="1:10" ht="27" customHeight="1">
      <c r="A70" s="42"/>
      <c r="B70" s="50" t="s">
        <v>35</v>
      </c>
      <c r="C70" s="50" t="s">
        <v>30</v>
      </c>
      <c r="D70" s="50">
        <v>2000</v>
      </c>
      <c r="E70" s="51">
        <v>2000</v>
      </c>
      <c r="F70" s="50">
        <f>Expenses81617182021[[#This Row],[ESTIMATED]]-Expenses81617182021[[#This Row],[ACTUAL]]</f>
        <v>0</v>
      </c>
      <c r="G70" s="42"/>
      <c r="H70" s="42"/>
      <c r="I70" s="42"/>
      <c r="J70" s="42"/>
    </row>
    <row r="71" spans="1:10" ht="27" customHeight="1">
      <c r="A71" s="42"/>
      <c r="B71" s="50" t="str">
        <f>CONCATENATE("Total ",B64)</f>
        <v>Total Bills &amp; Utilities</v>
      </c>
      <c r="C71" s="50" t="s">
        <v>29</v>
      </c>
      <c r="D71" s="50">
        <f>SUBTOTAL(109,Expenses81617182021[ESTIMATED])</f>
        <v>5000</v>
      </c>
      <c r="E71" s="51">
        <f>SUBTOTAL(109,Expenses81617182021[ACTUAL])</f>
        <v>4500</v>
      </c>
      <c r="F71" s="50">
        <f>SUBTOTAL(109,Expenses81617182021[DIFFERENCE])</f>
        <v>500</v>
      </c>
      <c r="G71" s="42"/>
      <c r="H71" s="42"/>
      <c r="I71" s="42"/>
      <c r="J71" s="42"/>
    </row>
    <row r="72" spans="1:10" ht="27" customHeight="1">
      <c r="A72" s="42"/>
      <c r="B72"/>
      <c r="G72" s="42"/>
      <c r="H72" s="42"/>
      <c r="I72" s="42"/>
      <c r="J72" s="42"/>
    </row>
    <row r="73" spans="1:10" ht="27" customHeight="1">
      <c r="A73" s="42"/>
      <c r="B73" s="48" t="s">
        <v>59</v>
      </c>
      <c r="G73" s="42"/>
      <c r="H73" s="42"/>
      <c r="I73" s="42"/>
      <c r="J73" s="42"/>
    </row>
    <row r="74" spans="1:10" ht="27" customHeight="1">
      <c r="A74" s="42"/>
      <c r="B74" s="49" t="s">
        <v>20</v>
      </c>
      <c r="C74" s="49" t="s">
        <v>21</v>
      </c>
      <c r="D74" s="49" t="s">
        <v>4</v>
      </c>
      <c r="E74" s="49" t="s">
        <v>5</v>
      </c>
      <c r="F74" s="49" t="s">
        <v>7</v>
      </c>
      <c r="G74" s="42"/>
      <c r="H74" s="42"/>
      <c r="I74" s="42"/>
      <c r="J74" s="42"/>
    </row>
    <row r="75" spans="1:10" ht="27" customHeight="1">
      <c r="A75" s="42"/>
      <c r="B75" s="50" t="s">
        <v>24</v>
      </c>
      <c r="C75" s="50" t="s">
        <v>59</v>
      </c>
      <c r="D75" s="50">
        <v>3000</v>
      </c>
      <c r="E75" s="51">
        <v>2500</v>
      </c>
      <c r="F75" s="50">
        <f>Expenses8161718202122[[#This Row],[ESTIMATED]]-Expenses8161718202122[[#This Row],[ACTUAL]]</f>
        <v>500</v>
      </c>
      <c r="G75" s="42"/>
      <c r="H75" s="42"/>
      <c r="I75" s="42"/>
      <c r="J75" s="42"/>
    </row>
    <row r="76" spans="1:10" ht="27" customHeight="1">
      <c r="A76" s="42"/>
      <c r="B76" s="50" t="s">
        <v>25</v>
      </c>
      <c r="C76" s="50" t="s">
        <v>59</v>
      </c>
      <c r="D76" s="50"/>
      <c r="E76" s="51"/>
      <c r="F76" s="50">
        <f>Expenses8161718202122[[#This Row],[ESTIMATED]]-Expenses8161718202122[[#This Row],[ACTUAL]]</f>
        <v>0</v>
      </c>
      <c r="G76" s="42"/>
      <c r="H76" s="42"/>
      <c r="I76" s="42"/>
      <c r="J76" s="42"/>
    </row>
    <row r="77" spans="1:10" ht="27" customHeight="1">
      <c r="A77" s="42"/>
      <c r="B77" s="50" t="s">
        <v>60</v>
      </c>
      <c r="C77" s="50" t="s">
        <v>59</v>
      </c>
      <c r="D77" s="50"/>
      <c r="E77" s="51"/>
      <c r="F77" s="50">
        <f>Expenses8161718202122[[#This Row],[ESTIMATED]]-Expenses8161718202122[[#This Row],[ACTUAL]]</f>
        <v>0</v>
      </c>
      <c r="G77" s="42"/>
      <c r="H77" s="42"/>
      <c r="I77" s="42"/>
      <c r="J77" s="42"/>
    </row>
    <row r="78" spans="1:10" ht="27" customHeight="1">
      <c r="A78" s="42"/>
      <c r="B78" s="50" t="s">
        <v>23</v>
      </c>
      <c r="C78" s="50" t="s">
        <v>59</v>
      </c>
      <c r="D78" s="50"/>
      <c r="E78" s="51"/>
      <c r="F78" s="50">
        <f>Expenses8161718202122[[#This Row],[ESTIMATED]]-Expenses8161718202122[[#This Row],[ACTUAL]]</f>
        <v>0</v>
      </c>
      <c r="G78" s="42"/>
      <c r="H78" s="42"/>
      <c r="I78" s="42"/>
      <c r="J78" s="42"/>
    </row>
    <row r="79" spans="1:10" ht="27" customHeight="1">
      <c r="A79" s="42"/>
      <c r="B79" s="50" t="s">
        <v>22</v>
      </c>
      <c r="C79" s="50" t="s">
        <v>59</v>
      </c>
      <c r="D79" s="50">
        <v>2000</v>
      </c>
      <c r="E79" s="51">
        <v>2000</v>
      </c>
      <c r="F79" s="50">
        <f>Expenses8161718202122[[#This Row],[ESTIMATED]]-Expenses8161718202122[[#This Row],[ACTUAL]]</f>
        <v>0</v>
      </c>
      <c r="G79" s="42"/>
      <c r="H79" s="42"/>
      <c r="I79" s="42"/>
      <c r="J79" s="42"/>
    </row>
    <row r="80" spans="1:10" ht="27" customHeight="1">
      <c r="A80" s="42"/>
      <c r="B80" s="50" t="str">
        <f>CONCATENATE("Total ",B73)</f>
        <v>Total Auto &amp; Transportation</v>
      </c>
      <c r="C80" s="50" t="s">
        <v>29</v>
      </c>
      <c r="D80" s="50">
        <f>SUBTOTAL(109,Expenses8161718202122[ESTIMATED])</f>
        <v>5000</v>
      </c>
      <c r="E80" s="51">
        <f>SUBTOTAL(109,Expenses8161718202122[ACTUAL])</f>
        <v>4500</v>
      </c>
      <c r="F80" s="50">
        <f>SUBTOTAL(109,Expenses8161718202122[DIFFERENCE])</f>
        <v>500</v>
      </c>
      <c r="G80" s="42"/>
      <c r="H80" s="42"/>
      <c r="I80" s="42"/>
      <c r="J80" s="42"/>
    </row>
    <row r="81" spans="1:10" ht="27" customHeight="1">
      <c r="A81" s="42"/>
      <c r="B81"/>
      <c r="G81" s="42"/>
      <c r="H81" s="42"/>
      <c r="I81" s="42"/>
      <c r="J81" s="42"/>
    </row>
    <row r="82" spans="1:10" ht="27" customHeight="1">
      <c r="A82" s="42"/>
      <c r="B82" s="48" t="s">
        <v>61</v>
      </c>
      <c r="G82" s="42"/>
      <c r="H82" s="42"/>
      <c r="I82" s="42"/>
      <c r="J82" s="42"/>
    </row>
    <row r="83" spans="1:10" ht="27" customHeight="1">
      <c r="A83" s="42"/>
      <c r="B83" s="49" t="s">
        <v>20</v>
      </c>
      <c r="C83" s="49" t="s">
        <v>21</v>
      </c>
      <c r="D83" s="49" t="s">
        <v>4</v>
      </c>
      <c r="E83" s="49" t="s">
        <v>5</v>
      </c>
      <c r="F83" s="49" t="s">
        <v>7</v>
      </c>
      <c r="G83" s="42"/>
      <c r="H83" s="42"/>
      <c r="I83" s="42"/>
      <c r="J83" s="42"/>
    </row>
    <row r="84" spans="1:10" ht="27" customHeight="1">
      <c r="A84" s="42"/>
      <c r="B84" s="50" t="s">
        <v>62</v>
      </c>
      <c r="C84" s="50" t="s">
        <v>61</v>
      </c>
      <c r="D84" s="50">
        <v>3000</v>
      </c>
      <c r="E84" s="51">
        <v>2500</v>
      </c>
      <c r="F84" s="50">
        <f>Expenses816171820212223[[#This Row],[ESTIMATED]]-Expenses816171820212223[[#This Row],[ACTUAL]]</f>
        <v>500</v>
      </c>
      <c r="G84" s="42"/>
      <c r="H84" s="42"/>
      <c r="I84" s="42"/>
      <c r="J84" s="42"/>
    </row>
    <row r="85" spans="1:10" ht="27" customHeight="1">
      <c r="A85" s="42"/>
      <c r="B85" s="50" t="s">
        <v>63</v>
      </c>
      <c r="C85" s="50" t="s">
        <v>61</v>
      </c>
      <c r="D85" s="50"/>
      <c r="E85" s="51"/>
      <c r="F85" s="50">
        <f>Expenses816171820212223[[#This Row],[ESTIMATED]]-Expenses816171820212223[[#This Row],[ACTUAL]]</f>
        <v>0</v>
      </c>
      <c r="G85" s="42"/>
      <c r="H85" s="42"/>
      <c r="I85" s="42"/>
      <c r="J85" s="42"/>
    </row>
    <row r="86" spans="1:10" ht="27" customHeight="1">
      <c r="A86" s="42"/>
      <c r="B86" s="50" t="s">
        <v>64</v>
      </c>
      <c r="C86" s="50" t="s">
        <v>61</v>
      </c>
      <c r="D86" s="50"/>
      <c r="E86" s="51"/>
      <c r="F86" s="50">
        <f>Expenses816171820212223[[#This Row],[ESTIMATED]]-Expenses816171820212223[[#This Row],[ACTUAL]]</f>
        <v>0</v>
      </c>
      <c r="G86" s="42"/>
      <c r="H86" s="42"/>
      <c r="I86" s="42"/>
      <c r="J86" s="42"/>
    </row>
    <row r="87" spans="1:10" ht="27" customHeight="1">
      <c r="A87" s="42"/>
      <c r="B87" s="50" t="s">
        <v>65</v>
      </c>
      <c r="C87" s="50" t="s">
        <v>61</v>
      </c>
      <c r="D87" s="50"/>
      <c r="E87" s="51"/>
      <c r="F87" s="50">
        <f>Expenses816171820212223[[#This Row],[ESTIMATED]]-Expenses816171820212223[[#This Row],[ACTUAL]]</f>
        <v>0</v>
      </c>
      <c r="G87" s="42"/>
      <c r="H87" s="42"/>
      <c r="I87" s="42"/>
      <c r="J87" s="42"/>
    </row>
    <row r="88" spans="1:10" ht="27" customHeight="1">
      <c r="A88" s="42"/>
      <c r="B88" s="50" t="str">
        <f>CONCATENATE("Total ",B82)</f>
        <v>Total Travel</v>
      </c>
      <c r="C88" s="50" t="s">
        <v>29</v>
      </c>
      <c r="D88" s="50">
        <f>SUBTOTAL(109,Expenses816171820212223[ESTIMATED])</f>
        <v>3000</v>
      </c>
      <c r="E88" s="51">
        <f>SUBTOTAL(109,Expenses816171820212223[ACTUAL])</f>
        <v>2500</v>
      </c>
      <c r="F88" s="50">
        <f>SUBTOTAL(109,Expenses816171820212223[DIFFERENCE])</f>
        <v>500</v>
      </c>
      <c r="G88" s="42"/>
      <c r="H88" s="42"/>
      <c r="I88" s="42"/>
      <c r="J88" s="42"/>
    </row>
    <row r="89" spans="1:10" ht="27" customHeight="1">
      <c r="A89" s="42"/>
      <c r="B89" s="43"/>
      <c r="C89" s="42"/>
      <c r="D89" s="42"/>
      <c r="E89" s="42"/>
      <c r="F89" s="42"/>
      <c r="G89" s="42"/>
      <c r="H89" s="42"/>
      <c r="I89" s="42"/>
      <c r="J89" s="42"/>
    </row>
    <row r="90" spans="1:10" ht="27" customHeight="1">
      <c r="A90" s="42"/>
      <c r="B90"/>
      <c r="H90" s="42"/>
      <c r="I90" s="42"/>
      <c r="J90" s="42"/>
    </row>
    <row r="91" spans="1:10" ht="27" customHeight="1">
      <c r="A91" s="42"/>
      <c r="B91"/>
      <c r="H91" s="42"/>
      <c r="I91" s="42"/>
      <c r="J91" s="42"/>
    </row>
    <row r="92" spans="1:10" ht="27" customHeight="1">
      <c r="A92" s="42"/>
      <c r="B92"/>
      <c r="H92" s="42"/>
      <c r="I92" s="42"/>
      <c r="J92" s="42"/>
    </row>
    <row r="93" spans="1:10" ht="27" customHeight="1">
      <c r="A93" s="42"/>
      <c r="B93"/>
      <c r="H93" s="42"/>
      <c r="I93" s="42"/>
      <c r="J93" s="42"/>
    </row>
    <row r="94" spans="1:10" ht="27" customHeight="1">
      <c r="A94" s="42"/>
      <c r="B94"/>
      <c r="H94" s="42"/>
      <c r="I94" s="42"/>
      <c r="J94" s="42"/>
    </row>
    <row r="95" spans="1:10" ht="27" customHeight="1">
      <c r="B95"/>
    </row>
    <row r="96" spans="1:10" ht="27" customHeight="1">
      <c r="B96"/>
    </row>
    <row r="97" spans="2:2" ht="27" customHeight="1">
      <c r="B97"/>
    </row>
    <row r="98" spans="2:2" ht="27" customHeight="1">
      <c r="B98"/>
    </row>
    <row r="99" spans="2:2" ht="27" customHeight="1">
      <c r="B99"/>
    </row>
    <row r="100" spans="2:2" ht="27" customHeight="1">
      <c r="B100"/>
    </row>
    <row r="101" spans="2:2" ht="27" customHeight="1">
      <c r="B101"/>
    </row>
    <row r="102" spans="2:2" ht="27" customHeight="1">
      <c r="B102"/>
    </row>
    <row r="103" spans="2:2" ht="27" customHeight="1">
      <c r="B103"/>
    </row>
  </sheetData>
  <mergeCells count="3">
    <mergeCell ref="B1:E1"/>
    <mergeCell ref="B2:E2"/>
    <mergeCell ref="G1:S2"/>
  </mergeCells>
  <dataValidations count="2">
    <dataValidation allowBlank="1" showInputMessage="1" showErrorMessage="1" errorTitle="ALERT" error="This cell is automatically populated and should not be overwitten. Overwriting this cell would break calculations in this worksheet." sqref="F18:F22 F58:F59 F34:F37 F27:F29 F42:F47 F52:F53 F66:F70 F75:F79 F84:F87 F7:F13" xr:uid="{C4140927-DF14-4508-B5A6-359EFDB9F840}"/>
    <dataValidation type="custom" allowBlank="1" showInputMessage="1" showErrorMessage="1" errorTitle="ALERT" error="This cell is automatically populated and should not be overwitten. Overwriting this cell would break calculations in this worksheet." sqref="G7:G13" xr:uid="{ED78A4E0-8B23-4F63-BD13-74A6042F6558}">
      <formula1>LEN(G7)=""</formula1>
    </dataValidation>
  </dataValidations>
  <pageMargins left="0.7" right="0.7" top="0.75" bottom="0.75" header="0.3" footer="0.3"/>
  <pageSetup orientation="portrait" horizontalDpi="200" verticalDpi="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E483E835-B8DB-4378-BC42-BFA505FBDFFE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G7:G13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4625-21FC-4480-AC47-E7FFC342BED6}">
  <sheetPr>
    <tabColor theme="0" tint="-0.249977111117893"/>
  </sheetPr>
  <dimension ref="A2:N80"/>
  <sheetViews>
    <sheetView topLeftCell="A54" workbookViewId="0">
      <selection activeCell="J64" sqref="J64:K69"/>
    </sheetView>
  </sheetViews>
  <sheetFormatPr baseColWidth="10" defaultColWidth="8.83203125" defaultRowHeight="14"/>
  <cols>
    <col min="1" max="1" width="20.6640625" customWidth="1"/>
    <col min="2" max="2" width="21.6640625" customWidth="1"/>
    <col min="3" max="3" width="22.6640625" customWidth="1"/>
    <col min="9" max="9" width="20.6640625" customWidth="1"/>
    <col min="10" max="10" width="21.6640625" customWidth="1"/>
    <col min="12" max="12" width="23.1640625" customWidth="1"/>
  </cols>
  <sheetData>
    <row r="2" spans="1:14" ht="15">
      <c r="A2" s="13" t="s">
        <v>66</v>
      </c>
      <c r="B2" s="13" t="s">
        <v>67</v>
      </c>
      <c r="C2" s="13" t="s">
        <v>68</v>
      </c>
    </row>
    <row r="3" spans="1:14">
      <c r="A3" s="21" t="s">
        <v>29</v>
      </c>
      <c r="B3" s="21" t="s">
        <v>8</v>
      </c>
      <c r="C3" s="21" t="s">
        <v>69</v>
      </c>
    </row>
    <row r="4" spans="1:14">
      <c r="A4" s="21" t="s">
        <v>29</v>
      </c>
      <c r="B4" s="21" t="s">
        <v>9</v>
      </c>
      <c r="C4" s="21" t="s">
        <v>69</v>
      </c>
    </row>
    <row r="5" spans="1:14">
      <c r="A5" s="21" t="s">
        <v>29</v>
      </c>
      <c r="B5" s="21" t="s">
        <v>10</v>
      </c>
      <c r="C5" s="21" t="s">
        <v>69</v>
      </c>
    </row>
    <row r="6" spans="1:14">
      <c r="A6" s="21" t="s">
        <v>29</v>
      </c>
      <c r="B6" s="21" t="s">
        <v>11</v>
      </c>
      <c r="C6" s="21" t="s">
        <v>69</v>
      </c>
    </row>
    <row r="7" spans="1:14">
      <c r="A7" s="21" t="s">
        <v>29</v>
      </c>
      <c r="B7" s="21" t="s">
        <v>12</v>
      </c>
      <c r="C7" s="21" t="s">
        <v>69</v>
      </c>
    </row>
    <row r="8" spans="1:14">
      <c r="A8" s="21" t="s">
        <v>29</v>
      </c>
      <c r="B8" s="21" t="s">
        <v>13</v>
      </c>
      <c r="C8" s="21" t="s">
        <v>69</v>
      </c>
    </row>
    <row r="9" spans="1:14">
      <c r="A9" s="21" t="s">
        <v>29</v>
      </c>
      <c r="B9" s="21" t="s">
        <v>14</v>
      </c>
      <c r="C9" s="21" t="s">
        <v>69</v>
      </c>
    </row>
    <row r="10" spans="1:14">
      <c r="A10" s="21" t="s">
        <v>56</v>
      </c>
      <c r="B10" s="21" t="s">
        <v>70</v>
      </c>
      <c r="C10" s="21" t="s">
        <v>71</v>
      </c>
    </row>
    <row r="11" spans="1:14">
      <c r="A11" s="21" t="s">
        <v>56</v>
      </c>
      <c r="B11" s="21" t="s">
        <v>72</v>
      </c>
      <c r="C11" s="21" t="s">
        <v>71</v>
      </c>
    </row>
    <row r="12" spans="1:14">
      <c r="A12" s="21" t="s">
        <v>56</v>
      </c>
      <c r="B12" s="21" t="s">
        <v>58</v>
      </c>
      <c r="C12" s="21" t="s">
        <v>71</v>
      </c>
    </row>
    <row r="13" spans="1:14">
      <c r="A13" s="21" t="s">
        <v>56</v>
      </c>
      <c r="B13" s="21" t="s">
        <v>73</v>
      </c>
      <c r="C13" s="21" t="s">
        <v>71</v>
      </c>
    </row>
    <row r="14" spans="1:14">
      <c r="A14" s="21" t="s">
        <v>36</v>
      </c>
      <c r="B14" s="21" t="s">
        <v>39</v>
      </c>
      <c r="C14" s="21" t="s">
        <v>71</v>
      </c>
      <c r="J14" s="24"/>
      <c r="K14" s="23"/>
      <c r="N14" s="20"/>
    </row>
    <row r="15" spans="1:14">
      <c r="A15" s="21" t="s">
        <v>36</v>
      </c>
      <c r="B15" s="21" t="s">
        <v>38</v>
      </c>
      <c r="C15" s="21" t="s">
        <v>71</v>
      </c>
      <c r="J15" s="24"/>
      <c r="K15" s="23"/>
      <c r="N15" s="20"/>
    </row>
    <row r="16" spans="1:14">
      <c r="A16" s="21" t="s">
        <v>36</v>
      </c>
      <c r="B16" s="21" t="s">
        <v>37</v>
      </c>
      <c r="C16" s="21" t="s">
        <v>71</v>
      </c>
      <c r="J16" s="24"/>
      <c r="K16" s="23"/>
      <c r="N16" s="20"/>
    </row>
    <row r="17" spans="1:14">
      <c r="A17" s="21" t="s">
        <v>74</v>
      </c>
      <c r="B17" s="21" t="s">
        <v>75</v>
      </c>
      <c r="C17" s="21" t="s">
        <v>71</v>
      </c>
      <c r="N17" s="20"/>
    </row>
    <row r="18" spans="1:14">
      <c r="A18" s="21" t="s">
        <v>74</v>
      </c>
      <c r="B18" s="21" t="s">
        <v>76</v>
      </c>
      <c r="C18" s="21" t="s">
        <v>71</v>
      </c>
      <c r="N18" s="20"/>
    </row>
    <row r="19" spans="1:14">
      <c r="A19" s="21" t="s">
        <v>74</v>
      </c>
      <c r="B19" s="21" t="s">
        <v>77</v>
      </c>
      <c r="C19" s="21" t="s">
        <v>71</v>
      </c>
      <c r="L19" s="20"/>
      <c r="N19" s="20"/>
    </row>
    <row r="20" spans="1:14">
      <c r="A20" s="21" t="s">
        <v>74</v>
      </c>
      <c r="B20" s="21" t="s">
        <v>78</v>
      </c>
      <c r="C20" s="21" t="s">
        <v>71</v>
      </c>
      <c r="L20" s="20"/>
      <c r="N20" s="20"/>
    </row>
    <row r="21" spans="1:14">
      <c r="A21" s="21" t="s">
        <v>74</v>
      </c>
      <c r="B21" s="21" t="s">
        <v>79</v>
      </c>
      <c r="C21" s="21" t="s">
        <v>71</v>
      </c>
      <c r="L21" s="20"/>
      <c r="N21" s="20"/>
    </row>
    <row r="22" spans="1:14">
      <c r="A22" s="21" t="s">
        <v>40</v>
      </c>
      <c r="B22" s="21" t="s">
        <v>80</v>
      </c>
      <c r="C22" s="21" t="s">
        <v>71</v>
      </c>
      <c r="L22" s="20"/>
      <c r="N22" s="20"/>
    </row>
    <row r="23" spans="1:14">
      <c r="A23" s="21" t="s">
        <v>40</v>
      </c>
      <c r="B23" s="21" t="s">
        <v>81</v>
      </c>
      <c r="C23" s="21" t="s">
        <v>71</v>
      </c>
      <c r="L23" s="20"/>
      <c r="N23" s="20"/>
    </row>
    <row r="24" spans="1:14">
      <c r="A24" s="21" t="s">
        <v>40</v>
      </c>
      <c r="B24" s="21" t="s">
        <v>82</v>
      </c>
      <c r="C24" s="21" t="s">
        <v>71</v>
      </c>
      <c r="L24" s="20"/>
      <c r="N24" s="20"/>
    </row>
    <row r="25" spans="1:14">
      <c r="A25" s="21" t="s">
        <v>42</v>
      </c>
      <c r="B25" s="21" t="s">
        <v>41</v>
      </c>
      <c r="C25" s="21" t="s">
        <v>71</v>
      </c>
      <c r="L25" s="20"/>
      <c r="N25" s="20"/>
    </row>
    <row r="26" spans="1:14">
      <c r="A26" s="21" t="s">
        <v>42</v>
      </c>
      <c r="B26" s="21" t="s">
        <v>43</v>
      </c>
      <c r="C26" s="21" t="s">
        <v>71</v>
      </c>
      <c r="L26" s="20"/>
      <c r="N26" s="20"/>
    </row>
    <row r="27" spans="1:14">
      <c r="A27" s="21" t="s">
        <v>42</v>
      </c>
      <c r="B27" s="21" t="s">
        <v>83</v>
      </c>
      <c r="C27" s="21" t="s">
        <v>71</v>
      </c>
      <c r="L27" s="20"/>
      <c r="N27" s="20"/>
    </row>
    <row r="28" spans="1:14">
      <c r="A28" s="21" t="s">
        <v>42</v>
      </c>
      <c r="B28" s="21" t="s">
        <v>84</v>
      </c>
      <c r="C28" s="21" t="s">
        <v>71</v>
      </c>
      <c r="L28" s="20"/>
    </row>
    <row r="29" spans="1:14">
      <c r="A29" s="21" t="s">
        <v>42</v>
      </c>
      <c r="B29" s="21" t="s">
        <v>45</v>
      </c>
      <c r="C29" s="21" t="s">
        <v>71</v>
      </c>
      <c r="L29" s="20"/>
    </row>
    <row r="30" spans="1:14">
      <c r="A30" s="21" t="s">
        <v>42</v>
      </c>
      <c r="B30" s="21" t="s">
        <v>44</v>
      </c>
      <c r="C30" s="21" t="s">
        <v>71</v>
      </c>
      <c r="L30" s="20"/>
    </row>
    <row r="31" spans="1:14">
      <c r="A31" s="21" t="s">
        <v>42</v>
      </c>
      <c r="B31" s="21" t="s">
        <v>85</v>
      </c>
      <c r="C31" s="21" t="s">
        <v>71</v>
      </c>
      <c r="L31" s="20"/>
    </row>
    <row r="32" spans="1:14">
      <c r="A32" s="21" t="s">
        <v>86</v>
      </c>
      <c r="B32" s="21" t="s">
        <v>87</v>
      </c>
      <c r="C32" s="21" t="s">
        <v>71</v>
      </c>
      <c r="L32" s="20"/>
    </row>
    <row r="33" spans="1:12">
      <c r="A33" s="21" t="s">
        <v>86</v>
      </c>
      <c r="B33" s="21" t="s">
        <v>88</v>
      </c>
      <c r="C33" s="21" t="s">
        <v>71</v>
      </c>
      <c r="L33" s="20"/>
    </row>
    <row r="34" spans="1:12">
      <c r="A34" s="21" t="s">
        <v>86</v>
      </c>
      <c r="B34" s="21" t="s">
        <v>89</v>
      </c>
      <c r="C34" s="21" t="s">
        <v>71</v>
      </c>
      <c r="L34" s="20"/>
    </row>
    <row r="35" spans="1:12">
      <c r="A35" s="21" t="s">
        <v>86</v>
      </c>
      <c r="B35" s="21" t="s">
        <v>90</v>
      </c>
      <c r="C35" s="21" t="s">
        <v>71</v>
      </c>
      <c r="L35" s="20"/>
    </row>
    <row r="36" spans="1:12">
      <c r="A36" s="21" t="s">
        <v>86</v>
      </c>
      <c r="B36" s="21" t="s">
        <v>91</v>
      </c>
      <c r="C36" s="21" t="s">
        <v>71</v>
      </c>
      <c r="L36" s="20"/>
    </row>
    <row r="37" spans="1:12">
      <c r="A37" s="21" t="s">
        <v>86</v>
      </c>
      <c r="B37" s="21" t="s">
        <v>92</v>
      </c>
      <c r="C37" s="21" t="s">
        <v>71</v>
      </c>
      <c r="L37" s="20"/>
    </row>
    <row r="38" spans="1:12">
      <c r="A38" s="21" t="s">
        <v>46</v>
      </c>
      <c r="B38" s="21" t="s">
        <v>47</v>
      </c>
      <c r="C38" s="21" t="s">
        <v>71</v>
      </c>
      <c r="L38" s="20"/>
    </row>
    <row r="39" spans="1:12">
      <c r="A39" s="21" t="s">
        <v>46</v>
      </c>
      <c r="B39" s="21" t="s">
        <v>50</v>
      </c>
      <c r="C39" s="21" t="s">
        <v>71</v>
      </c>
      <c r="L39" s="20"/>
    </row>
    <row r="40" spans="1:12">
      <c r="A40" s="21" t="s">
        <v>46</v>
      </c>
      <c r="B40" s="21" t="s">
        <v>51</v>
      </c>
      <c r="C40" s="21" t="s">
        <v>71</v>
      </c>
      <c r="L40" s="20"/>
    </row>
    <row r="41" spans="1:12">
      <c r="A41" s="21" t="s">
        <v>46</v>
      </c>
      <c r="B41" s="21" t="s">
        <v>48</v>
      </c>
      <c r="C41" s="21" t="s">
        <v>71</v>
      </c>
      <c r="L41" s="20"/>
    </row>
    <row r="42" spans="1:12">
      <c r="A42" s="21" t="s">
        <v>46</v>
      </c>
      <c r="B42" s="21" t="s">
        <v>93</v>
      </c>
      <c r="C42" s="21" t="s">
        <v>71</v>
      </c>
      <c r="L42" s="20"/>
    </row>
    <row r="43" spans="1:12">
      <c r="A43" s="21" t="s">
        <v>94</v>
      </c>
      <c r="B43" s="21" t="s">
        <v>95</v>
      </c>
      <c r="C43" s="21" t="s">
        <v>71</v>
      </c>
      <c r="L43" s="20"/>
    </row>
    <row r="44" spans="1:12">
      <c r="A44" s="21" t="s">
        <v>94</v>
      </c>
      <c r="B44" s="21" t="s">
        <v>96</v>
      </c>
      <c r="C44" s="21" t="s">
        <v>71</v>
      </c>
      <c r="L44" s="20"/>
    </row>
    <row r="45" spans="1:12">
      <c r="A45" s="21" t="s">
        <v>97</v>
      </c>
      <c r="B45" s="21" t="s">
        <v>98</v>
      </c>
      <c r="C45" s="21" t="s">
        <v>71</v>
      </c>
      <c r="L45" s="20"/>
    </row>
    <row r="46" spans="1:12">
      <c r="A46" s="21" t="s">
        <v>97</v>
      </c>
      <c r="B46" s="21" t="s">
        <v>99</v>
      </c>
      <c r="C46" s="21" t="s">
        <v>71</v>
      </c>
      <c r="L46" s="20"/>
    </row>
    <row r="47" spans="1:12">
      <c r="A47" s="21" t="s">
        <v>97</v>
      </c>
      <c r="B47" s="21" t="s">
        <v>100</v>
      </c>
      <c r="C47" s="21" t="s">
        <v>71</v>
      </c>
      <c r="L47" s="20"/>
    </row>
    <row r="48" spans="1:12">
      <c r="A48" s="21" t="s">
        <v>97</v>
      </c>
      <c r="B48" s="21" t="s">
        <v>101</v>
      </c>
      <c r="C48" s="21" t="s">
        <v>71</v>
      </c>
      <c r="L48" s="20"/>
    </row>
    <row r="49" spans="1:12">
      <c r="A49" s="21" t="s">
        <v>97</v>
      </c>
      <c r="B49" s="21" t="s">
        <v>102</v>
      </c>
      <c r="C49" s="21" t="s">
        <v>71</v>
      </c>
      <c r="L49" s="20"/>
    </row>
    <row r="50" spans="1:12">
      <c r="A50" s="21" t="s">
        <v>30</v>
      </c>
      <c r="B50" s="21" t="s">
        <v>34</v>
      </c>
      <c r="C50" s="21" t="s">
        <v>71</v>
      </c>
      <c r="L50" s="20"/>
    </row>
    <row r="51" spans="1:12">
      <c r="A51" s="21" t="s">
        <v>30</v>
      </c>
      <c r="B51" s="21" t="s">
        <v>31</v>
      </c>
      <c r="C51" s="21" t="s">
        <v>71</v>
      </c>
      <c r="L51" s="20"/>
    </row>
    <row r="52" spans="1:12">
      <c r="A52" s="21" t="s">
        <v>30</v>
      </c>
      <c r="B52" s="21" t="s">
        <v>32</v>
      </c>
      <c r="C52" s="21" t="s">
        <v>71</v>
      </c>
      <c r="L52" s="20"/>
    </row>
    <row r="53" spans="1:12">
      <c r="A53" s="21" t="s">
        <v>30</v>
      </c>
      <c r="B53" s="21" t="s">
        <v>33</v>
      </c>
      <c r="C53" s="21" t="s">
        <v>71</v>
      </c>
      <c r="L53" s="20"/>
    </row>
    <row r="54" spans="1:12">
      <c r="A54" s="21" t="s">
        <v>30</v>
      </c>
      <c r="B54" s="21" t="s">
        <v>35</v>
      </c>
      <c r="C54" s="21" t="s">
        <v>71</v>
      </c>
      <c r="L54" s="20"/>
    </row>
    <row r="55" spans="1:12">
      <c r="A55" s="21" t="s">
        <v>59</v>
      </c>
      <c r="B55" s="21" t="s">
        <v>24</v>
      </c>
      <c r="C55" s="21" t="s">
        <v>71</v>
      </c>
      <c r="L55" s="20"/>
    </row>
    <row r="56" spans="1:12">
      <c r="A56" s="21" t="s">
        <v>59</v>
      </c>
      <c r="B56" s="21" t="s">
        <v>25</v>
      </c>
      <c r="C56" s="21" t="s">
        <v>71</v>
      </c>
      <c r="L56" s="20"/>
    </row>
    <row r="57" spans="1:12">
      <c r="A57" s="21" t="s">
        <v>59</v>
      </c>
      <c r="B57" s="21" t="s">
        <v>60</v>
      </c>
      <c r="C57" s="21" t="s">
        <v>71</v>
      </c>
      <c r="L57" s="20"/>
    </row>
    <row r="58" spans="1:12">
      <c r="A58" s="21" t="s">
        <v>59</v>
      </c>
      <c r="B58" s="21" t="s">
        <v>23</v>
      </c>
      <c r="C58" s="21" t="s">
        <v>71</v>
      </c>
      <c r="L58" s="20"/>
    </row>
    <row r="59" spans="1:12">
      <c r="A59" s="21" t="s">
        <v>59</v>
      </c>
      <c r="B59" s="21" t="s">
        <v>22</v>
      </c>
      <c r="C59" s="21" t="s">
        <v>71</v>
      </c>
      <c r="L59" s="20"/>
    </row>
    <row r="60" spans="1:12">
      <c r="A60" s="21" t="s">
        <v>61</v>
      </c>
      <c r="B60" s="21" t="s">
        <v>62</v>
      </c>
      <c r="C60" s="21" t="s">
        <v>71</v>
      </c>
      <c r="L60" s="20"/>
    </row>
    <row r="61" spans="1:12">
      <c r="A61" s="21" t="s">
        <v>61</v>
      </c>
      <c r="B61" s="21" t="s">
        <v>63</v>
      </c>
      <c r="C61" s="21" t="s">
        <v>71</v>
      </c>
      <c r="L61" s="20"/>
    </row>
    <row r="62" spans="1:12">
      <c r="A62" s="21" t="s">
        <v>61</v>
      </c>
      <c r="B62" s="21" t="s">
        <v>64</v>
      </c>
      <c r="C62" s="21" t="s">
        <v>71</v>
      </c>
      <c r="L62" s="20"/>
    </row>
    <row r="63" spans="1:12">
      <c r="A63" s="21" t="s">
        <v>61</v>
      </c>
      <c r="B63" s="21" t="s">
        <v>65</v>
      </c>
      <c r="C63" s="21" t="s">
        <v>71</v>
      </c>
      <c r="L63" s="20"/>
    </row>
    <row r="64" spans="1:12">
      <c r="A64" s="21" t="s">
        <v>103</v>
      </c>
      <c r="B64" s="21" t="s">
        <v>104</v>
      </c>
      <c r="C64" s="21" t="s">
        <v>71</v>
      </c>
      <c r="L64" s="20"/>
    </row>
    <row r="65" spans="1:12">
      <c r="A65" s="21" t="s">
        <v>103</v>
      </c>
      <c r="B65" s="21" t="s">
        <v>105</v>
      </c>
      <c r="C65" s="21" t="s">
        <v>71</v>
      </c>
      <c r="L65" s="20"/>
    </row>
    <row r="66" spans="1:12">
      <c r="A66" s="21" t="s">
        <v>103</v>
      </c>
      <c r="B66" s="21" t="s">
        <v>106</v>
      </c>
      <c r="C66" s="21" t="s">
        <v>71</v>
      </c>
      <c r="L66" s="20"/>
    </row>
    <row r="67" spans="1:12">
      <c r="A67" s="21" t="s">
        <v>103</v>
      </c>
      <c r="B67" s="21" t="s">
        <v>107</v>
      </c>
      <c r="C67" s="21" t="s">
        <v>71</v>
      </c>
      <c r="L67" s="20"/>
    </row>
    <row r="68" spans="1:12">
      <c r="A68" s="21" t="s">
        <v>103</v>
      </c>
      <c r="B68" s="21" t="s">
        <v>108</v>
      </c>
      <c r="C68" s="21" t="s">
        <v>71</v>
      </c>
      <c r="L68" s="20"/>
    </row>
    <row r="69" spans="1:12">
      <c r="A69" s="21" t="s">
        <v>103</v>
      </c>
      <c r="B69" s="21" t="s">
        <v>109</v>
      </c>
      <c r="C69" s="21" t="s">
        <v>71</v>
      </c>
      <c r="L69" s="20"/>
    </row>
    <row r="70" spans="1:12">
      <c r="A70" s="21" t="s">
        <v>110</v>
      </c>
      <c r="B70" s="21" t="s">
        <v>111</v>
      </c>
      <c r="C70" s="21" t="s">
        <v>71</v>
      </c>
      <c r="J70" s="24" t="s">
        <v>111</v>
      </c>
      <c r="K70" s="23" t="s">
        <v>110</v>
      </c>
      <c r="L70" s="20"/>
    </row>
    <row r="71" spans="1:12">
      <c r="A71" s="21" t="s">
        <v>110</v>
      </c>
      <c r="B71" s="21" t="s">
        <v>112</v>
      </c>
      <c r="C71" s="21" t="s">
        <v>71</v>
      </c>
      <c r="J71" s="24" t="s">
        <v>112</v>
      </c>
      <c r="K71" s="23" t="s">
        <v>110</v>
      </c>
      <c r="L71" s="20"/>
    </row>
    <row r="72" spans="1:12">
      <c r="A72" s="21" t="s">
        <v>110</v>
      </c>
      <c r="B72" s="21" t="s">
        <v>113</v>
      </c>
      <c r="C72" s="21" t="s">
        <v>71</v>
      </c>
      <c r="J72" s="24" t="s">
        <v>113</v>
      </c>
      <c r="K72" s="23" t="s">
        <v>110</v>
      </c>
      <c r="L72" s="20"/>
    </row>
    <row r="73" spans="1:12">
      <c r="A73" s="21" t="s">
        <v>110</v>
      </c>
      <c r="B73" s="21" t="s">
        <v>114</v>
      </c>
      <c r="C73" s="21" t="s">
        <v>71</v>
      </c>
      <c r="J73" s="24" t="s">
        <v>114</v>
      </c>
      <c r="K73" s="23" t="s">
        <v>110</v>
      </c>
      <c r="L73" s="20"/>
    </row>
    <row r="74" spans="1:12">
      <c r="A74" s="21" t="s">
        <v>110</v>
      </c>
      <c r="B74" s="21" t="s">
        <v>115</v>
      </c>
      <c r="C74" s="21" t="s">
        <v>71</v>
      </c>
      <c r="J74" s="24" t="s">
        <v>115</v>
      </c>
      <c r="K74" s="23" t="s">
        <v>110</v>
      </c>
      <c r="L74" s="20"/>
    </row>
    <row r="75" spans="1:12">
      <c r="A75" s="21" t="s">
        <v>116</v>
      </c>
      <c r="B75" s="21" t="s">
        <v>117</v>
      </c>
      <c r="C75" s="21" t="s">
        <v>71</v>
      </c>
      <c r="J75" s="24" t="s">
        <v>117</v>
      </c>
      <c r="K75" s="23" t="s">
        <v>116</v>
      </c>
      <c r="L75" s="20"/>
    </row>
    <row r="76" spans="1:12">
      <c r="A76" s="21" t="s">
        <v>116</v>
      </c>
      <c r="B76" s="21" t="s">
        <v>118</v>
      </c>
      <c r="C76" s="21" t="s">
        <v>71</v>
      </c>
      <c r="J76" s="24" t="s">
        <v>118</v>
      </c>
      <c r="K76" s="23" t="s">
        <v>116</v>
      </c>
      <c r="L76" s="20"/>
    </row>
    <row r="77" spans="1:12">
      <c r="A77" s="21" t="s">
        <v>116</v>
      </c>
      <c r="B77" s="21" t="s">
        <v>119</v>
      </c>
      <c r="C77" s="21" t="s">
        <v>71</v>
      </c>
      <c r="J77" s="24" t="s">
        <v>119</v>
      </c>
      <c r="K77" s="23" t="s">
        <v>116</v>
      </c>
      <c r="L77" s="20"/>
    </row>
    <row r="78" spans="1:12">
      <c r="A78" s="21" t="s">
        <v>116</v>
      </c>
      <c r="B78" s="21" t="s">
        <v>120</v>
      </c>
      <c r="C78" s="21" t="s">
        <v>71</v>
      </c>
      <c r="J78" s="24" t="s">
        <v>120</v>
      </c>
      <c r="K78" s="23" t="s">
        <v>116</v>
      </c>
      <c r="L78" s="20"/>
    </row>
    <row r="79" spans="1:12">
      <c r="A79" s="21" t="s">
        <v>116</v>
      </c>
      <c r="B79" s="21" t="s">
        <v>121</v>
      </c>
      <c r="C79" s="21" t="s">
        <v>71</v>
      </c>
      <c r="J79" s="24" t="s">
        <v>121</v>
      </c>
      <c r="K79" s="23" t="s">
        <v>116</v>
      </c>
      <c r="L79" s="20"/>
    </row>
    <row r="80" spans="1:12">
      <c r="A80" s="21" t="s">
        <v>116</v>
      </c>
      <c r="B80" s="21" t="s">
        <v>121</v>
      </c>
      <c r="C80" s="21" t="s">
        <v>71</v>
      </c>
      <c r="J80" s="26" t="s">
        <v>121</v>
      </c>
      <c r="K80" s="25" t="s">
        <v>116</v>
      </c>
      <c r="L80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B1:V30"/>
  <sheetViews>
    <sheetView showGridLines="0" zoomScale="50" zoomScaleNormal="70" workbookViewId="0">
      <selection activeCell="F33" sqref="F33"/>
    </sheetView>
  </sheetViews>
  <sheetFormatPr baseColWidth="10" defaultColWidth="9" defaultRowHeight="30" customHeight="1"/>
  <cols>
    <col min="1" max="1" width="4.1640625" customWidth="1"/>
    <col min="2" max="2" width="37.1640625" customWidth="1"/>
    <col min="3" max="6" width="30.6640625" customWidth="1"/>
    <col min="7" max="8" width="4.1640625" customWidth="1"/>
    <col min="15" max="15" width="8.6640625" customWidth="1"/>
    <col min="20" max="20" width="6" customWidth="1"/>
    <col min="21" max="21" width="4.33203125" customWidth="1"/>
  </cols>
  <sheetData>
    <row r="1" spans="2:21" ht="38" customHeight="1">
      <c r="B1" s="52" t="s">
        <v>0</v>
      </c>
      <c r="C1" s="52"/>
      <c r="D1" s="52"/>
      <c r="E1" s="53"/>
      <c r="F1" s="53"/>
      <c r="G1" s="54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1"/>
    </row>
    <row r="2" spans="2:21" ht="59" customHeight="1">
      <c r="B2" s="56" t="s">
        <v>122</v>
      </c>
      <c r="C2" s="56"/>
      <c r="D2" s="56"/>
      <c r="E2" s="57"/>
      <c r="F2" s="57"/>
      <c r="G2" s="54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1"/>
    </row>
    <row r="3" spans="2:21" ht="26.25" customHeight="1">
      <c r="B3" s="35" t="s">
        <v>123</v>
      </c>
      <c r="C3" s="36"/>
      <c r="D3" s="34"/>
      <c r="E3" s="15"/>
      <c r="F3" s="15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2:21" ht="34.5" customHeight="1">
      <c r="U4" s="1"/>
    </row>
    <row r="5" spans="2:21" s="2" customFormat="1" ht="30" customHeight="1">
      <c r="B5" s="48" t="s">
        <v>124</v>
      </c>
      <c r="C5"/>
      <c r="D5"/>
      <c r="E5"/>
      <c r="F5"/>
      <c r="Q5"/>
      <c r="U5" s="3"/>
    </row>
    <row r="6" spans="2:21" ht="30" customHeight="1">
      <c r="B6" s="49" t="s">
        <v>125</v>
      </c>
      <c r="C6" s="49" t="s">
        <v>4</v>
      </c>
      <c r="D6" s="49" t="s">
        <v>5</v>
      </c>
      <c r="E6" s="49" t="s">
        <v>7</v>
      </c>
      <c r="F6" s="49" t="s">
        <v>126</v>
      </c>
      <c r="U6" s="1"/>
    </row>
    <row r="7" spans="2:21" ht="30" customHeight="1">
      <c r="B7" s="50" t="s">
        <v>16</v>
      </c>
      <c r="C7" s="50">
        <f>IFERROR(VLOOKUP(Table2[[#This Row],[BUDGET TOTALS]],'Income Inputs'!B:D,2,FALSE),"-")</f>
        <v>4300</v>
      </c>
      <c r="D7" s="51">
        <f>IFERROR(VLOOKUP(Table2[[#This Row],[BUDGET TOTALS]],'Income Inputs'!B:D,3,FALSE),"-")</f>
        <v>5950</v>
      </c>
      <c r="E7" s="50">
        <f>Table2[[#This Row],[ACTUAL]]-Table2[[#This Row],[ESTIMATED]]</f>
        <v>1650</v>
      </c>
      <c r="F7" s="50">
        <f>Table2[[#This Row],[ACTUAL]]/Table2[[#This Row],[ESTIMATED]]-1</f>
        <v>0.38372093023255816</v>
      </c>
      <c r="U7" s="1"/>
    </row>
    <row r="8" spans="2:21" ht="30" customHeight="1">
      <c r="B8" s="50" t="s">
        <v>127</v>
      </c>
      <c r="C8" s="50">
        <f>C22</f>
        <v>3080</v>
      </c>
      <c r="D8" s="51">
        <f>D22</f>
        <v>3047</v>
      </c>
      <c r="E8" s="50">
        <f>Table2[[#This Row],[ACTUAL]]-Table2[[#This Row],[ESTIMATED]]</f>
        <v>-33</v>
      </c>
      <c r="F8" s="50">
        <f>Table2[[#This Row],[ACTUAL]]/Table2[[#This Row],[ESTIMATED]]-1</f>
        <v>-1.0714285714285676E-2</v>
      </c>
      <c r="U8" s="1"/>
    </row>
    <row r="9" spans="2:21" ht="30" customHeight="1">
      <c r="B9" s="50" t="s">
        <v>128</v>
      </c>
      <c r="C9" s="50">
        <f>C7-C8</f>
        <v>1220</v>
      </c>
      <c r="D9" s="51">
        <f t="shared" ref="D9" si="0">D7-D8</f>
        <v>2903</v>
      </c>
      <c r="E9" s="50">
        <f>SUBTOTAL(109,Table2[DIFFERENCE])</f>
        <v>1617</v>
      </c>
      <c r="F9" s="50">
        <f>Table2[[#Totals],[ACTUAL]]/Table2[[#Totals],[ESTIMATED]]-1</f>
        <v>1.3795081967213116</v>
      </c>
      <c r="U9" s="1"/>
    </row>
    <row r="10" spans="2:21" ht="30" customHeight="1">
      <c r="B10" s="27"/>
      <c r="C10" s="28"/>
      <c r="D10" s="28"/>
      <c r="E10" s="28"/>
      <c r="F10" s="29"/>
      <c r="U10" s="1"/>
    </row>
    <row r="11" spans="2:21" ht="30" customHeight="1">
      <c r="B11" s="27"/>
      <c r="C11" s="28"/>
      <c r="D11" s="28"/>
      <c r="E11" s="28"/>
      <c r="F11" s="29"/>
      <c r="U11" s="1"/>
    </row>
    <row r="12" spans="2:21" ht="30" customHeight="1">
      <c r="U12" s="1"/>
    </row>
    <row r="13" spans="2:21" ht="30" customHeight="1">
      <c r="B13" s="48" t="s">
        <v>127</v>
      </c>
      <c r="R13" s="10"/>
      <c r="S13" s="10"/>
    </row>
    <row r="14" spans="2:21" ht="30" customHeight="1">
      <c r="B14" s="49" t="s">
        <v>129</v>
      </c>
      <c r="C14" s="49" t="s">
        <v>4</v>
      </c>
      <c r="D14" s="49" t="s">
        <v>5</v>
      </c>
      <c r="E14" s="49" t="s">
        <v>7</v>
      </c>
      <c r="F14" s="49" t="s">
        <v>130</v>
      </c>
      <c r="R14" s="10"/>
      <c r="S14" s="10"/>
    </row>
    <row r="15" spans="2:21" ht="30" customHeight="1">
      <c r="B15" s="50" t="s">
        <v>131</v>
      </c>
      <c r="C15" s="50">
        <f>IFERROR(VLOOKUP(Table813[[#This Row],[EXPENSE CATEGORIES]],'Expense Inputs'!B:F,3,FALSE),"-")</f>
        <v>1749</v>
      </c>
      <c r="D15" s="51">
        <f>IFERROR(VLOOKUP(Table813[[#This Row],[EXPENSE CATEGORIES]],'Expense Inputs'!B:F,4,FALSE),"-")</f>
        <v>665</v>
      </c>
      <c r="E15" s="50">
        <f>IFERROR(Table813[[#This Row],[ACTUAL]]-Table813[[#This Row],[ESTIMATED]],"-")</f>
        <v>-1084</v>
      </c>
      <c r="F15" s="50" t="str">
        <f>IF(Table813[[#This Row],[DIFFERENCE]]&lt;0,"You are under budget!","You are over budget.")</f>
        <v>You are under budget!</v>
      </c>
      <c r="R15" s="10"/>
      <c r="S15" s="10"/>
    </row>
    <row r="16" spans="2:21" ht="30" customHeight="1">
      <c r="B16" s="50" t="s">
        <v>132</v>
      </c>
      <c r="C16" s="50">
        <f>IFERROR(VLOOKUP(Table813[[#This Row],[EXPENSE CATEGORIES]],'Expense Inputs'!B:F,3,FALSE),"-")</f>
        <v>650</v>
      </c>
      <c r="D16" s="51">
        <f>IFERROR(VLOOKUP(Table813[[#This Row],[EXPENSE CATEGORIES]],'Expense Inputs'!B:F,4,FALSE),"-")</f>
        <v>667</v>
      </c>
      <c r="E16" s="50">
        <f>IFERROR(Table813[[#This Row],[ACTUAL]]-Table813[[#This Row],[ESTIMATED]],"-")</f>
        <v>17</v>
      </c>
      <c r="F16" s="50" t="str">
        <f>IF(Table813[[#This Row],[DIFFERENCE]]&lt;0,"You are under budget!","You are over budget.")</f>
        <v>You are over budget.</v>
      </c>
      <c r="R16" s="10"/>
      <c r="S16" s="10"/>
    </row>
    <row r="17" spans="2:22" ht="30" customHeight="1">
      <c r="B17" s="50" t="s">
        <v>133</v>
      </c>
      <c r="C17" s="50">
        <f>IFERROR(VLOOKUP(Table813[[#This Row],[EXPENSE CATEGORIES]],'Expense Inputs'!B:F,3,FALSE),"-")</f>
        <v>1000</v>
      </c>
      <c r="D17" s="51">
        <f>IFERROR(VLOOKUP(Table813[[#This Row],[EXPENSE CATEGORIES]],'Expense Inputs'!B:F,4,FALSE),"-")</f>
        <v>950</v>
      </c>
      <c r="E17" s="50">
        <f>IFERROR(Table813[[#This Row],[ACTUAL]]-Table813[[#This Row],[ESTIMATED]],"-")</f>
        <v>-50</v>
      </c>
      <c r="F17" s="50" t="str">
        <f>IF(Table813[[#This Row],[DIFFERENCE]]&lt;0,"You are under budget!","You are over budget.")</f>
        <v>You are under budget!</v>
      </c>
      <c r="R17" s="10"/>
      <c r="S17" s="10"/>
    </row>
    <row r="18" spans="2:22" ht="30" customHeight="1">
      <c r="B18" s="50" t="s">
        <v>134</v>
      </c>
      <c r="C18" s="50">
        <f>IFERROR(VLOOKUP(Table813[[#This Row],[EXPENSE CATEGORIES]],'Expense Inputs'!B:F,3,FALSE),"-")</f>
        <v>330</v>
      </c>
      <c r="D18" s="51">
        <f>IFERROR(VLOOKUP(Table813[[#This Row],[EXPENSE CATEGORIES]],'Expense Inputs'!B:F,4,FALSE),"-")</f>
        <v>330</v>
      </c>
      <c r="E18" s="50">
        <f>IFERROR(Table813[[#This Row],[ACTUAL]]-Table813[[#This Row],[ESTIMATED]],"-")</f>
        <v>0</v>
      </c>
      <c r="F18" s="50" t="str">
        <f>IF(Table813[[#This Row],[DIFFERENCE]]&lt;0,"You are under budget!","You are over budget.")</f>
        <v>You are over budget.</v>
      </c>
      <c r="R18" s="10"/>
      <c r="S18" s="10"/>
    </row>
    <row r="19" spans="2:22" ht="30" customHeight="1">
      <c r="B19" s="50" t="s">
        <v>135</v>
      </c>
      <c r="C19" s="50">
        <f>IFERROR(VLOOKUP(Table813[[#This Row],[EXPENSE CATEGORIES]],'Expense Inputs'!B:F,3,FALSE),"-")</f>
        <v>900</v>
      </c>
      <c r="D19" s="51">
        <f>IFERROR(VLOOKUP(Table813[[#This Row],[EXPENSE CATEGORIES]],'Expense Inputs'!B:F,4,FALSE),"-")</f>
        <v>650</v>
      </c>
      <c r="E19" s="50">
        <f>IFERROR(Table813[[#This Row],[ACTUAL]]-Table813[[#This Row],[ESTIMATED]],"-")</f>
        <v>-250</v>
      </c>
      <c r="F19" s="50" t="str">
        <f>IF(Table813[[#This Row],[DIFFERENCE]]&lt;0,"You are under budget!","You are over budget.")</f>
        <v>You are under budget!</v>
      </c>
      <c r="R19" s="10"/>
      <c r="S19" s="10"/>
    </row>
    <row r="20" spans="2:22" ht="30" customHeight="1">
      <c r="B20" s="50" t="s">
        <v>136</v>
      </c>
      <c r="C20" s="50">
        <f>IFERROR(VLOOKUP(Table813[[#This Row],[EXPENSE CATEGORIES]],'Expense Inputs'!B:F,3,FALSE),"-")</f>
        <v>0</v>
      </c>
      <c r="D20" s="51">
        <f>IFERROR(VLOOKUP(Table813[[#This Row],[EXPENSE CATEGORIES]],'Expense Inputs'!B:F,4,FALSE),"-")</f>
        <v>0</v>
      </c>
      <c r="E20" s="50">
        <f>IFERROR(Table813[[#This Row],[ACTUAL]]-Table813[[#This Row],[ESTIMATED]],"-")</f>
        <v>0</v>
      </c>
      <c r="F20" s="50" t="str">
        <f>IF(Table813[[#This Row],[DIFFERENCE]]&lt;0,"You are under budget!","You are over budget.")</f>
        <v>You are over budget.</v>
      </c>
      <c r="R20" s="10"/>
      <c r="S20" s="10"/>
      <c r="T20" s="11"/>
      <c r="U20" s="11"/>
      <c r="V20" s="11"/>
    </row>
    <row r="21" spans="2:22" ht="30" customHeight="1">
      <c r="B21" s="50" t="s">
        <v>137</v>
      </c>
      <c r="C21" s="50">
        <f>IFERROR(VLOOKUP(Table813[[#This Row],[EXPENSE CATEGORIES]],'Expense Inputs'!B:F,3,FALSE),"-")</f>
        <v>200</v>
      </c>
      <c r="D21" s="51">
        <f>IFERROR(VLOOKUP(Table813[[#This Row],[EXPENSE CATEGORIES]],'Expense Inputs'!B:F,4,FALSE),"-")</f>
        <v>450</v>
      </c>
      <c r="E21" s="50">
        <f>IFERROR(Table813[[#This Row],[ACTUAL]]-Table813[[#This Row],[ESTIMATED]],"-")</f>
        <v>250</v>
      </c>
      <c r="F21" s="50" t="str">
        <f>IF(Table813[[#This Row],[DIFFERENCE]]&lt;0,"You are under budget!","You are over budget.")</f>
        <v>You are over budget.</v>
      </c>
      <c r="R21" s="10"/>
      <c r="S21" s="10"/>
    </row>
    <row r="22" spans="2:22" ht="30" customHeight="1">
      <c r="B22" s="50" t="s">
        <v>127</v>
      </c>
      <c r="C22" s="50">
        <f>SUBTOTAL(9,C16:C21)</f>
        <v>3080</v>
      </c>
      <c r="D22" s="51">
        <f>SUBTOTAL(9,D16:D21)</f>
        <v>3047</v>
      </c>
      <c r="E22" s="50">
        <f>Table813[[#This Row],[ACTUAL]]-Table813[[#This Row],[ESTIMATED]]</f>
        <v>-33</v>
      </c>
      <c r="F22" s="50" t="str">
        <f>IF(Table813[[#This Row],[DIFFERENCE]]&lt;0,"You are under budget!","You are over budget.")</f>
        <v>You are under budget!</v>
      </c>
      <c r="R22" s="10"/>
      <c r="S22" s="10"/>
    </row>
    <row r="23" spans="2:22" ht="30" customHeight="1">
      <c r="R23" s="10"/>
      <c r="S23" s="10"/>
    </row>
    <row r="24" spans="2:22" ht="30" customHeight="1">
      <c r="R24" s="10"/>
      <c r="S24" s="10"/>
    </row>
    <row r="25" spans="2:22" ht="30" customHeight="1">
      <c r="R25" s="10"/>
      <c r="S25" s="10"/>
    </row>
    <row r="26" spans="2:22" ht="30" customHeight="1">
      <c r="R26" s="10"/>
      <c r="S26" s="10"/>
    </row>
    <row r="27" spans="2:22" ht="30" customHeight="1">
      <c r="R27" s="10"/>
      <c r="S27" s="10"/>
    </row>
    <row r="28" spans="2:22" ht="30" customHeight="1">
      <c r="R28" s="10"/>
      <c r="S28" s="10"/>
    </row>
    <row r="29" spans="2:22" ht="30" customHeight="1">
      <c r="R29" s="10"/>
      <c r="S29" s="10"/>
    </row>
    <row r="30" spans="2:22" ht="30" customHeight="1">
      <c r="R30" s="10"/>
      <c r="S30" s="10"/>
    </row>
  </sheetData>
  <sheetProtection insertColumns="0" insertRows="0" deleteColumns="0" deleteRows="0" selectLockedCells="1" autoFilter="0"/>
  <mergeCells count="1">
    <mergeCell ref="H1:T2"/>
  </mergeCells>
  <conditionalFormatting sqref="C10:F12">
    <cfRule type="cellIs" dxfId="13" priority="9" operator="lessThan">
      <formula>0</formula>
    </cfRule>
  </conditionalFormatting>
  <conditionalFormatting sqref="E10:F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10:F11">
    <cfRule type="cellIs" dxfId="2" priority="18" operator="greaterThan">
      <formula>0</formula>
    </cfRule>
    <cfRule type="cellIs" dxfId="1" priority="19" operator="lessThan">
      <formula>0</formula>
    </cfRule>
  </conditionalFormatting>
  <conditionalFormatting sqref="J13:L30 P13:R30 C23:F54">
    <cfRule type="cellIs" dxfId="0" priority="29" operator="lessThan">
      <formula>0</formula>
    </cfRule>
  </conditionalFormatting>
  <dataValidations xWindow="491" yWindow="291" count="4">
    <dataValidation allowBlank="1" showInputMessage="1" showErrorMessage="1" prompt="Enter Company Name in this cell" sqref="N18" xr:uid="{00000000-0002-0000-0000-000001000000}"/>
    <dataValidation allowBlank="1" showInputMessage="1" showErrorMessage="1" prompt="Enter Date in this cell. Budget overview chart is in cell B9" sqref="Q19:R19" xr:uid="{00000000-0002-0000-0000-000002000000}"/>
    <dataValidation allowBlank="1" showInputMessage="1" showErrorMessage="1" prompt="Title of this worksheet is in this cell. Enter Date in cell at right. Budget Totals are automatically calculated in Totals table starting in cell B4" sqref="N19:P21 Q20:V20" xr:uid="{00000000-0002-0000-0000-00000C000000}"/>
    <dataValidation allowBlank="1" showInputMessage="1" showErrorMessage="1" errorTitle="ALERT" error="This cell is automatically populated and should not be overwitten. Overwriting this cell would break calculations in this worksheet." sqref="E15:E21" xr:uid="{D63A6D3A-3050-4E13-980C-5855824BE398}"/>
  </dataValidations>
  <printOptions horizontalCentered="1"/>
  <pageMargins left="0.25" right="0.25" top="0.25" bottom="0.25" header="0" footer="0"/>
  <pageSetup scale="50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ing xmlns="dd1a33dc-fe9b-4798-98eb-3b91281f19ca">Internal</Sharing>
    <Sharing_x0020_Control xmlns="dd1a33dc-fe9b-4798-98eb-3b91281f19ca">Internal</Sharing_x0020_Control>
    <Brand xmlns="dd1a33dc-fe9b-4798-98eb-3b91281f19ca" xsi:nil="true"/>
    <lcf76f155ced4ddcb4097134ff3c332f xmlns="dd1a33dc-fe9b-4798-98eb-3b91281f19ca">
      <Terms xmlns="http://schemas.microsoft.com/office/infopath/2007/PartnerControls"/>
    </lcf76f155ced4ddcb4097134ff3c332f>
    <TaxCatchAll xmlns="a94b4932-a644-49f1-9238-3e2c743b90f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37FAEC9993C468BE0846A72F072EA" ma:contentTypeVersion="17" ma:contentTypeDescription="Create a new document." ma:contentTypeScope="" ma:versionID="1b28575cd9b4aa4b690b362005348337">
  <xsd:schema xmlns:xsd="http://www.w3.org/2001/XMLSchema" xmlns:xs="http://www.w3.org/2001/XMLSchema" xmlns:p="http://schemas.microsoft.com/office/2006/metadata/properties" xmlns:ns2="dd1a33dc-fe9b-4798-98eb-3b91281f19ca" xmlns:ns3="a94b4932-a644-49f1-9238-3e2c743b90fa" targetNamespace="http://schemas.microsoft.com/office/2006/metadata/properties" ma:root="true" ma:fieldsID="6fdd0e218dc8f6f414880414211be3bb" ns2:_="" ns3:_="">
    <xsd:import namespace="dd1a33dc-fe9b-4798-98eb-3b91281f19ca"/>
    <xsd:import namespace="a94b4932-a644-49f1-9238-3e2c743b90fa"/>
    <xsd:element name="properties">
      <xsd:complexType>
        <xsd:sequence>
          <xsd:element name="documentManagement">
            <xsd:complexType>
              <xsd:all>
                <xsd:element ref="ns2:Sharing" minOccurs="0"/>
                <xsd:element ref="ns2:Sharing_x0020_Control" minOccurs="0"/>
                <xsd:element ref="ns2:Bran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a33dc-fe9b-4798-98eb-3b91281f19ca" elementFormDefault="qualified">
    <xsd:import namespace="http://schemas.microsoft.com/office/2006/documentManagement/types"/>
    <xsd:import namespace="http://schemas.microsoft.com/office/infopath/2007/PartnerControls"/>
    <xsd:element name="Sharing" ma:index="8" nillable="true" ma:displayName="Sharing" ma:default="Internal" ma:format="Dropdown" ma:internalName="Sharing">
      <xsd:simpleType>
        <xsd:restriction base="dms:Choice">
          <xsd:enumeration value="Internal"/>
          <xsd:enumeration value="External - No Notification"/>
          <xsd:enumeration value="External - With Notification"/>
        </xsd:restriction>
      </xsd:simpleType>
    </xsd:element>
    <xsd:element name="Sharing_x0020_Control" ma:index="9" nillable="true" ma:displayName="Sharing Control" ma:default="Internal" ma:format="Dropdown" ma:internalName="Sharing_x0020_Control">
      <xsd:simpleType>
        <xsd:restriction base="dms:Choice">
          <xsd:enumeration value="Internal"/>
          <xsd:enumeration value="External - No Notification"/>
          <xsd:enumeration value="External - With Notification"/>
        </xsd:restriction>
      </xsd:simpleType>
    </xsd:element>
    <xsd:element name="Brand" ma:index="10" nillable="true" ma:displayName="Brand" ma:format="Dropdown" ma:internalName="Brand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7550d3a-a75f-4400-be5f-7e33dbb4e1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b4932-a644-49f1-9238-3e2c743b90f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75cde79-4c32-452f-b712-951962f573a3}" ma:internalName="TaxCatchAll" ma:showField="CatchAllData" ma:web="a94b4932-a644-49f1-9238-3e2c743b90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6D7496-0D4B-4D86-BA8D-8BED913F49F6}">
  <ds:schemaRefs>
    <ds:schemaRef ds:uri="http://schemas.microsoft.com/office/2006/metadata/properties"/>
    <ds:schemaRef ds:uri="http://schemas.microsoft.com/office/infopath/2007/PartnerControls"/>
    <ds:schemaRef ds:uri="dd1a33dc-fe9b-4798-98eb-3b91281f19ca"/>
    <ds:schemaRef ds:uri="a94b4932-a644-49f1-9238-3e2c743b90fa"/>
  </ds:schemaRefs>
</ds:datastoreItem>
</file>

<file path=customXml/itemProps2.xml><?xml version="1.0" encoding="utf-8"?>
<ds:datastoreItem xmlns:ds="http://schemas.openxmlformats.org/officeDocument/2006/customXml" ds:itemID="{DE99AAB6-D86B-445C-85F3-3A18BD2D83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F0F39C-E9B1-4905-BD31-69B2B4DA3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1a33dc-fe9b-4798-98eb-3b91281f19ca"/>
    <ds:schemaRef ds:uri="a94b4932-a644-49f1-9238-3e2c743b90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TM23032109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Income Inputs</vt:lpstr>
      <vt:lpstr>Expense Inputs</vt:lpstr>
      <vt:lpstr>All Categories</vt:lpstr>
      <vt:lpstr>Budget Summary</vt:lpstr>
      <vt:lpstr>BUDGET_Title</vt:lpstr>
      <vt:lpstr>ColumnTitle1</vt:lpstr>
      <vt:lpstr>COMPANY_NAME</vt:lpstr>
      <vt:lpstr>'Income Inputs'!Print_Titles</vt:lpstr>
      <vt:lpstr>Title2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2022-01-03T23:29:59Z</dcterms:created>
  <dcterms:modified xsi:type="dcterms:W3CDTF">2024-11-06T16:17:08Z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0x0101007B537FAEC9993C468BE0846A72F072EA</vt:lpwstr>
  </property>
</Properties>
</file>