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历史数据" sheetId="1" r:id="rId1"/>
    <sheet name="均值类指标最小样本量" sheetId="2" r:id="rId2"/>
    <sheet name="概率类指标最小样本量" sheetId="4" r:id="rId3"/>
    <sheet name="Z检验" sheetId="6" r:id="rId4"/>
    <sheet name="T检验" sheetId="5" r:id="rId5"/>
    <sheet name="卡方检验" sheetId="7" r:id="rId6"/>
    <sheet name="正态分布随机数" sheetId="8" r:id="rId7"/>
  </sheets>
  <definedNames>
    <definedName name="_xlchart.0" hidden="1">正态分布随机数!$C$1</definedName>
    <definedName name="_xlchart.1" hidden="1">正态分布随机数!$C$2:$C$101</definedName>
    <definedName name="_xlchart.v1.0" hidden="1">正态分布随机数!$C$1</definedName>
    <definedName name="_xlchart.v1.1" hidden="1">正态分布随机数!$C$2:$C$501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8" l="1"/>
  <c r="C3" i="8"/>
  <c r="C4" i="8"/>
  <c r="C5" i="8"/>
  <c r="C6" i="8"/>
  <c r="C8" i="8"/>
  <c r="C9" i="8"/>
  <c r="C12" i="8"/>
  <c r="C13" i="8"/>
  <c r="C14" i="8"/>
  <c r="C15" i="8"/>
  <c r="C16" i="8"/>
  <c r="C17" i="8"/>
  <c r="C18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2" i="8"/>
  <c r="C7" i="8"/>
  <c r="C10" i="8"/>
  <c r="C43" i="8"/>
  <c r="C11" i="8"/>
  <c r="C68" i="8"/>
  <c r="C19" i="8"/>
  <c r="I2" i="8" l="1"/>
  <c r="I3" i="8"/>
  <c r="C21" i="7" l="1"/>
  <c r="D5" i="7"/>
  <c r="C5" i="7"/>
  <c r="E4" i="7"/>
  <c r="E12" i="7" s="1"/>
  <c r="E3" i="7"/>
  <c r="F3" i="7" s="1"/>
  <c r="H3" i="1"/>
  <c r="E13" i="5"/>
  <c r="E14" i="5" s="1"/>
  <c r="E5" i="7" l="1"/>
  <c r="E13" i="7" s="1"/>
  <c r="F4" i="7"/>
  <c r="E11" i="7"/>
  <c r="F5" i="7" l="1"/>
  <c r="F13" i="7"/>
  <c r="F12" i="7"/>
  <c r="C12" i="7" s="1"/>
  <c r="F11" i="7"/>
  <c r="C11" i="7" s="1"/>
  <c r="C13" i="7"/>
  <c r="D13" i="7" s="1"/>
  <c r="C15" i="7" l="1"/>
  <c r="D11" i="7"/>
  <c r="D15" i="7" s="1"/>
  <c r="D12" i="7"/>
  <c r="D16" i="7" s="1"/>
  <c r="C16" i="7"/>
  <c r="C6" i="7" l="1"/>
  <c r="C7" i="7" s="1"/>
  <c r="C18" i="7"/>
  <c r="C20" i="7" l="1"/>
  <c r="E7" i="5" l="1"/>
  <c r="E26" i="6"/>
  <c r="E27" i="6" s="1"/>
  <c r="E29" i="6" s="1"/>
  <c r="H7" i="2"/>
  <c r="H5" i="2"/>
  <c r="F9" i="2"/>
  <c r="F11" i="2" s="1"/>
  <c r="H7" i="4"/>
  <c r="H5" i="4"/>
  <c r="E17" i="5" l="1"/>
  <c r="E15" i="5"/>
  <c r="G18" i="5" s="1"/>
  <c r="E19" i="5" l="1"/>
  <c r="F19" i="5"/>
  <c r="E14" i="6"/>
  <c r="E15" i="6" s="1"/>
  <c r="E17" i="6" s="1"/>
  <c r="G4" i="6"/>
  <c r="G3" i="6"/>
  <c r="G5" i="5"/>
  <c r="G4" i="5"/>
  <c r="I4" i="6"/>
  <c r="I3" i="6"/>
  <c r="E4" i="6"/>
  <c r="E3" i="6"/>
  <c r="G7" i="5" l="1"/>
  <c r="I5" i="5"/>
  <c r="I4" i="5"/>
  <c r="E5" i="5"/>
  <c r="E4" i="5"/>
  <c r="E16" i="5" s="1"/>
  <c r="G16" i="5" s="1"/>
  <c r="F9" i="4" l="1"/>
  <c r="E4" i="1"/>
  <c r="B1" i="2" s="1"/>
  <c r="H1" i="2" s="1"/>
  <c r="E3" i="1"/>
  <c r="B1" i="4" s="1"/>
  <c r="E2" i="1"/>
  <c r="F13" i="4" l="1"/>
  <c r="F11" i="4"/>
  <c r="F13" i="2"/>
  <c r="E5" i="1"/>
  <c r="F8" i="1" s="1"/>
  <c r="C3" i="4" l="1"/>
  <c r="C3" i="2"/>
  <c r="E8" i="1"/>
  <c r="B3" i="4" l="1"/>
  <c r="B3" i="2"/>
  <c r="H3" i="2" s="1"/>
</calcChain>
</file>

<file path=xl/sharedStrings.xml><?xml version="1.0" encoding="utf-8"?>
<sst xmlns="http://schemas.openxmlformats.org/spreadsheetml/2006/main" count="133" uniqueCount="99">
  <si>
    <t>历史数据样本量n</t>
    <phoneticPr fontId="1" type="noConversion"/>
  </si>
  <si>
    <t>标准误差standard error</t>
    <phoneticPr fontId="1" type="noConversion"/>
  </si>
  <si>
    <t>历史数据均值</t>
    <phoneticPr fontId="1" type="noConversion"/>
  </si>
  <si>
    <t>置信度</t>
    <phoneticPr fontId="1" type="noConversion"/>
  </si>
  <si>
    <t>对应Z分数</t>
    <phoneticPr fontId="1" type="noConversion"/>
  </si>
  <si>
    <t>对应Z分数</t>
    <phoneticPr fontId="1" type="noConversion"/>
  </si>
  <si>
    <t>min</t>
    <phoneticPr fontId="1" type="noConversion"/>
  </si>
  <si>
    <t>max</t>
    <phoneticPr fontId="1" type="noConversion"/>
  </si>
  <si>
    <t>标准差sd</t>
    <phoneticPr fontId="1" type="noConversion"/>
  </si>
  <si>
    <t>历史数据写右边</t>
    <phoneticPr fontId="1" type="noConversion"/>
  </si>
  <si>
    <t>样本标准差sd</t>
    <phoneticPr fontId="1" type="noConversion"/>
  </si>
  <si>
    <t>置信区间</t>
    <phoneticPr fontId="1" type="noConversion"/>
  </si>
  <si>
    <t>原始指标</t>
    <phoneticPr fontId="1" type="noConversion"/>
  </si>
  <si>
    <t>置信水平</t>
    <phoneticPr fontId="1" type="noConversion"/>
  </si>
  <si>
    <t>power</t>
    <phoneticPr fontId="1" type="noConversion"/>
  </si>
  <si>
    <t>对应Z分数</t>
    <phoneticPr fontId="1" type="noConversion"/>
  </si>
  <si>
    <t>综合方差</t>
    <phoneticPr fontId="1" type="noConversion"/>
  </si>
  <si>
    <t>最小可检测提升后指标</t>
    <phoneticPr fontId="1" type="noConversion"/>
  </si>
  <si>
    <t>对应Z分数</t>
    <phoneticPr fontId="1" type="noConversion"/>
  </si>
  <si>
    <t>每组最小样本量</t>
    <phoneticPr fontId="1" type="noConversion"/>
  </si>
  <si>
    <t>历史数据置信区间</t>
    <phoneticPr fontId="1" type="noConversion"/>
  </si>
  <si>
    <t>95置信度、80power估算的样本大小</t>
    <phoneticPr fontId="1" type="noConversion"/>
  </si>
  <si>
    <t>这个可以定为收支平衡的阈值，或者高于置信区间范围</t>
    <phoneticPr fontId="1" type="noConversion"/>
  </si>
  <si>
    <t>一般就是历史均值</t>
    <phoneticPr fontId="1" type="noConversion"/>
  </si>
  <si>
    <t>最小可检测差值delta</t>
    <phoneticPr fontId="1" type="noConversion"/>
  </si>
  <si>
    <t>置信水平</t>
    <phoneticPr fontId="1" type="noConversion"/>
  </si>
  <si>
    <t>综合方差</t>
    <phoneticPr fontId="1" type="noConversion"/>
  </si>
  <si>
    <t>历史数据标准差</t>
    <phoneticPr fontId="1" type="noConversion"/>
  </si>
  <si>
    <t>建议</t>
    <phoneticPr fontId="1" type="noConversion"/>
  </si>
  <si>
    <t>建议</t>
    <phoneticPr fontId="1" type="noConversion"/>
  </si>
  <si>
    <t>95置信度、80power估算的样本大小</t>
    <phoneticPr fontId="1" type="noConversion"/>
  </si>
  <si>
    <t>A组数据</t>
    <phoneticPr fontId="1" type="noConversion"/>
  </si>
  <si>
    <t>B组数据</t>
    <phoneticPr fontId="1" type="noConversion"/>
  </si>
  <si>
    <t>T检验P值</t>
    <phoneticPr fontId="1" type="noConversion"/>
  </si>
  <si>
    <t>A组均值</t>
    <phoneticPr fontId="1" type="noConversion"/>
  </si>
  <si>
    <t>B组均值</t>
    <phoneticPr fontId="1" type="noConversion"/>
  </si>
  <si>
    <t>B组方差</t>
    <phoneticPr fontId="1" type="noConversion"/>
  </si>
  <si>
    <t>A组方差</t>
    <phoneticPr fontId="1" type="noConversion"/>
  </si>
  <si>
    <t>t_value</t>
    <phoneticPr fontId="1" type="noConversion"/>
  </si>
  <si>
    <t>A组样本量</t>
    <phoneticPr fontId="1" type="noConversion"/>
  </si>
  <si>
    <t>B组样本量</t>
    <phoneticPr fontId="1" type="noConversion"/>
  </si>
  <si>
    <t>结论：</t>
    <phoneticPr fontId="1" type="noConversion"/>
  </si>
  <si>
    <t>A组方差</t>
    <phoneticPr fontId="1" type="noConversion"/>
  </si>
  <si>
    <t>B组方差</t>
    <phoneticPr fontId="1" type="noConversion"/>
  </si>
  <si>
    <t>A组均值</t>
    <phoneticPr fontId="1" type="noConversion"/>
  </si>
  <si>
    <t>B组均值</t>
    <phoneticPr fontId="1" type="noConversion"/>
  </si>
  <si>
    <t>B组样本量</t>
    <phoneticPr fontId="1" type="noConversion"/>
  </si>
  <si>
    <t>Z值</t>
    <phoneticPr fontId="1" type="noConversion"/>
  </si>
  <si>
    <t>P值(双侧)</t>
    <phoneticPr fontId="1" type="noConversion"/>
  </si>
  <si>
    <t>基于样本数据自动计算</t>
    <phoneticPr fontId="1" type="noConversion"/>
  </si>
  <si>
    <t>自行填写</t>
    <phoneticPr fontId="1" type="noConversion"/>
  </si>
  <si>
    <t>excel不一定能贴所有的数据，所以分成两块，这样可在外面算好均值和方差再填进来算P值</t>
    <phoneticPr fontId="1" type="noConversion"/>
  </si>
  <si>
    <t>Z检验适用于已知总体方差，或样本量大于30的情况。</t>
    <phoneticPr fontId="1" type="noConversion"/>
  </si>
  <si>
    <t>当样本量大于30时，T检验和Z检验的结果相似，都能用</t>
    <phoneticPr fontId="1" type="noConversion"/>
  </si>
  <si>
    <t>当样本量小于30时，只能用T检验，不能用Z检验。</t>
    <phoneticPr fontId="1" type="noConversion"/>
  </si>
  <si>
    <t>自由度</t>
    <phoneticPr fontId="1" type="noConversion"/>
  </si>
  <si>
    <t>两独立样本t检验要求两样本所代表的总体服从正态分布，且两总体方差相等, 即方差齐性 (homogeneity of variance, homoscedasticity).</t>
    <phoneticPr fontId="1" type="noConversion"/>
  </si>
  <si>
    <t>A组均值</t>
  </si>
  <si>
    <t>A组方差</t>
  </si>
  <si>
    <t>A组样本量</t>
  </si>
  <si>
    <t>B组均值</t>
  </si>
  <si>
    <t>B组方差</t>
  </si>
  <si>
    <t>B组样本量</t>
  </si>
  <si>
    <t>合并方差</t>
    <phoneticPr fontId="1" type="noConversion"/>
  </si>
  <si>
    <t>置信度</t>
    <phoneticPr fontId="1" type="noConversion"/>
  </si>
  <si>
    <t>对应阈值</t>
    <phoneticPr fontId="1" type="noConversion"/>
  </si>
  <si>
    <t>均值类指标（仅适用于样本大于30的情况）</t>
    <phoneticPr fontId="1" type="noConversion"/>
  </si>
  <si>
    <t>A组概率</t>
    <phoneticPr fontId="1" type="noConversion"/>
  </si>
  <si>
    <t>B组概率</t>
    <phoneticPr fontId="1" type="noConversion"/>
  </si>
  <si>
    <t>概率类指标</t>
    <phoneticPr fontId="1" type="noConversion"/>
  </si>
  <si>
    <t xml:space="preserve">如果为了用t检验，对概率类指标做聚合，要注意每个聚合的单位不能太小，要满足n*P&gt;5且n(1-p)&gt;5。比如点击率约0.1，每分钟uv 30，0.1*30=3&lt;5，就不可以。每小时uv 1800，1800*0.1=180&gt;5，这就可以。 </t>
    <phoneticPr fontId="1" type="noConversion"/>
  </si>
  <si>
    <t>对于概率类的指标，建议直接使用Z检验，或者卡方检验，也可以聚合之后，当作均值类的指标使用t检验。（比如先聚合成各小时的点击率，然后把不同的小时点击率再作为样本）</t>
    <phoneticPr fontId="1" type="noConversion"/>
  </si>
  <si>
    <t>合并标准误差</t>
    <phoneticPr fontId="1" type="noConversion"/>
  </si>
  <si>
    <t>输入均值类统计值</t>
    <phoneticPr fontId="1" type="noConversion"/>
  </si>
  <si>
    <t>直接左侧输入均值类原始数据</t>
    <phoneticPr fontId="1" type="noConversion"/>
  </si>
  <si>
    <t>差值的置信区间</t>
    <phoneticPr fontId="1" type="noConversion"/>
  </si>
  <si>
    <t>合计</t>
    <phoneticPr fontId="1" type="noConversion"/>
  </si>
  <si>
    <t>卡方值</t>
    <phoneticPr fontId="1" type="noConversion"/>
  </si>
  <si>
    <t>A</t>
    <phoneticPr fontId="1" type="noConversion"/>
  </si>
  <si>
    <t>B</t>
    <phoneticPr fontId="1" type="noConversion"/>
  </si>
  <si>
    <t>命中</t>
    <phoneticPr fontId="1" type="noConversion"/>
  </si>
  <si>
    <t>未命中</t>
    <phoneticPr fontId="1" type="noConversion"/>
  </si>
  <si>
    <t>卡方检验P值</t>
    <phoneticPr fontId="1" type="noConversion"/>
  </si>
  <si>
    <t>命中率</t>
    <phoneticPr fontId="1" type="noConversion"/>
  </si>
  <si>
    <t>（行数-1）*（列数-1）</t>
    <phoneticPr fontId="1" type="noConversion"/>
  </si>
  <si>
    <t>p值</t>
    <phoneticPr fontId="1" type="noConversion"/>
  </si>
  <si>
    <t>（直接excel函数计算）</t>
    <phoneticPr fontId="1" type="noConversion"/>
  </si>
  <si>
    <t>（手算）</t>
    <phoneticPr fontId="1" type="noConversion"/>
  </si>
  <si>
    <t>理论频数</t>
    <phoneticPr fontId="1" type="noConversion"/>
  </si>
  <si>
    <t>实际分布</t>
    <phoneticPr fontId="1" type="noConversion"/>
  </si>
  <si>
    <t>结论</t>
    <phoneticPr fontId="1" type="noConversion"/>
  </si>
  <si>
    <t>概率类指标可以用卡方分布来检验</t>
    <phoneticPr fontId="1" type="noConversion"/>
  </si>
  <si>
    <t>（标准误差是指bootstrap多次抽样后均值的标准差。）</t>
    <phoneticPr fontId="1" type="noConversion"/>
  </si>
  <si>
    <t>均值</t>
    <phoneticPr fontId="1" type="noConversion"/>
  </si>
  <si>
    <t>数据点</t>
    <phoneticPr fontId="1" type="noConversion"/>
  </si>
  <si>
    <t>标准差</t>
    <phoneticPr fontId="1" type="noConversion"/>
  </si>
  <si>
    <t>设定目标</t>
    <phoneticPr fontId="1" type="noConversion"/>
  </si>
  <si>
    <t>rand</t>
    <phoneticPr fontId="1" type="noConversion"/>
  </si>
  <si>
    <t>实际数据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</si>
</sst>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0" xfId="0" applyFill="1" applyBorder="1"/>
    <xf numFmtId="0" fontId="0" fillId="4" borderId="1" xfId="0" applyFill="1" applyBorder="1" applyAlignment="1">
      <alignment horizontal="right"/>
    </xf>
    <xf numFmtId="0" fontId="0" fillId="3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0" borderId="5" xfId="0" applyFill="1" applyBorder="1"/>
    <xf numFmtId="0" fontId="0" fillId="0" borderId="0" xfId="0" applyFill="1" applyBorder="1" applyAlignment="1"/>
    <xf numFmtId="0" fontId="0" fillId="5" borderId="1" xfId="0" applyFill="1" applyBorder="1"/>
    <xf numFmtId="0" fontId="0" fillId="4" borderId="13" xfId="0" applyFill="1" applyBorder="1"/>
    <xf numFmtId="0" fontId="0" fillId="5" borderId="14" xfId="0" applyFill="1" applyBorder="1"/>
    <xf numFmtId="0" fontId="0" fillId="0" borderId="14" xfId="0" applyBorder="1"/>
    <xf numFmtId="0" fontId="0" fillId="0" borderId="0" xfId="0" applyFont="1" applyFill="1" applyBorder="1" applyAlignment="1">
      <alignment horizontal="center"/>
    </xf>
    <xf numFmtId="0" fontId="2" fillId="5" borderId="1" xfId="0" applyFont="1" applyFill="1" applyBorder="1"/>
    <xf numFmtId="0" fontId="0" fillId="5" borderId="0" xfId="0" applyFill="1"/>
    <xf numFmtId="0" fontId="0" fillId="0" borderId="17" xfId="0" applyBorder="1" applyAlignment="1">
      <alignment horizontal="right"/>
    </xf>
    <xf numFmtId="0" fontId="0" fillId="2" borderId="18" xfId="0" applyFill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6" xfId="0" applyBorder="1" applyAlignment="1">
      <alignment horizontal="right" wrapText="1"/>
    </xf>
    <xf numFmtId="0" fontId="0" fillId="0" borderId="8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26895141-A04D-418A-A804-D90D1D35808F}">
          <cx:tx>
            <cx:txData>
              <cx:f>_xlchart.0</cx:f>
              <cx:v>数据点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377825</xdr:colOff>
      <xdr:row>8</xdr:row>
      <xdr:rowOff>19050</xdr:rowOff>
    </xdr:from>
    <xdr:to>
      <xdr:col>13</xdr:col>
      <xdr:colOff>31389</xdr:colOff>
      <xdr:row>15</xdr:row>
      <xdr:rowOff>107949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1325" y="1441450"/>
          <a:ext cx="2295164" cy="1517649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304801</xdr:colOff>
      <xdr:row>0</xdr:row>
      <xdr:rowOff>19051</xdr:rowOff>
    </xdr:from>
    <xdr:to>
      <xdr:col>13</xdr:col>
      <xdr:colOff>1</xdr:colOff>
      <xdr:row>7</xdr:row>
      <xdr:rowOff>84216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1" y="19051"/>
          <a:ext cx="2438400" cy="1331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9526</xdr:colOff>
      <xdr:row>12</xdr:row>
      <xdr:rowOff>276225</xdr:rowOff>
    </xdr:from>
    <xdr:to>
      <xdr:col>14</xdr:col>
      <xdr:colOff>657226</xdr:colOff>
      <xdr:row>21</xdr:row>
      <xdr:rowOff>162332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1676" y="2447925"/>
          <a:ext cx="2705100" cy="1702207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57150</xdr:rowOff>
    </xdr:from>
    <xdr:to>
      <xdr:col>14</xdr:col>
      <xdr:colOff>648073</xdr:colOff>
      <xdr:row>11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238125"/>
          <a:ext cx="2686423" cy="1771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565692</xdr:colOff>
      <xdr:row>0</xdr:row>
      <xdr:rowOff>142875</xdr:rowOff>
    </xdr:from>
    <xdr:to>
      <xdr:col>21</xdr:col>
      <xdr:colOff>238126</xdr:colOff>
      <xdr:row>15</xdr:row>
      <xdr:rowOff>173024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0092" y="142875"/>
          <a:ext cx="1729834" cy="27542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8</xdr:row>
      <xdr:rowOff>142875</xdr:rowOff>
    </xdr:from>
    <xdr:to>
      <xdr:col>13</xdr:col>
      <xdr:colOff>581025</xdr:colOff>
      <xdr:row>16</xdr:row>
      <xdr:rowOff>58757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1609725"/>
          <a:ext cx="1838325" cy="1373207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657226</xdr:colOff>
      <xdr:row>8</xdr:row>
      <xdr:rowOff>95250</xdr:rowOff>
    </xdr:from>
    <xdr:to>
      <xdr:col>17</xdr:col>
      <xdr:colOff>79960</xdr:colOff>
      <xdr:row>16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44176" y="1562100"/>
          <a:ext cx="2165934" cy="15144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304800</xdr:colOff>
      <xdr:row>21</xdr:row>
      <xdr:rowOff>127000</xdr:rowOff>
    </xdr:to>
    <xdr:sp macro="" textlink="">
      <xdr:nvSpPr>
        <xdr:cNvPr id="4097" name="AutoShape 1" descr="查看源图像"/>
        <xdr:cNvSpPr>
          <a:spLocks noChangeAspect="1" noChangeArrowheads="1"/>
        </xdr:cNvSpPr>
      </xdr:nvSpPr>
      <xdr:spPr bwMode="auto">
        <a:xfrm>
          <a:off x="8343900" y="358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304800</xdr:colOff>
      <xdr:row>19</xdr:row>
      <xdr:rowOff>120650</xdr:rowOff>
    </xdr:to>
    <xdr:sp macro="" textlink="">
      <xdr:nvSpPr>
        <xdr:cNvPr id="4098" name="AutoShape 2" descr="查看源图像"/>
        <xdr:cNvSpPr>
          <a:spLocks noChangeAspect="1" noChangeArrowheads="1"/>
        </xdr:cNvSpPr>
      </xdr:nvSpPr>
      <xdr:spPr bwMode="auto">
        <a:xfrm>
          <a:off x="8343900" y="32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19</xdr:row>
      <xdr:rowOff>1</xdr:rowOff>
    </xdr:from>
    <xdr:to>
      <xdr:col>17</xdr:col>
      <xdr:colOff>314721</xdr:colOff>
      <xdr:row>37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403601"/>
          <a:ext cx="4442221" cy="33337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12</xdr:row>
      <xdr:rowOff>19050</xdr:rowOff>
    </xdr:from>
    <xdr:to>
      <xdr:col>20</xdr:col>
      <xdr:colOff>75763</xdr:colOff>
      <xdr:row>26</xdr:row>
      <xdr:rowOff>152067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2275" y="2190750"/>
          <a:ext cx="3495238" cy="26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3</xdr:row>
      <xdr:rowOff>28575</xdr:rowOff>
    </xdr:from>
    <xdr:to>
      <xdr:col>19</xdr:col>
      <xdr:colOff>580615</xdr:colOff>
      <xdr:row>11</xdr:row>
      <xdr:rowOff>180775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571500"/>
          <a:ext cx="3276190" cy="1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100012</xdr:rowOff>
    </xdr:from>
    <xdr:to>
      <xdr:col>16</xdr:col>
      <xdr:colOff>552450</xdr:colOff>
      <xdr:row>16</xdr:row>
      <xdr:rowOff>128587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G12" sqref="G12"/>
    </sheetView>
  </sheetViews>
  <sheetFormatPr defaultRowHeight="14.25" x14ac:dyDescent="0.2"/>
  <cols>
    <col min="1" max="1" width="15.75" customWidth="1"/>
    <col min="2" max="2" width="11.5" style="3" customWidth="1"/>
    <col min="4" max="4" width="21.875" customWidth="1"/>
    <col min="5" max="5" width="10.25" customWidth="1"/>
    <col min="6" max="6" width="10" customWidth="1"/>
    <col min="7" max="7" width="10.625" customWidth="1"/>
  </cols>
  <sheetData>
    <row r="1" spans="1:8" x14ac:dyDescent="0.2">
      <c r="A1" t="s">
        <v>9</v>
      </c>
      <c r="B1" s="3">
        <v>169.70815603529198</v>
      </c>
    </row>
    <row r="2" spans="1:8" x14ac:dyDescent="0.2">
      <c r="B2" s="3">
        <v>175.2157001227919</v>
      </c>
      <c r="D2" t="s">
        <v>0</v>
      </c>
      <c r="E2">
        <f>COUNTA(B:B)</f>
        <v>100</v>
      </c>
      <c r="G2" t="s">
        <v>3</v>
      </c>
      <c r="H2" s="3">
        <v>0.95</v>
      </c>
    </row>
    <row r="3" spans="1:8" x14ac:dyDescent="0.2">
      <c r="B3" s="3">
        <v>174.02677116621442</v>
      </c>
      <c r="D3" t="s">
        <v>2</v>
      </c>
      <c r="E3">
        <f>AVERAGE(B:B)</f>
        <v>171.90002456729792</v>
      </c>
      <c r="G3" t="s">
        <v>5</v>
      </c>
      <c r="H3">
        <f>_xlfn.NORM.S.INV(1-(1-H2)/2)</f>
        <v>1.9599639845400536</v>
      </c>
    </row>
    <row r="4" spans="1:8" x14ac:dyDescent="0.2">
      <c r="B4" s="3">
        <v>168.5242763380115</v>
      </c>
      <c r="D4" t="s">
        <v>10</v>
      </c>
      <c r="E4">
        <f>_xlfn.STDEV.S(B:B)</f>
        <v>4.9647859814391415</v>
      </c>
    </row>
    <row r="5" spans="1:8" x14ac:dyDescent="0.2">
      <c r="B5" s="3">
        <v>168.87517132650936</v>
      </c>
      <c r="D5" t="s">
        <v>1</v>
      </c>
      <c r="E5">
        <f>E4/SQRT(E2)</f>
        <v>0.49647859814391415</v>
      </c>
      <c r="F5" t="s">
        <v>92</v>
      </c>
    </row>
    <row r="6" spans="1:8" x14ac:dyDescent="0.2">
      <c r="B6" s="3">
        <v>175.9796555487207</v>
      </c>
    </row>
    <row r="7" spans="1:8" x14ac:dyDescent="0.2">
      <c r="B7" s="3">
        <v>168.8483815799373</v>
      </c>
      <c r="E7" t="s">
        <v>6</v>
      </c>
      <c r="F7" t="s">
        <v>7</v>
      </c>
    </row>
    <row r="8" spans="1:8" x14ac:dyDescent="0.2">
      <c r="B8" s="3">
        <v>168.03158493509221</v>
      </c>
      <c r="D8" t="s">
        <v>11</v>
      </c>
      <c r="E8">
        <f>E3-H3*E5</f>
        <v>170.92694439584091</v>
      </c>
      <c r="F8">
        <f>E3+H3*E5</f>
        <v>172.87310473875493</v>
      </c>
    </row>
    <row r="9" spans="1:8" x14ac:dyDescent="0.2">
      <c r="B9" s="3">
        <v>166.35935859596344</v>
      </c>
    </row>
    <row r="10" spans="1:8" x14ac:dyDescent="0.2">
      <c r="B10" s="3">
        <v>172.70030431116436</v>
      </c>
    </row>
    <row r="11" spans="1:8" x14ac:dyDescent="0.2">
      <c r="B11" s="3">
        <v>162.77627277409982</v>
      </c>
    </row>
    <row r="12" spans="1:8" x14ac:dyDescent="0.2">
      <c r="B12" s="3">
        <v>185.82417368690474</v>
      </c>
    </row>
    <row r="13" spans="1:8" x14ac:dyDescent="0.2">
      <c r="B13" s="3">
        <v>169.84787668802304</v>
      </c>
    </row>
    <row r="14" spans="1:8" x14ac:dyDescent="0.2">
      <c r="B14" s="3">
        <v>169.16388985360354</v>
      </c>
    </row>
    <row r="15" spans="1:8" x14ac:dyDescent="0.2">
      <c r="B15" s="3">
        <v>168.20350644781547</v>
      </c>
    </row>
    <row r="16" spans="1:8" x14ac:dyDescent="0.2">
      <c r="B16" s="3">
        <v>176.29379728646339</v>
      </c>
    </row>
    <row r="17" spans="2:2" x14ac:dyDescent="0.2">
      <c r="B17" s="3">
        <v>177.85460763576594</v>
      </c>
    </row>
    <row r="18" spans="2:2" x14ac:dyDescent="0.2">
      <c r="B18" s="3">
        <v>163.66690037194189</v>
      </c>
    </row>
    <row r="19" spans="2:2" x14ac:dyDescent="0.2">
      <c r="B19" s="3">
        <v>181.94171971536468</v>
      </c>
    </row>
    <row r="20" spans="2:2" x14ac:dyDescent="0.2">
      <c r="B20" s="3">
        <v>181.55825268140816</v>
      </c>
    </row>
    <row r="21" spans="2:2" x14ac:dyDescent="0.2">
      <c r="B21" s="3">
        <v>172.37247328831543</v>
      </c>
    </row>
    <row r="22" spans="2:2" x14ac:dyDescent="0.2">
      <c r="B22" s="3">
        <v>176.88711607694916</v>
      </c>
    </row>
    <row r="23" spans="2:2" x14ac:dyDescent="0.2">
      <c r="B23" s="3">
        <v>175.18486289784565</v>
      </c>
    </row>
    <row r="24" spans="2:2" x14ac:dyDescent="0.2">
      <c r="B24" s="3">
        <v>175.14856247369926</v>
      </c>
    </row>
    <row r="25" spans="2:2" x14ac:dyDescent="0.2">
      <c r="B25" s="3">
        <v>175.5218343680034</v>
      </c>
    </row>
    <row r="26" spans="2:2" x14ac:dyDescent="0.2">
      <c r="B26" s="3">
        <v>170.09897275206777</v>
      </c>
    </row>
    <row r="27" spans="2:2" x14ac:dyDescent="0.2">
      <c r="B27" s="3">
        <v>172.19910578417972</v>
      </c>
    </row>
    <row r="28" spans="2:2" x14ac:dyDescent="0.2">
      <c r="B28" s="3">
        <v>173.51024785229447</v>
      </c>
    </row>
    <row r="29" spans="2:2" x14ac:dyDescent="0.2">
      <c r="B29" s="3">
        <v>168.04156646155468</v>
      </c>
    </row>
    <row r="30" spans="2:2" x14ac:dyDescent="0.2">
      <c r="B30" s="3">
        <v>171.46270345671292</v>
      </c>
    </row>
    <row r="31" spans="2:2" x14ac:dyDescent="0.2">
      <c r="B31" s="3">
        <v>171.40837894012711</v>
      </c>
    </row>
    <row r="32" spans="2:2" x14ac:dyDescent="0.2">
      <c r="B32" s="3">
        <v>172.66118665786595</v>
      </c>
    </row>
    <row r="33" spans="2:2" x14ac:dyDescent="0.2">
      <c r="B33" s="3">
        <v>170.54584937393818</v>
      </c>
    </row>
    <row r="34" spans="2:2" x14ac:dyDescent="0.2">
      <c r="B34" s="3">
        <v>172.306524583341</v>
      </c>
    </row>
    <row r="35" spans="2:2" x14ac:dyDescent="0.2">
      <c r="B35" s="3">
        <v>180.3767096667838</v>
      </c>
    </row>
    <row r="36" spans="2:2" x14ac:dyDescent="0.2">
      <c r="B36" s="3">
        <v>176.64239636174489</v>
      </c>
    </row>
    <row r="37" spans="2:2" x14ac:dyDescent="0.2">
      <c r="B37" s="3">
        <v>167.63995490985113</v>
      </c>
    </row>
    <row r="38" spans="2:2" x14ac:dyDescent="0.2">
      <c r="B38" s="3">
        <v>171.16168246722989</v>
      </c>
    </row>
    <row r="39" spans="2:2" x14ac:dyDescent="0.2">
      <c r="B39" s="3">
        <v>169.37657617854654</v>
      </c>
    </row>
    <row r="40" spans="2:2" x14ac:dyDescent="0.2">
      <c r="B40" s="3">
        <v>176.56443970644716</v>
      </c>
    </row>
    <row r="41" spans="2:2" x14ac:dyDescent="0.2">
      <c r="B41" s="3">
        <v>172.31069360815965</v>
      </c>
    </row>
    <row r="42" spans="2:2" x14ac:dyDescent="0.2">
      <c r="B42" s="3">
        <v>176.38108504358306</v>
      </c>
    </row>
    <row r="43" spans="2:2" x14ac:dyDescent="0.2">
      <c r="B43" s="3">
        <v>170.50866774451183</v>
      </c>
    </row>
    <row r="44" spans="2:2" x14ac:dyDescent="0.2">
      <c r="B44" s="3">
        <v>183.68478421606025</v>
      </c>
    </row>
    <row r="45" spans="2:2" x14ac:dyDescent="0.2">
      <c r="B45" s="3">
        <v>169.25458579981074</v>
      </c>
    </row>
    <row r="46" spans="2:2" x14ac:dyDescent="0.2">
      <c r="B46" s="3">
        <v>171.81351111262993</v>
      </c>
    </row>
    <row r="47" spans="2:2" x14ac:dyDescent="0.2">
      <c r="B47" s="3">
        <v>164.8262533884604</v>
      </c>
    </row>
    <row r="48" spans="2:2" x14ac:dyDescent="0.2">
      <c r="B48" s="3">
        <v>163.45159397647791</v>
      </c>
    </row>
    <row r="49" spans="2:2" x14ac:dyDescent="0.2">
      <c r="B49" s="3">
        <v>165.72438342517472</v>
      </c>
    </row>
    <row r="50" spans="2:2" x14ac:dyDescent="0.2">
      <c r="B50" s="3">
        <v>167.98151303412195</v>
      </c>
    </row>
    <row r="51" spans="2:2" x14ac:dyDescent="0.2">
      <c r="B51" s="3">
        <v>174.18676442631585</v>
      </c>
    </row>
    <row r="52" spans="2:2" x14ac:dyDescent="0.2">
      <c r="B52" s="3">
        <v>168.10866213963882</v>
      </c>
    </row>
    <row r="53" spans="2:2" x14ac:dyDescent="0.2">
      <c r="B53" s="3">
        <v>182.89698038229866</v>
      </c>
    </row>
    <row r="54" spans="2:2" x14ac:dyDescent="0.2">
      <c r="B54" s="3">
        <v>170.78869679930978</v>
      </c>
    </row>
    <row r="55" spans="2:2" x14ac:dyDescent="0.2">
      <c r="B55" s="3">
        <v>165.6002456662336</v>
      </c>
    </row>
    <row r="56" spans="2:2" x14ac:dyDescent="0.2">
      <c r="B56" s="3">
        <v>167.76053202770518</v>
      </c>
    </row>
    <row r="57" spans="2:2" x14ac:dyDescent="0.2">
      <c r="B57" s="3">
        <v>170.34168906893635</v>
      </c>
    </row>
    <row r="58" spans="2:2" x14ac:dyDescent="0.2">
      <c r="B58" s="3">
        <v>168.43967872333317</v>
      </c>
    </row>
    <row r="59" spans="2:2" x14ac:dyDescent="0.2">
      <c r="B59" s="3">
        <v>178.7392429728055</v>
      </c>
    </row>
    <row r="60" spans="2:2" x14ac:dyDescent="0.2">
      <c r="B60" s="3">
        <v>175.69389365604047</v>
      </c>
    </row>
    <row r="61" spans="2:2" x14ac:dyDescent="0.2">
      <c r="B61" s="3">
        <v>180.25633135940549</v>
      </c>
    </row>
    <row r="62" spans="2:2" x14ac:dyDescent="0.2">
      <c r="B62" s="3">
        <v>171.28302779574312</v>
      </c>
    </row>
    <row r="63" spans="2:2" x14ac:dyDescent="0.2">
      <c r="B63" s="3">
        <v>174.50586076556939</v>
      </c>
    </row>
    <row r="64" spans="2:2" x14ac:dyDescent="0.2">
      <c r="B64" s="3">
        <v>169.62871089352799</v>
      </c>
    </row>
    <row r="65" spans="2:2" x14ac:dyDescent="0.2">
      <c r="B65" s="3">
        <v>178.28127409908876</v>
      </c>
    </row>
    <row r="66" spans="2:2" x14ac:dyDescent="0.2">
      <c r="B66" s="3">
        <v>169.35356580730621</v>
      </c>
    </row>
    <row r="67" spans="2:2" x14ac:dyDescent="0.2">
      <c r="B67" s="3">
        <v>173.56248231216577</v>
      </c>
    </row>
    <row r="68" spans="2:2" x14ac:dyDescent="0.2">
      <c r="B68" s="3">
        <v>166.09657307421352</v>
      </c>
    </row>
    <row r="69" spans="2:2" x14ac:dyDescent="0.2">
      <c r="B69" s="3">
        <v>167.29353723606857</v>
      </c>
    </row>
    <row r="70" spans="2:2" x14ac:dyDescent="0.2">
      <c r="B70" s="3">
        <v>175.08698667793777</v>
      </c>
    </row>
    <row r="71" spans="2:2" x14ac:dyDescent="0.2">
      <c r="B71" s="3">
        <v>172.30940865730093</v>
      </c>
    </row>
    <row r="72" spans="2:2" x14ac:dyDescent="0.2">
      <c r="B72" s="3">
        <v>170.49386537727409</v>
      </c>
    </row>
    <row r="73" spans="2:2" x14ac:dyDescent="0.2">
      <c r="B73" s="3">
        <v>169.12664857277449</v>
      </c>
    </row>
    <row r="74" spans="2:2" x14ac:dyDescent="0.2">
      <c r="B74" s="3">
        <v>163.44292501024864</v>
      </c>
    </row>
    <row r="75" spans="2:2" x14ac:dyDescent="0.2">
      <c r="B75" s="3">
        <v>172.74529760168346</v>
      </c>
    </row>
    <row r="76" spans="2:2" x14ac:dyDescent="0.2">
      <c r="B76" s="3">
        <v>175.69671698436801</v>
      </c>
    </row>
    <row r="77" spans="2:2" x14ac:dyDescent="0.2">
      <c r="B77" s="3">
        <v>168.80517583821779</v>
      </c>
    </row>
    <row r="78" spans="2:2" x14ac:dyDescent="0.2">
      <c r="B78" s="3">
        <v>175.14158130769621</v>
      </c>
    </row>
    <row r="79" spans="2:2" x14ac:dyDescent="0.2">
      <c r="B79" s="3">
        <v>167.80979456484852</v>
      </c>
    </row>
    <row r="80" spans="2:2" x14ac:dyDescent="0.2">
      <c r="B80" s="3">
        <v>175.07499317522399</v>
      </c>
    </row>
    <row r="81" spans="2:2" x14ac:dyDescent="0.2">
      <c r="B81" s="3">
        <v>175.1274593154204</v>
      </c>
    </row>
    <row r="82" spans="2:2" x14ac:dyDescent="0.2">
      <c r="B82" s="3">
        <v>165.13112539403062</v>
      </c>
    </row>
    <row r="83" spans="2:2" x14ac:dyDescent="0.2">
      <c r="B83" s="3">
        <v>171.85529016789891</v>
      </c>
    </row>
    <row r="84" spans="2:2" x14ac:dyDescent="0.2">
      <c r="B84" s="3">
        <v>177.24913151700736</v>
      </c>
    </row>
    <row r="85" spans="2:2" x14ac:dyDescent="0.2">
      <c r="B85" s="3">
        <v>171.17837932304022</v>
      </c>
    </row>
    <row r="86" spans="2:2" x14ac:dyDescent="0.2">
      <c r="B86" s="3">
        <v>178.06332001711877</v>
      </c>
    </row>
    <row r="87" spans="2:2" x14ac:dyDescent="0.2">
      <c r="B87" s="3">
        <v>168.92983330693309</v>
      </c>
    </row>
    <row r="88" spans="2:2" x14ac:dyDescent="0.2">
      <c r="B88" s="3">
        <v>167.83707238640801</v>
      </c>
    </row>
    <row r="89" spans="2:2" x14ac:dyDescent="0.2">
      <c r="B89" s="3">
        <v>165.70519304518626</v>
      </c>
    </row>
    <row r="90" spans="2:2" x14ac:dyDescent="0.2">
      <c r="B90" s="3">
        <v>167.98427985293247</v>
      </c>
    </row>
    <row r="91" spans="2:2" x14ac:dyDescent="0.2">
      <c r="B91" s="3">
        <v>171.09141891244522</v>
      </c>
    </row>
    <row r="92" spans="2:2" x14ac:dyDescent="0.2">
      <c r="B92" s="3">
        <v>171.53283652574783</v>
      </c>
    </row>
    <row r="93" spans="2:2" x14ac:dyDescent="0.2">
      <c r="B93" s="3">
        <v>166.13168092807615</v>
      </c>
    </row>
    <row r="94" spans="2:2" x14ac:dyDescent="0.2">
      <c r="B94" s="3">
        <v>159.40267217361628</v>
      </c>
    </row>
    <row r="95" spans="2:2" x14ac:dyDescent="0.2">
      <c r="B95" s="3">
        <v>173.95502292786131</v>
      </c>
    </row>
    <row r="96" spans="2:2" x14ac:dyDescent="0.2">
      <c r="B96" s="3">
        <v>167.25673626753468</v>
      </c>
    </row>
    <row r="97" spans="2:2" x14ac:dyDescent="0.2">
      <c r="B97" s="3">
        <v>172.85308413218709</v>
      </c>
    </row>
    <row r="98" spans="2:2" x14ac:dyDescent="0.2">
      <c r="B98" s="3">
        <v>176.95791088065062</v>
      </c>
    </row>
    <row r="99" spans="2:2" x14ac:dyDescent="0.2">
      <c r="B99" s="3">
        <v>171.87054816858884</v>
      </c>
    </row>
    <row r="100" spans="2:2" x14ac:dyDescent="0.2">
      <c r="B100" s="3">
        <v>180.88974580624398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25" sqref="E25"/>
    </sheetView>
  </sheetViews>
  <sheetFormatPr defaultRowHeight="14.25" x14ac:dyDescent="0.2"/>
  <cols>
    <col min="1" max="1" width="15.25" customWidth="1"/>
    <col min="4" max="4" width="7.5" customWidth="1"/>
    <col min="5" max="5" width="20.25" style="1" customWidth="1"/>
    <col min="6" max="6" width="11.875" style="2" customWidth="1"/>
    <col min="7" max="7" width="11.375" style="1" customWidth="1"/>
  </cols>
  <sheetData>
    <row r="1" spans="1:8" x14ac:dyDescent="0.2">
      <c r="A1" t="s">
        <v>27</v>
      </c>
      <c r="B1">
        <f>历史数据!E4</f>
        <v>4.9647859814391415</v>
      </c>
      <c r="E1" s="31" t="s">
        <v>8</v>
      </c>
      <c r="F1" s="32">
        <v>4.96</v>
      </c>
      <c r="G1" s="1" t="s">
        <v>28</v>
      </c>
      <c r="H1">
        <f>B1</f>
        <v>4.9647859814391415</v>
      </c>
    </row>
    <row r="2" spans="1:8" x14ac:dyDescent="0.2">
      <c r="E2" s="33"/>
      <c r="F2" s="34"/>
    </row>
    <row r="3" spans="1:8" x14ac:dyDescent="0.2">
      <c r="A3" t="s">
        <v>20</v>
      </c>
      <c r="B3">
        <f>历史数据!E8</f>
        <v>170.92694439584091</v>
      </c>
      <c r="C3">
        <f>历史数据!F8</f>
        <v>172.87310473875493</v>
      </c>
      <c r="E3" s="33" t="s">
        <v>24</v>
      </c>
      <c r="F3" s="35">
        <v>0.1</v>
      </c>
      <c r="G3" s="1" t="s">
        <v>29</v>
      </c>
      <c r="H3">
        <f>(C3-B3)/2</f>
        <v>0.97308017145701342</v>
      </c>
    </row>
    <row r="4" spans="1:8" x14ac:dyDescent="0.2">
      <c r="E4" s="33"/>
      <c r="F4" s="34"/>
    </row>
    <row r="5" spans="1:8" x14ac:dyDescent="0.2">
      <c r="E5" s="33" t="s">
        <v>25</v>
      </c>
      <c r="F5" s="35">
        <v>0.95</v>
      </c>
      <c r="G5" s="1" t="s">
        <v>4</v>
      </c>
      <c r="H5">
        <f>_xlfn.NORM.S.INV(1-(1-F5)/2)</f>
        <v>1.9599639845400536</v>
      </c>
    </row>
    <row r="6" spans="1:8" x14ac:dyDescent="0.2">
      <c r="E6" s="33"/>
      <c r="F6" s="34"/>
    </row>
    <row r="7" spans="1:8" x14ac:dyDescent="0.2">
      <c r="E7" s="33" t="s">
        <v>14</v>
      </c>
      <c r="F7" s="35">
        <v>0.8</v>
      </c>
      <c r="G7" s="1" t="s">
        <v>18</v>
      </c>
      <c r="H7">
        <f>_xlfn.NORM.S.INV(F7)</f>
        <v>0.84162123357291474</v>
      </c>
    </row>
    <row r="8" spans="1:8" x14ac:dyDescent="0.2">
      <c r="E8" s="33"/>
      <c r="F8" s="34"/>
    </row>
    <row r="9" spans="1:8" x14ac:dyDescent="0.2">
      <c r="E9" s="33" t="s">
        <v>26</v>
      </c>
      <c r="F9" s="34">
        <f>F1^2*2</f>
        <v>49.203200000000002</v>
      </c>
    </row>
    <row r="10" spans="1:8" x14ac:dyDescent="0.2">
      <c r="E10" s="33"/>
      <c r="F10" s="34"/>
    </row>
    <row r="11" spans="1:8" x14ac:dyDescent="0.2">
      <c r="E11" s="33" t="s">
        <v>19</v>
      </c>
      <c r="F11" s="36">
        <f>(H5+H7)^2*F9/F3^2</f>
        <v>38618.999934512503</v>
      </c>
    </row>
    <row r="12" spans="1:8" x14ac:dyDescent="0.2">
      <c r="E12" s="33"/>
      <c r="F12" s="34"/>
    </row>
    <row r="13" spans="1:8" ht="29.25" thickBot="1" x14ac:dyDescent="0.25">
      <c r="E13" s="37" t="s">
        <v>30</v>
      </c>
      <c r="F13" s="38">
        <f>8*F9/F3^2</f>
        <v>39362.559999999998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B1" workbookViewId="0">
      <selection activeCell="G31" sqref="G31"/>
    </sheetView>
  </sheetViews>
  <sheetFormatPr defaultRowHeight="14.25" x14ac:dyDescent="0.2"/>
  <cols>
    <col min="1" max="1" width="16.875" customWidth="1"/>
    <col min="5" max="5" width="22.375" style="1" customWidth="1"/>
    <col min="6" max="6" width="9" style="2"/>
    <col min="7" max="7" width="13.25" customWidth="1"/>
    <col min="8" max="8" width="10.25" customWidth="1"/>
  </cols>
  <sheetData>
    <row r="1" spans="1:8" x14ac:dyDescent="0.2">
      <c r="A1" t="s">
        <v>2</v>
      </c>
      <c r="B1">
        <f>历史数据!E3</f>
        <v>171.90002456729792</v>
      </c>
      <c r="E1" s="31" t="s">
        <v>12</v>
      </c>
      <c r="F1" s="32">
        <v>0.03</v>
      </c>
      <c r="G1" t="s">
        <v>23</v>
      </c>
    </row>
    <row r="2" spans="1:8" x14ac:dyDescent="0.2">
      <c r="E2" s="33"/>
      <c r="F2" s="34"/>
    </row>
    <row r="3" spans="1:8" x14ac:dyDescent="0.2">
      <c r="A3" t="s">
        <v>20</v>
      </c>
      <c r="B3">
        <f>历史数据!E8</f>
        <v>170.92694439584091</v>
      </c>
      <c r="C3">
        <f>历史数据!F8</f>
        <v>172.87310473875493</v>
      </c>
      <c r="E3" s="33" t="s">
        <v>17</v>
      </c>
      <c r="F3" s="35">
        <v>0.04</v>
      </c>
      <c r="G3" t="s">
        <v>22</v>
      </c>
    </row>
    <row r="4" spans="1:8" x14ac:dyDescent="0.2">
      <c r="E4" s="33"/>
      <c r="F4" s="34"/>
    </row>
    <row r="5" spans="1:8" x14ac:dyDescent="0.2">
      <c r="E5" s="33" t="s">
        <v>13</v>
      </c>
      <c r="F5" s="35">
        <v>0.95</v>
      </c>
      <c r="G5" t="s">
        <v>15</v>
      </c>
      <c r="H5">
        <f>_xlfn.NORM.S.INV(1-(1-F5)/2)</f>
        <v>1.9599639845400536</v>
      </c>
    </row>
    <row r="6" spans="1:8" x14ac:dyDescent="0.2">
      <c r="E6" s="33"/>
      <c r="F6" s="34"/>
    </row>
    <row r="7" spans="1:8" x14ac:dyDescent="0.2">
      <c r="E7" s="33" t="s">
        <v>14</v>
      </c>
      <c r="F7" s="35">
        <v>0.8</v>
      </c>
      <c r="G7" t="s">
        <v>18</v>
      </c>
      <c r="H7">
        <f>_xlfn.NORM.S.INV(F7)</f>
        <v>0.84162123357291474</v>
      </c>
    </row>
    <row r="8" spans="1:8" x14ac:dyDescent="0.2">
      <c r="E8" s="33"/>
      <c r="F8" s="34"/>
    </row>
    <row r="9" spans="1:8" x14ac:dyDescent="0.2">
      <c r="E9" s="33" t="s">
        <v>16</v>
      </c>
      <c r="F9" s="34">
        <f>F3*(1-F3)+F1*(1-F1)</f>
        <v>6.7499999999999991E-2</v>
      </c>
    </row>
    <row r="10" spans="1:8" x14ac:dyDescent="0.2">
      <c r="E10" s="33"/>
      <c r="F10" s="34"/>
    </row>
    <row r="11" spans="1:8" x14ac:dyDescent="0.2">
      <c r="E11" s="33" t="s">
        <v>19</v>
      </c>
      <c r="F11" s="36">
        <f>(H5+H7)^2*F9/(F3-F1)^2</f>
        <v>5297.9938206856314</v>
      </c>
    </row>
    <row r="12" spans="1:8" x14ac:dyDescent="0.2">
      <c r="E12" s="33"/>
      <c r="F12" s="34"/>
    </row>
    <row r="13" spans="1:8" ht="29.25" thickBot="1" x14ac:dyDescent="0.25">
      <c r="E13" s="37" t="s">
        <v>21</v>
      </c>
      <c r="F13" s="38">
        <f>8*F9/(F3-F1)^2</f>
        <v>5399.9999999999964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K16" sqref="K16"/>
    </sheetView>
  </sheetViews>
  <sheetFormatPr defaultRowHeight="14.25" x14ac:dyDescent="0.2"/>
  <cols>
    <col min="1" max="2" width="9" style="3"/>
  </cols>
  <sheetData>
    <row r="1" spans="1:11" x14ac:dyDescent="0.2">
      <c r="A1" s="4" t="s">
        <v>31</v>
      </c>
      <c r="B1" s="4" t="s">
        <v>32</v>
      </c>
    </row>
    <row r="2" spans="1:11" x14ac:dyDescent="0.2">
      <c r="A2" s="3">
        <v>20.5</v>
      </c>
      <c r="B2" s="3">
        <v>20.7</v>
      </c>
      <c r="D2" s="39" t="s">
        <v>49</v>
      </c>
      <c r="E2" s="39"/>
      <c r="F2" s="39"/>
      <c r="G2" s="39"/>
      <c r="H2" s="39"/>
      <c r="I2" s="39"/>
    </row>
    <row r="3" spans="1:11" x14ac:dyDescent="0.2">
      <c r="A3" s="3">
        <v>19.8</v>
      </c>
      <c r="B3" s="3">
        <v>19.8</v>
      </c>
      <c r="D3" s="5" t="s">
        <v>44</v>
      </c>
      <c r="E3" s="5">
        <f>AVERAGE(A:A)</f>
        <v>19.925000000000001</v>
      </c>
      <c r="F3" s="5" t="s">
        <v>42</v>
      </c>
      <c r="G3" s="5">
        <f>(_xlfn.STDEV.S(A:A))^2</f>
        <v>0.19548387096774195</v>
      </c>
      <c r="H3" s="5" t="s">
        <v>39</v>
      </c>
      <c r="I3" s="5">
        <f>COUNTA(A:A)-1</f>
        <v>32</v>
      </c>
    </row>
    <row r="4" spans="1:11" x14ac:dyDescent="0.2">
      <c r="A4" s="3">
        <v>19.7</v>
      </c>
      <c r="B4" s="3">
        <v>19.5</v>
      </c>
      <c r="D4" s="5" t="s">
        <v>45</v>
      </c>
      <c r="E4" s="5">
        <f>AVERAGE(B:B)</f>
        <v>20.137777777777782</v>
      </c>
      <c r="F4" s="5" t="s">
        <v>43</v>
      </c>
      <c r="G4" s="5">
        <f>(_xlfn.STDEV.S(B:B))^2</f>
        <v>0.23149494949494906</v>
      </c>
      <c r="H4" s="5" t="s">
        <v>46</v>
      </c>
      <c r="I4" s="5">
        <f>COUNTA(B:B)-1</f>
        <v>45</v>
      </c>
    </row>
    <row r="5" spans="1:11" x14ac:dyDescent="0.2">
      <c r="A5" s="3">
        <v>20.399999999999999</v>
      </c>
      <c r="B5" s="3">
        <v>20.8</v>
      </c>
    </row>
    <row r="6" spans="1:11" x14ac:dyDescent="0.2">
      <c r="A6" s="3">
        <v>20.100000000000001</v>
      </c>
      <c r="B6" s="3">
        <v>20.399999999999999</v>
      </c>
      <c r="K6" t="s">
        <v>52</v>
      </c>
    </row>
    <row r="7" spans="1:11" ht="15" thickBot="1" x14ac:dyDescent="0.25">
      <c r="A7" s="3">
        <v>20</v>
      </c>
      <c r="B7" s="3">
        <v>19.600000000000001</v>
      </c>
      <c r="K7" t="s">
        <v>51</v>
      </c>
    </row>
    <row r="8" spans="1:11" x14ac:dyDescent="0.2">
      <c r="A8" s="3">
        <v>19</v>
      </c>
      <c r="B8" s="3">
        <v>20.2</v>
      </c>
      <c r="D8" s="42" t="s">
        <v>66</v>
      </c>
      <c r="E8" s="43"/>
      <c r="F8" s="43"/>
      <c r="G8" s="43"/>
      <c r="H8" s="43"/>
      <c r="I8" s="44"/>
    </row>
    <row r="9" spans="1:11" x14ac:dyDescent="0.2">
      <c r="A9" s="3">
        <v>19.899999999999999</v>
      </c>
      <c r="B9" s="3">
        <v>20.7</v>
      </c>
      <c r="D9" s="40" t="s">
        <v>50</v>
      </c>
      <c r="E9" s="39"/>
      <c r="F9" s="39"/>
      <c r="G9" s="39"/>
      <c r="H9" s="39"/>
      <c r="I9" s="41"/>
    </row>
    <row r="10" spans="1:11" x14ac:dyDescent="0.2">
      <c r="A10" s="3">
        <v>20.5</v>
      </c>
      <c r="B10" s="3">
        <v>19.8</v>
      </c>
      <c r="D10" s="11" t="s">
        <v>44</v>
      </c>
      <c r="E10" s="6">
        <v>19.925000000000001</v>
      </c>
      <c r="F10" s="5" t="s">
        <v>42</v>
      </c>
      <c r="G10" s="6">
        <v>0.19548387096774195</v>
      </c>
      <c r="H10" s="5" t="s">
        <v>39</v>
      </c>
      <c r="I10" s="12">
        <v>32</v>
      </c>
    </row>
    <row r="11" spans="1:11" x14ac:dyDescent="0.2">
      <c r="A11" s="3">
        <v>19.8</v>
      </c>
      <c r="B11" s="3">
        <v>19.5</v>
      </c>
      <c r="D11" s="11" t="s">
        <v>45</v>
      </c>
      <c r="E11" s="6">
        <v>20.142857142857146</v>
      </c>
      <c r="F11" s="5" t="s">
        <v>43</v>
      </c>
      <c r="G11" s="6">
        <v>0.24075630252100796</v>
      </c>
      <c r="H11" s="5" t="s">
        <v>46</v>
      </c>
      <c r="I11" s="12">
        <v>45</v>
      </c>
    </row>
    <row r="12" spans="1:11" x14ac:dyDescent="0.2">
      <c r="A12" s="3">
        <v>19.7</v>
      </c>
      <c r="B12" s="3">
        <v>20.8</v>
      </c>
      <c r="D12" s="13"/>
      <c r="E12" s="14"/>
      <c r="F12" s="14"/>
      <c r="G12" s="14"/>
      <c r="H12" s="14"/>
      <c r="I12" s="15"/>
    </row>
    <row r="13" spans="1:11" x14ac:dyDescent="0.2">
      <c r="A13" s="3">
        <v>20.399999999999999</v>
      </c>
      <c r="B13" s="3">
        <v>20.399999999999999</v>
      </c>
      <c r="D13" s="13"/>
      <c r="E13" s="14"/>
      <c r="F13" s="14"/>
      <c r="G13" s="14"/>
      <c r="H13" s="14"/>
      <c r="I13" s="15"/>
    </row>
    <row r="14" spans="1:11" x14ac:dyDescent="0.2">
      <c r="A14" s="3">
        <v>20.100000000000001</v>
      </c>
      <c r="B14" s="3">
        <v>19.600000000000001</v>
      </c>
      <c r="D14" s="11" t="s">
        <v>47</v>
      </c>
      <c r="E14" s="5">
        <f>(E10-E11)/SQRT(G10/I10+G11/I11)</f>
        <v>-2.0351584856008493</v>
      </c>
      <c r="F14" s="14"/>
      <c r="G14" s="14"/>
      <c r="H14" s="14"/>
      <c r="I14" s="15"/>
    </row>
    <row r="15" spans="1:11" x14ac:dyDescent="0.2">
      <c r="A15" s="3">
        <v>20</v>
      </c>
      <c r="B15" s="3">
        <v>20.2</v>
      </c>
      <c r="D15" s="11" t="s">
        <v>48</v>
      </c>
      <c r="E15" s="24">
        <f>(1-NORMSDIST(ABS(E14)))*2</f>
        <v>4.1834928724554743E-2</v>
      </c>
      <c r="F15" s="14"/>
      <c r="G15" s="14"/>
      <c r="H15" s="14"/>
      <c r="I15" s="15"/>
    </row>
    <row r="16" spans="1:11" x14ac:dyDescent="0.2">
      <c r="A16" s="3">
        <v>19</v>
      </c>
      <c r="B16" s="3">
        <v>20.7</v>
      </c>
      <c r="D16" s="13"/>
      <c r="E16" s="14"/>
      <c r="F16" s="14"/>
      <c r="G16" s="14"/>
      <c r="H16" s="14"/>
      <c r="I16" s="15"/>
    </row>
    <row r="17" spans="1:9" x14ac:dyDescent="0.2">
      <c r="A17" s="3">
        <v>19.899999999999999</v>
      </c>
      <c r="B17" s="3">
        <v>19.8</v>
      </c>
      <c r="D17" s="11" t="s">
        <v>41</v>
      </c>
      <c r="E17" s="24" t="str">
        <f>IF(E15&lt;0.05,"显著","不显著")</f>
        <v>显著</v>
      </c>
      <c r="F17" s="14"/>
      <c r="G17" s="14"/>
      <c r="H17" s="14"/>
      <c r="I17" s="15"/>
    </row>
    <row r="18" spans="1:9" ht="15" thickBot="1" x14ac:dyDescent="0.25">
      <c r="A18" s="3">
        <v>20.5</v>
      </c>
      <c r="B18" s="3">
        <v>19.5</v>
      </c>
      <c r="D18" s="16"/>
      <c r="E18" s="17"/>
      <c r="F18" s="17"/>
      <c r="G18" s="17"/>
      <c r="H18" s="17"/>
      <c r="I18" s="18"/>
    </row>
    <row r="19" spans="1:9" x14ac:dyDescent="0.2">
      <c r="A19" s="3">
        <v>19.8</v>
      </c>
      <c r="B19" s="3">
        <v>20.8</v>
      </c>
    </row>
    <row r="20" spans="1:9" x14ac:dyDescent="0.2">
      <c r="A20" s="3">
        <v>19.7</v>
      </c>
      <c r="B20" s="3">
        <v>20.399999999999999</v>
      </c>
    </row>
    <row r="21" spans="1:9" ht="15" thickBot="1" x14ac:dyDescent="0.25">
      <c r="A21" s="3">
        <v>20.399999999999999</v>
      </c>
      <c r="B21" s="3">
        <v>19.600000000000001</v>
      </c>
    </row>
    <row r="22" spans="1:9" x14ac:dyDescent="0.2">
      <c r="A22" s="3">
        <v>20.100000000000001</v>
      </c>
      <c r="B22" s="3">
        <v>20.2</v>
      </c>
      <c r="D22" s="42" t="s">
        <v>69</v>
      </c>
      <c r="E22" s="43"/>
      <c r="F22" s="43"/>
      <c r="G22" s="44"/>
    </row>
    <row r="23" spans="1:9" x14ac:dyDescent="0.2">
      <c r="A23" s="3">
        <v>20</v>
      </c>
      <c r="B23" s="3">
        <v>20.7</v>
      </c>
      <c r="D23" s="11" t="s">
        <v>67</v>
      </c>
      <c r="E23" s="6">
        <v>0.3</v>
      </c>
      <c r="F23" s="5" t="s">
        <v>39</v>
      </c>
      <c r="G23" s="12">
        <v>100</v>
      </c>
    </row>
    <row r="24" spans="1:9" x14ac:dyDescent="0.2">
      <c r="A24" s="3">
        <v>19</v>
      </c>
      <c r="B24" s="3">
        <v>19.8</v>
      </c>
      <c r="D24" s="11" t="s">
        <v>68</v>
      </c>
      <c r="E24" s="6">
        <v>0.5</v>
      </c>
      <c r="F24" s="5" t="s">
        <v>40</v>
      </c>
      <c r="G24" s="12">
        <v>100</v>
      </c>
    </row>
    <row r="25" spans="1:9" x14ac:dyDescent="0.2">
      <c r="A25" s="3">
        <v>19.899999999999999</v>
      </c>
      <c r="B25" s="3">
        <v>19.5</v>
      </c>
      <c r="D25" s="13"/>
      <c r="E25" s="14"/>
      <c r="F25" s="14"/>
      <c r="G25" s="15"/>
    </row>
    <row r="26" spans="1:9" x14ac:dyDescent="0.2">
      <c r="A26" s="3">
        <v>20.5</v>
      </c>
      <c r="B26" s="3">
        <v>20.8</v>
      </c>
      <c r="D26" s="11" t="s">
        <v>47</v>
      </c>
      <c r="E26" s="5">
        <f>(E23-E24)/SQRT((E23*(1-E23)/G23)+(E24*(1-E24)/G24))</f>
        <v>-2.9488391230979429</v>
      </c>
      <c r="F26" s="14"/>
      <c r="G26" s="15"/>
    </row>
    <row r="27" spans="1:9" x14ac:dyDescent="0.2">
      <c r="A27" s="3">
        <v>19.8</v>
      </c>
      <c r="B27" s="3">
        <v>20.399999999999999</v>
      </c>
      <c r="D27" s="11" t="s">
        <v>48</v>
      </c>
      <c r="E27" s="24">
        <f>(1-NORMSDIST(ABS(E26)))*2</f>
        <v>3.1896997062168531E-3</v>
      </c>
      <c r="F27" s="14"/>
      <c r="G27" s="15"/>
    </row>
    <row r="28" spans="1:9" x14ac:dyDescent="0.2">
      <c r="A28" s="3">
        <v>19.7</v>
      </c>
      <c r="B28" s="3">
        <v>19.600000000000001</v>
      </c>
      <c r="D28" s="13"/>
      <c r="E28" s="14"/>
      <c r="F28" s="14"/>
      <c r="G28" s="15"/>
    </row>
    <row r="29" spans="1:9" x14ac:dyDescent="0.2">
      <c r="A29" s="3">
        <v>20.399999999999999</v>
      </c>
      <c r="B29" s="3">
        <v>20.2</v>
      </c>
      <c r="D29" s="11" t="s">
        <v>41</v>
      </c>
      <c r="E29" s="24" t="str">
        <f>IF(E27&lt;0.05,"显著","不显著")</f>
        <v>显著</v>
      </c>
      <c r="F29" s="14"/>
      <c r="G29" s="15"/>
    </row>
    <row r="30" spans="1:9" ht="15" thickBot="1" x14ac:dyDescent="0.25">
      <c r="A30" s="3">
        <v>20.100000000000001</v>
      </c>
      <c r="B30" s="3">
        <v>20.7</v>
      </c>
      <c r="D30" s="16"/>
      <c r="E30" s="17"/>
      <c r="F30" s="17"/>
      <c r="G30" s="18"/>
    </row>
    <row r="31" spans="1:9" x14ac:dyDescent="0.2">
      <c r="A31" s="3">
        <v>20</v>
      </c>
      <c r="B31" s="3">
        <v>19.8</v>
      </c>
    </row>
    <row r="32" spans="1:9" x14ac:dyDescent="0.2">
      <c r="A32" s="3">
        <v>19</v>
      </c>
      <c r="B32" s="3">
        <v>19.5</v>
      </c>
    </row>
    <row r="33" spans="1:2" x14ac:dyDescent="0.2">
      <c r="A33" s="3">
        <v>19.899999999999999</v>
      </c>
      <c r="B33" s="3">
        <v>20.8</v>
      </c>
    </row>
    <row r="34" spans="1:2" x14ac:dyDescent="0.2">
      <c r="B34" s="3">
        <v>20.399999999999999</v>
      </c>
    </row>
    <row r="35" spans="1:2" x14ac:dyDescent="0.2">
      <c r="B35" s="3">
        <v>19.600000000000001</v>
      </c>
    </row>
    <row r="36" spans="1:2" x14ac:dyDescent="0.2">
      <c r="B36" s="3">
        <v>20.2</v>
      </c>
    </row>
    <row r="37" spans="1:2" x14ac:dyDescent="0.2">
      <c r="B37" s="3">
        <v>20.399999999999999</v>
      </c>
    </row>
    <row r="38" spans="1:2" x14ac:dyDescent="0.2">
      <c r="B38" s="3">
        <v>19.600000000000001</v>
      </c>
    </row>
    <row r="39" spans="1:2" x14ac:dyDescent="0.2">
      <c r="B39" s="3">
        <v>20.2</v>
      </c>
    </row>
    <row r="40" spans="1:2" x14ac:dyDescent="0.2">
      <c r="B40" s="3">
        <v>20.7</v>
      </c>
    </row>
    <row r="41" spans="1:2" x14ac:dyDescent="0.2">
      <c r="B41" s="3">
        <v>19.8</v>
      </c>
    </row>
    <row r="42" spans="1:2" x14ac:dyDescent="0.2">
      <c r="B42" s="3">
        <v>19.5</v>
      </c>
    </row>
    <row r="43" spans="1:2" x14ac:dyDescent="0.2">
      <c r="B43" s="3">
        <v>20.8</v>
      </c>
    </row>
    <row r="44" spans="1:2" x14ac:dyDescent="0.2">
      <c r="B44" s="3">
        <v>20.399999999999999</v>
      </c>
    </row>
    <row r="45" spans="1:2" x14ac:dyDescent="0.2">
      <c r="B45" s="3">
        <v>19.600000000000001</v>
      </c>
    </row>
    <row r="46" spans="1:2" x14ac:dyDescent="0.2">
      <c r="B46" s="3">
        <v>20.2</v>
      </c>
    </row>
  </sheetData>
  <mergeCells count="4">
    <mergeCell ref="D2:I2"/>
    <mergeCell ref="D9:I9"/>
    <mergeCell ref="D8:I8"/>
    <mergeCell ref="D22:G2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K18" sqref="K18"/>
    </sheetView>
  </sheetViews>
  <sheetFormatPr defaultRowHeight="14.25" x14ac:dyDescent="0.2"/>
  <cols>
    <col min="1" max="2" width="9" style="3"/>
    <col min="4" max="4" width="13.5" customWidth="1"/>
    <col min="13" max="13" width="19.5" customWidth="1"/>
  </cols>
  <sheetData>
    <row r="1" spans="1:18" x14ac:dyDescent="0.2">
      <c r="A1" s="7" t="s">
        <v>31</v>
      </c>
      <c r="B1" s="7" t="s">
        <v>32</v>
      </c>
    </row>
    <row r="2" spans="1:18" ht="15" thickBot="1" x14ac:dyDescent="0.25">
      <c r="A2" s="3">
        <v>169.70815603529198</v>
      </c>
      <c r="B2" s="3">
        <v>170.80815603529197</v>
      </c>
    </row>
    <row r="3" spans="1:18" x14ac:dyDescent="0.2">
      <c r="A3" s="3">
        <v>175.2157001227919</v>
      </c>
      <c r="B3" s="3">
        <v>176.3157001227919</v>
      </c>
      <c r="D3" s="42" t="s">
        <v>74</v>
      </c>
      <c r="E3" s="43"/>
      <c r="F3" s="43"/>
      <c r="G3" s="43"/>
      <c r="H3" s="43"/>
      <c r="I3" s="44"/>
    </row>
    <row r="4" spans="1:18" x14ac:dyDescent="0.2">
      <c r="A4" s="3">
        <v>174.02677116621442</v>
      </c>
      <c r="B4" s="3">
        <v>175.12677116621441</v>
      </c>
      <c r="D4" s="20" t="s">
        <v>34</v>
      </c>
      <c r="E4" s="8">
        <f>AVERAGE(A:A)</f>
        <v>171.90002456729792</v>
      </c>
      <c r="F4" s="8" t="s">
        <v>37</v>
      </c>
      <c r="G4" s="8">
        <f>(_xlfn.STDEV.S(A:A))^2</f>
        <v>24.649099841494621</v>
      </c>
      <c r="H4" s="8" t="s">
        <v>39</v>
      </c>
      <c r="I4" s="21">
        <f>COUNTA(A:A)-1</f>
        <v>100</v>
      </c>
      <c r="M4" t="s">
        <v>54</v>
      </c>
    </row>
    <row r="5" spans="1:18" x14ac:dyDescent="0.2">
      <c r="A5" s="3">
        <v>168.5242763380115</v>
      </c>
      <c r="B5" s="3">
        <v>169.6242763380115</v>
      </c>
      <c r="D5" s="20" t="s">
        <v>35</v>
      </c>
      <c r="E5" s="8">
        <f>AVERAGE(B:B)</f>
        <v>173.0000245672978</v>
      </c>
      <c r="F5" s="8" t="s">
        <v>36</v>
      </c>
      <c r="G5" s="8">
        <f>(_xlfn.STDEV.S(B:B))^2</f>
        <v>24.649099841494621</v>
      </c>
      <c r="H5" s="8" t="s">
        <v>40</v>
      </c>
      <c r="I5" s="21">
        <f>COUNTA(B:B)-1</f>
        <v>100</v>
      </c>
      <c r="M5" t="s">
        <v>53</v>
      </c>
    </row>
    <row r="6" spans="1:18" x14ac:dyDescent="0.2">
      <c r="A6" s="3">
        <v>168.87517132650936</v>
      </c>
      <c r="B6" s="3">
        <v>169.97517132650935</v>
      </c>
      <c r="D6" s="13"/>
      <c r="E6" s="9"/>
      <c r="F6" s="9"/>
      <c r="G6" s="9"/>
      <c r="H6" s="9"/>
      <c r="I6" s="22"/>
      <c r="M6" t="s">
        <v>56</v>
      </c>
    </row>
    <row r="7" spans="1:18" x14ac:dyDescent="0.2">
      <c r="A7" s="3">
        <v>175.9796555487207</v>
      </c>
      <c r="B7" s="3">
        <v>177.07965554872069</v>
      </c>
      <c r="D7" s="20" t="s">
        <v>33</v>
      </c>
      <c r="E7" s="24">
        <f>TTEST(A:A,B:B,2,2)</f>
        <v>0.11878893849890354</v>
      </c>
      <c r="F7" s="10" t="s">
        <v>41</v>
      </c>
      <c r="G7" s="24" t="str">
        <f>IF(E7&lt;0.05,"显著","不显著")</f>
        <v>不显著</v>
      </c>
      <c r="H7" s="14"/>
      <c r="I7" s="15"/>
      <c r="M7" t="s">
        <v>71</v>
      </c>
    </row>
    <row r="8" spans="1:18" ht="15" thickBot="1" x14ac:dyDescent="0.25">
      <c r="A8" s="3">
        <v>168.8483815799373</v>
      </c>
      <c r="B8" s="3">
        <v>169.94838157993729</v>
      </c>
      <c r="D8" s="16"/>
      <c r="E8" s="17"/>
      <c r="F8" s="17"/>
      <c r="G8" s="17"/>
      <c r="H8" s="17"/>
      <c r="I8" s="18"/>
      <c r="M8" t="s">
        <v>70</v>
      </c>
    </row>
    <row r="9" spans="1:18" ht="15" thickBot="1" x14ac:dyDescent="0.25">
      <c r="A9" s="3">
        <v>168.03158493509221</v>
      </c>
      <c r="B9" s="3">
        <v>169.13158493509218</v>
      </c>
    </row>
    <row r="10" spans="1:18" x14ac:dyDescent="0.2">
      <c r="A10" s="3">
        <v>166.35935859596344</v>
      </c>
      <c r="B10" s="3">
        <v>167.45935859596344</v>
      </c>
      <c r="D10" s="42" t="s">
        <v>73</v>
      </c>
      <c r="E10" s="43"/>
      <c r="F10" s="43"/>
      <c r="G10" s="43"/>
      <c r="H10" s="43"/>
      <c r="I10" s="44"/>
    </row>
    <row r="11" spans="1:18" x14ac:dyDescent="0.2">
      <c r="A11" s="3">
        <v>172.70030431116436</v>
      </c>
      <c r="B11" s="3">
        <v>173.80030431116435</v>
      </c>
      <c r="D11" s="11" t="s">
        <v>57</v>
      </c>
      <c r="E11" s="6">
        <v>172</v>
      </c>
      <c r="F11" s="5" t="s">
        <v>58</v>
      </c>
      <c r="G11" s="6">
        <v>25</v>
      </c>
      <c r="H11" s="5" t="s">
        <v>59</v>
      </c>
      <c r="I11" s="12">
        <v>100</v>
      </c>
    </row>
    <row r="12" spans="1:18" x14ac:dyDescent="0.2">
      <c r="A12" s="3">
        <v>162.77627277409982</v>
      </c>
      <c r="B12" s="3">
        <v>163.87627277409985</v>
      </c>
      <c r="D12" s="11" t="s">
        <v>60</v>
      </c>
      <c r="E12" s="6">
        <v>171</v>
      </c>
      <c r="F12" s="5" t="s">
        <v>61</v>
      </c>
      <c r="G12" s="6">
        <v>25</v>
      </c>
      <c r="H12" s="5" t="s">
        <v>62</v>
      </c>
      <c r="I12" s="12">
        <v>100</v>
      </c>
    </row>
    <row r="13" spans="1:18" x14ac:dyDescent="0.2">
      <c r="A13" s="3">
        <v>185.82417368690474</v>
      </c>
      <c r="B13" s="3">
        <v>186.92417368690474</v>
      </c>
      <c r="D13" s="20" t="s">
        <v>63</v>
      </c>
      <c r="E13" s="5">
        <f>((I11-1)*G11+(I12-1)*G12)/(I11+I12-2)</f>
        <v>25</v>
      </c>
      <c r="F13" s="14"/>
      <c r="G13" s="14"/>
      <c r="H13" s="14"/>
      <c r="I13" s="15"/>
      <c r="O13" s="14"/>
      <c r="P13" s="14"/>
      <c r="Q13" s="14"/>
      <c r="R13" s="14"/>
    </row>
    <row r="14" spans="1:18" x14ac:dyDescent="0.2">
      <c r="A14" s="3">
        <v>169.84787668802304</v>
      </c>
      <c r="B14" s="3">
        <v>170.94787668802303</v>
      </c>
      <c r="D14" s="20" t="s">
        <v>38</v>
      </c>
      <c r="E14" s="5">
        <f>ABS((E11-E12)/SQRT(E13/I11+E13/I12))</f>
        <v>1.4142135623730949</v>
      </c>
      <c r="F14" s="14"/>
      <c r="G14" s="14"/>
      <c r="H14" s="14"/>
      <c r="I14" s="15"/>
      <c r="O14" s="14"/>
      <c r="P14" s="14"/>
      <c r="Q14" s="14"/>
      <c r="R14" s="14"/>
    </row>
    <row r="15" spans="1:18" x14ac:dyDescent="0.2">
      <c r="A15" s="3">
        <v>169.16388985360354</v>
      </c>
      <c r="B15" s="3">
        <v>170.26388985360353</v>
      </c>
      <c r="D15" s="20" t="s">
        <v>55</v>
      </c>
      <c r="E15" s="5">
        <f>I11+I12-2</f>
        <v>198</v>
      </c>
      <c r="F15" s="14"/>
      <c r="G15" s="14"/>
      <c r="H15" s="14"/>
      <c r="I15" s="15"/>
      <c r="O15" s="14"/>
      <c r="P15" s="14"/>
      <c r="Q15" s="14"/>
      <c r="R15" s="14"/>
    </row>
    <row r="16" spans="1:18" x14ac:dyDescent="0.2">
      <c r="A16" s="3">
        <v>168.20350644781547</v>
      </c>
      <c r="B16" s="3">
        <v>169.30350644781547</v>
      </c>
      <c r="D16" s="20" t="s">
        <v>33</v>
      </c>
      <c r="E16" s="24">
        <f>TDIST(E14,E15,2)</f>
        <v>0.15886970489441138</v>
      </c>
      <c r="F16" s="10" t="s">
        <v>41</v>
      </c>
      <c r="G16" s="24" t="str">
        <f>IF(E16&lt;0.05,"显著","不显著")</f>
        <v>不显著</v>
      </c>
      <c r="H16" s="14"/>
      <c r="I16" s="15"/>
      <c r="O16" s="14"/>
      <c r="P16" s="14"/>
      <c r="Q16" s="14"/>
      <c r="R16" s="14"/>
    </row>
    <row r="17" spans="1:18" x14ac:dyDescent="0.2">
      <c r="A17" s="3">
        <v>176.29379728646339</v>
      </c>
      <c r="B17" s="3">
        <v>177.39379728646338</v>
      </c>
      <c r="D17" s="20" t="s">
        <v>72</v>
      </c>
      <c r="E17" s="5">
        <f>SQRT(E13*(1/I11+1/I12))</f>
        <v>0.70710678118654757</v>
      </c>
      <c r="F17" s="19"/>
      <c r="G17" s="19"/>
      <c r="H17" s="14"/>
      <c r="I17" s="15"/>
      <c r="O17" s="14"/>
      <c r="P17" s="14"/>
      <c r="Q17" s="14"/>
      <c r="R17" s="14"/>
    </row>
    <row r="18" spans="1:18" x14ac:dyDescent="0.2">
      <c r="A18" s="3">
        <v>177.85460763576594</v>
      </c>
      <c r="B18" s="3">
        <v>178.95460763576594</v>
      </c>
      <c r="D18" s="20" t="s">
        <v>64</v>
      </c>
      <c r="E18" s="6">
        <v>0.95</v>
      </c>
      <c r="F18" s="5" t="s">
        <v>65</v>
      </c>
      <c r="G18" s="5">
        <f>TINV(1-E18,E15)</f>
        <v>1.9720174778363073</v>
      </c>
      <c r="H18" s="14"/>
      <c r="I18" s="15"/>
      <c r="O18" s="14"/>
      <c r="P18" s="14"/>
      <c r="Q18" s="14"/>
      <c r="R18" s="14"/>
    </row>
    <row r="19" spans="1:18" ht="15" thickBot="1" x14ac:dyDescent="0.25">
      <c r="A19" s="3">
        <v>163.66690037194189</v>
      </c>
      <c r="B19" s="3">
        <v>164.76690037194189</v>
      </c>
      <c r="D19" s="25" t="s">
        <v>75</v>
      </c>
      <c r="E19" s="26">
        <f>E11-E12-E17*G18</f>
        <v>-0.39442693119644523</v>
      </c>
      <c r="F19" s="26">
        <f>E11-E12+E17*G18</f>
        <v>2.3944269311964455</v>
      </c>
      <c r="G19" s="27"/>
      <c r="H19" s="17"/>
      <c r="I19" s="18"/>
      <c r="O19" s="14"/>
      <c r="P19" s="28"/>
      <c r="Q19" s="28"/>
      <c r="R19" s="28"/>
    </row>
    <row r="20" spans="1:18" x14ac:dyDescent="0.2">
      <c r="A20" s="3">
        <v>181.94171971536468</v>
      </c>
      <c r="B20" s="3">
        <v>183.04171971536468</v>
      </c>
      <c r="D20" s="14"/>
      <c r="E20" s="14"/>
      <c r="F20" s="14"/>
      <c r="G20" s="14"/>
      <c r="H20" s="14"/>
      <c r="I20" s="14"/>
      <c r="J20" s="14"/>
      <c r="O20" s="14"/>
      <c r="P20" s="23"/>
      <c r="Q20" s="23"/>
      <c r="R20" s="23"/>
    </row>
    <row r="21" spans="1:18" x14ac:dyDescent="0.2">
      <c r="A21" s="3">
        <v>181.55825268140816</v>
      </c>
      <c r="B21" s="3">
        <v>182.65825268140816</v>
      </c>
      <c r="D21" s="14"/>
      <c r="E21" s="14"/>
      <c r="F21" s="14"/>
      <c r="G21" s="14"/>
      <c r="H21" s="14"/>
      <c r="I21" s="14"/>
      <c r="J21" s="14"/>
      <c r="O21" s="14"/>
      <c r="P21" s="23"/>
      <c r="Q21" s="23"/>
      <c r="R21" s="23"/>
    </row>
    <row r="22" spans="1:18" x14ac:dyDescent="0.2">
      <c r="A22" s="3">
        <v>172.37247328831543</v>
      </c>
      <c r="B22" s="3">
        <v>173.47247328831543</v>
      </c>
      <c r="D22" s="14"/>
      <c r="E22" s="14"/>
      <c r="F22" s="14"/>
      <c r="G22" s="14"/>
      <c r="H22" s="14"/>
      <c r="I22" s="14"/>
      <c r="J22" s="14"/>
      <c r="O22" s="14"/>
      <c r="P22" s="23"/>
      <c r="Q22" s="23"/>
      <c r="R22" s="23"/>
    </row>
    <row r="23" spans="1:18" x14ac:dyDescent="0.2">
      <c r="A23" s="3">
        <v>176.88711607694916</v>
      </c>
      <c r="B23" s="3">
        <v>177.98711607694915</v>
      </c>
      <c r="D23" s="14"/>
      <c r="E23" s="14"/>
      <c r="F23" s="14"/>
      <c r="G23" s="14"/>
      <c r="H23" s="14"/>
      <c r="I23" s="14"/>
      <c r="J23" s="14"/>
      <c r="O23" s="14"/>
      <c r="P23" s="23"/>
      <c r="Q23" s="23"/>
      <c r="R23" s="23"/>
    </row>
    <row r="24" spans="1:18" x14ac:dyDescent="0.2">
      <c r="A24" s="3">
        <v>175.18486289784565</v>
      </c>
      <c r="B24" s="3">
        <v>176.28486289784564</v>
      </c>
      <c r="D24" s="14"/>
      <c r="E24" s="14"/>
      <c r="F24" s="14"/>
      <c r="G24" s="14"/>
      <c r="H24" s="14"/>
      <c r="I24" s="14"/>
      <c r="J24" s="14"/>
      <c r="O24" s="14"/>
      <c r="P24" s="23"/>
      <c r="Q24" s="23"/>
      <c r="R24" s="23"/>
    </row>
    <row r="25" spans="1:18" x14ac:dyDescent="0.2">
      <c r="A25" s="3">
        <v>175.14856247369926</v>
      </c>
      <c r="B25" s="3">
        <v>176.24856247369925</v>
      </c>
      <c r="D25" s="14"/>
      <c r="E25" s="14"/>
      <c r="F25" s="14"/>
      <c r="G25" s="14"/>
      <c r="H25" s="14"/>
      <c r="I25" s="14"/>
      <c r="J25" s="14"/>
      <c r="O25" s="14"/>
      <c r="P25" s="23"/>
      <c r="Q25" s="23"/>
      <c r="R25" s="23"/>
    </row>
    <row r="26" spans="1:18" x14ac:dyDescent="0.2">
      <c r="A26" s="3">
        <v>175.5218343680034</v>
      </c>
      <c r="B26" s="3">
        <v>176.62183436800339</v>
      </c>
      <c r="D26" s="14"/>
      <c r="E26" s="14"/>
      <c r="F26" s="14"/>
      <c r="G26" s="14"/>
      <c r="H26" s="14"/>
      <c r="I26" s="14"/>
      <c r="J26" s="14"/>
      <c r="O26" s="14"/>
      <c r="P26" s="23"/>
      <c r="Q26" s="23"/>
      <c r="R26" s="23"/>
    </row>
    <row r="27" spans="1:18" x14ac:dyDescent="0.2">
      <c r="A27" s="3">
        <v>170.09897275206777</v>
      </c>
      <c r="B27" s="3">
        <v>171.19897275206776</v>
      </c>
      <c r="O27" s="14"/>
      <c r="P27" s="23"/>
      <c r="Q27" s="23"/>
      <c r="R27" s="23"/>
    </row>
    <row r="28" spans="1:18" x14ac:dyDescent="0.2">
      <c r="A28" s="3">
        <v>172.19910578417972</v>
      </c>
      <c r="B28" s="3">
        <v>173.29910578417972</v>
      </c>
      <c r="O28" s="14"/>
      <c r="P28" s="23"/>
      <c r="Q28" s="23"/>
      <c r="R28" s="23"/>
    </row>
    <row r="29" spans="1:18" x14ac:dyDescent="0.2">
      <c r="A29" s="3">
        <v>173.51024785229447</v>
      </c>
      <c r="B29" s="3">
        <v>174.61024785229446</v>
      </c>
      <c r="O29" s="14"/>
      <c r="P29" s="23"/>
      <c r="Q29" s="23"/>
      <c r="R29" s="23"/>
    </row>
    <row r="30" spans="1:18" x14ac:dyDescent="0.2">
      <c r="A30" s="3">
        <v>168.04156646155468</v>
      </c>
      <c r="B30" s="3">
        <v>169.14156646155467</v>
      </c>
      <c r="O30" s="14"/>
      <c r="P30" s="23"/>
      <c r="Q30" s="23"/>
      <c r="R30" s="23"/>
    </row>
    <row r="31" spans="1:18" x14ac:dyDescent="0.2">
      <c r="A31" s="3">
        <v>171.46270345671292</v>
      </c>
      <c r="B31" s="3">
        <v>172.56270345671291</v>
      </c>
      <c r="O31" s="14"/>
      <c r="P31" s="14"/>
      <c r="Q31" s="14"/>
      <c r="R31" s="14"/>
    </row>
    <row r="32" spans="1:18" x14ac:dyDescent="0.2">
      <c r="A32" s="3">
        <v>171.40837894012711</v>
      </c>
      <c r="B32" s="3">
        <v>172.5083789401271</v>
      </c>
      <c r="O32" s="14"/>
      <c r="P32" s="14"/>
      <c r="Q32" s="14"/>
      <c r="R32" s="14"/>
    </row>
    <row r="33" spans="1:2" x14ac:dyDescent="0.2">
      <c r="A33" s="3">
        <v>172.66118665786595</v>
      </c>
      <c r="B33" s="3">
        <v>173.76118665786595</v>
      </c>
    </row>
    <row r="34" spans="1:2" x14ac:dyDescent="0.2">
      <c r="A34" s="3">
        <v>170.54584937393818</v>
      </c>
      <c r="B34" s="3">
        <v>171.64584937393818</v>
      </c>
    </row>
    <row r="35" spans="1:2" x14ac:dyDescent="0.2">
      <c r="A35" s="3">
        <v>172.306524583341</v>
      </c>
      <c r="B35" s="3">
        <v>173.406524583341</v>
      </c>
    </row>
    <row r="36" spans="1:2" x14ac:dyDescent="0.2">
      <c r="A36" s="3">
        <v>180.3767096667838</v>
      </c>
      <c r="B36" s="3">
        <v>181.47670966678379</v>
      </c>
    </row>
    <row r="37" spans="1:2" x14ac:dyDescent="0.2">
      <c r="A37" s="3">
        <v>176.64239636174489</v>
      </c>
      <c r="B37" s="3">
        <v>177.74239636174488</v>
      </c>
    </row>
    <row r="38" spans="1:2" x14ac:dyDescent="0.2">
      <c r="A38" s="3">
        <v>167.63995490985113</v>
      </c>
      <c r="B38" s="3">
        <v>168.73995490985112</v>
      </c>
    </row>
    <row r="39" spans="1:2" x14ac:dyDescent="0.2">
      <c r="A39" s="3">
        <v>171.16168246722989</v>
      </c>
      <c r="B39" s="3">
        <v>172.26168246722989</v>
      </c>
    </row>
    <row r="40" spans="1:2" x14ac:dyDescent="0.2">
      <c r="A40" s="3">
        <v>169.37657617854654</v>
      </c>
      <c r="B40" s="3">
        <v>170.47657617854654</v>
      </c>
    </row>
    <row r="41" spans="1:2" x14ac:dyDescent="0.2">
      <c r="A41" s="3">
        <v>176.56443970644716</v>
      </c>
      <c r="B41" s="3">
        <v>177.66443970644715</v>
      </c>
    </row>
    <row r="42" spans="1:2" x14ac:dyDescent="0.2">
      <c r="A42" s="3">
        <v>172.31069360815965</v>
      </c>
      <c r="B42" s="3">
        <v>173.41069360815965</v>
      </c>
    </row>
    <row r="43" spans="1:2" x14ac:dyDescent="0.2">
      <c r="A43" s="3">
        <v>176.38108504358306</v>
      </c>
      <c r="B43" s="3">
        <v>177.48108504358305</v>
      </c>
    </row>
    <row r="44" spans="1:2" x14ac:dyDescent="0.2">
      <c r="A44" s="3">
        <v>170.50866774451183</v>
      </c>
      <c r="B44" s="3">
        <v>171.60866774451182</v>
      </c>
    </row>
    <row r="45" spans="1:2" x14ac:dyDescent="0.2">
      <c r="A45" s="3">
        <v>183.68478421606025</v>
      </c>
      <c r="B45" s="3">
        <v>184.78478421606025</v>
      </c>
    </row>
    <row r="46" spans="1:2" x14ac:dyDescent="0.2">
      <c r="A46" s="3">
        <v>169.25458579981074</v>
      </c>
      <c r="B46" s="3">
        <v>170.35458579981076</v>
      </c>
    </row>
    <row r="47" spans="1:2" x14ac:dyDescent="0.2">
      <c r="A47" s="3">
        <v>171.81351111262993</v>
      </c>
      <c r="B47" s="3">
        <v>172.91351111262992</v>
      </c>
    </row>
    <row r="48" spans="1:2" x14ac:dyDescent="0.2">
      <c r="A48" s="3">
        <v>164.8262533884604</v>
      </c>
      <c r="B48" s="3">
        <v>165.9262533884604</v>
      </c>
    </row>
    <row r="49" spans="1:2" x14ac:dyDescent="0.2">
      <c r="A49" s="3">
        <v>163.45159397647791</v>
      </c>
      <c r="B49" s="3">
        <v>164.5515939764779</v>
      </c>
    </row>
    <row r="50" spans="1:2" x14ac:dyDescent="0.2">
      <c r="A50" s="3">
        <v>165.72438342517472</v>
      </c>
      <c r="B50" s="3">
        <v>166.82438342517472</v>
      </c>
    </row>
    <row r="51" spans="1:2" x14ac:dyDescent="0.2">
      <c r="A51" s="3">
        <v>167.98151303412195</v>
      </c>
      <c r="B51" s="3">
        <v>169.08151303412194</v>
      </c>
    </row>
    <row r="52" spans="1:2" x14ac:dyDescent="0.2">
      <c r="A52" s="3">
        <v>174.18676442631585</v>
      </c>
      <c r="B52" s="3">
        <v>175.28676442631584</v>
      </c>
    </row>
    <row r="53" spans="1:2" x14ac:dyDescent="0.2">
      <c r="A53" s="3">
        <v>168.10866213963882</v>
      </c>
      <c r="B53" s="3">
        <v>169.20866213963882</v>
      </c>
    </row>
    <row r="54" spans="1:2" x14ac:dyDescent="0.2">
      <c r="A54" s="3">
        <v>182.89698038229866</v>
      </c>
      <c r="B54" s="3">
        <v>183.99698038229866</v>
      </c>
    </row>
    <row r="55" spans="1:2" x14ac:dyDescent="0.2">
      <c r="A55" s="3">
        <v>170.78869679930978</v>
      </c>
      <c r="B55" s="3">
        <v>171.88869679930977</v>
      </c>
    </row>
    <row r="56" spans="1:2" x14ac:dyDescent="0.2">
      <c r="A56" s="3">
        <v>165.6002456662336</v>
      </c>
      <c r="B56" s="3">
        <v>166.7002456662336</v>
      </c>
    </row>
    <row r="57" spans="1:2" x14ac:dyDescent="0.2">
      <c r="A57" s="3">
        <v>167.76053202770518</v>
      </c>
      <c r="B57" s="3">
        <v>168.86053202770518</v>
      </c>
    </row>
    <row r="58" spans="1:2" x14ac:dyDescent="0.2">
      <c r="A58" s="3">
        <v>170.34168906893635</v>
      </c>
      <c r="B58" s="3">
        <v>171.44168906893634</v>
      </c>
    </row>
    <row r="59" spans="1:2" x14ac:dyDescent="0.2">
      <c r="A59" s="3">
        <v>168.43967872333317</v>
      </c>
      <c r="B59" s="3">
        <v>169.53967872333317</v>
      </c>
    </row>
    <row r="60" spans="1:2" x14ac:dyDescent="0.2">
      <c r="A60" s="3">
        <v>178.7392429728055</v>
      </c>
      <c r="B60" s="3">
        <v>179.83924297280549</v>
      </c>
    </row>
    <row r="61" spans="1:2" x14ac:dyDescent="0.2">
      <c r="A61" s="3">
        <v>175.69389365604047</v>
      </c>
      <c r="B61" s="3">
        <v>176.79389365604047</v>
      </c>
    </row>
    <row r="62" spans="1:2" x14ac:dyDescent="0.2">
      <c r="A62" s="3">
        <v>180.25633135940549</v>
      </c>
      <c r="B62" s="3">
        <v>181.35633135940549</v>
      </c>
    </row>
    <row r="63" spans="1:2" x14ac:dyDescent="0.2">
      <c r="A63" s="3">
        <v>171.28302779574312</v>
      </c>
      <c r="B63" s="3">
        <v>172.38302779574312</v>
      </c>
    </row>
    <row r="64" spans="1:2" x14ac:dyDescent="0.2">
      <c r="A64" s="3">
        <v>174.50586076556939</v>
      </c>
      <c r="B64" s="3">
        <v>175.60586076556939</v>
      </c>
    </row>
    <row r="65" spans="1:2" x14ac:dyDescent="0.2">
      <c r="A65" s="3">
        <v>169.62871089352799</v>
      </c>
      <c r="B65" s="3">
        <v>170.72871089352799</v>
      </c>
    </row>
    <row r="66" spans="1:2" x14ac:dyDescent="0.2">
      <c r="A66" s="3">
        <v>178.28127409908876</v>
      </c>
      <c r="B66" s="3">
        <v>179.38127409908876</v>
      </c>
    </row>
    <row r="67" spans="1:2" x14ac:dyDescent="0.2">
      <c r="A67" s="3">
        <v>169.35356580730621</v>
      </c>
      <c r="B67" s="3">
        <v>170.45356580730621</v>
      </c>
    </row>
    <row r="68" spans="1:2" x14ac:dyDescent="0.2">
      <c r="A68" s="3">
        <v>173.56248231216577</v>
      </c>
      <c r="B68" s="3">
        <v>174.66248231216576</v>
      </c>
    </row>
    <row r="69" spans="1:2" x14ac:dyDescent="0.2">
      <c r="A69" s="3">
        <v>166.09657307421352</v>
      </c>
      <c r="B69" s="3">
        <v>167.19657307421352</v>
      </c>
    </row>
    <row r="70" spans="1:2" x14ac:dyDescent="0.2">
      <c r="A70" s="3">
        <v>167.29353723606857</v>
      </c>
      <c r="B70" s="3">
        <v>168.39353723606857</v>
      </c>
    </row>
    <row r="71" spans="1:2" x14ac:dyDescent="0.2">
      <c r="A71" s="3">
        <v>175.08698667793777</v>
      </c>
      <c r="B71" s="3">
        <v>176.18698667793777</v>
      </c>
    </row>
    <row r="72" spans="1:2" x14ac:dyDescent="0.2">
      <c r="A72" s="3">
        <v>172.30940865730093</v>
      </c>
      <c r="B72" s="3">
        <v>173.40940865730093</v>
      </c>
    </row>
    <row r="73" spans="1:2" x14ac:dyDescent="0.2">
      <c r="A73" s="3">
        <v>170.49386537727409</v>
      </c>
      <c r="B73" s="3">
        <v>171.59386537727408</v>
      </c>
    </row>
    <row r="74" spans="1:2" x14ac:dyDescent="0.2">
      <c r="A74" s="3">
        <v>169.12664857277449</v>
      </c>
      <c r="B74" s="3">
        <v>170.22664857277448</v>
      </c>
    </row>
    <row r="75" spans="1:2" x14ac:dyDescent="0.2">
      <c r="A75" s="3">
        <v>163.44292501024864</v>
      </c>
      <c r="B75" s="3">
        <v>164.54292501024864</v>
      </c>
    </row>
    <row r="76" spans="1:2" x14ac:dyDescent="0.2">
      <c r="A76" s="3">
        <v>172.74529760168346</v>
      </c>
      <c r="B76" s="3">
        <v>173.84529760168346</v>
      </c>
    </row>
    <row r="77" spans="1:2" x14ac:dyDescent="0.2">
      <c r="A77" s="3">
        <v>175.69671698436801</v>
      </c>
      <c r="B77" s="3">
        <v>176.796716984368</v>
      </c>
    </row>
    <row r="78" spans="1:2" x14ac:dyDescent="0.2">
      <c r="A78" s="3">
        <v>168.80517583821779</v>
      </c>
      <c r="B78" s="3">
        <v>169.90517583821781</v>
      </c>
    </row>
    <row r="79" spans="1:2" x14ac:dyDescent="0.2">
      <c r="A79" s="3">
        <v>175.14158130769621</v>
      </c>
      <c r="B79" s="3">
        <v>176.24158130769621</v>
      </c>
    </row>
    <row r="80" spans="1:2" x14ac:dyDescent="0.2">
      <c r="A80" s="3">
        <v>167.80979456484852</v>
      </c>
      <c r="B80" s="3">
        <v>168.90979456484851</v>
      </c>
    </row>
    <row r="81" spans="1:2" x14ac:dyDescent="0.2">
      <c r="A81" s="3">
        <v>175.07499317522399</v>
      </c>
      <c r="B81" s="3">
        <v>176.17499317522399</v>
      </c>
    </row>
    <row r="82" spans="1:2" x14ac:dyDescent="0.2">
      <c r="A82" s="3">
        <v>175.1274593154204</v>
      </c>
      <c r="B82" s="3">
        <v>176.22745931542039</v>
      </c>
    </row>
    <row r="83" spans="1:2" x14ac:dyDescent="0.2">
      <c r="A83" s="3">
        <v>165.13112539403062</v>
      </c>
      <c r="B83" s="3">
        <v>166.23112539403061</v>
      </c>
    </row>
    <row r="84" spans="1:2" x14ac:dyDescent="0.2">
      <c r="A84" s="3">
        <v>171.85529016789891</v>
      </c>
      <c r="B84" s="3">
        <v>172.95529016789891</v>
      </c>
    </row>
    <row r="85" spans="1:2" x14ac:dyDescent="0.2">
      <c r="A85" s="3">
        <v>177.24913151700736</v>
      </c>
      <c r="B85" s="3">
        <v>178.34913151700735</v>
      </c>
    </row>
    <row r="86" spans="1:2" x14ac:dyDescent="0.2">
      <c r="A86" s="3">
        <v>171.17837932304022</v>
      </c>
      <c r="B86" s="3">
        <v>172.27837932304021</v>
      </c>
    </row>
    <row r="87" spans="1:2" x14ac:dyDescent="0.2">
      <c r="A87" s="3">
        <v>178.06332001711877</v>
      </c>
      <c r="B87" s="3">
        <v>179.16332001711876</v>
      </c>
    </row>
    <row r="88" spans="1:2" x14ac:dyDescent="0.2">
      <c r="A88" s="3">
        <v>168.92983330693309</v>
      </c>
      <c r="B88" s="3">
        <v>170.02983330693309</v>
      </c>
    </row>
    <row r="89" spans="1:2" x14ac:dyDescent="0.2">
      <c r="A89" s="3">
        <v>167.83707238640801</v>
      </c>
      <c r="B89" s="3">
        <v>168.937072386408</v>
      </c>
    </row>
    <row r="90" spans="1:2" x14ac:dyDescent="0.2">
      <c r="A90" s="3">
        <v>165.70519304518626</v>
      </c>
      <c r="B90" s="3">
        <v>166.80519304518626</v>
      </c>
    </row>
    <row r="91" spans="1:2" x14ac:dyDescent="0.2">
      <c r="A91" s="3">
        <v>167.98427985293247</v>
      </c>
      <c r="B91" s="3">
        <v>169.08427985293247</v>
      </c>
    </row>
    <row r="92" spans="1:2" x14ac:dyDescent="0.2">
      <c r="A92" s="3">
        <v>171.09141891244522</v>
      </c>
      <c r="B92" s="3">
        <v>172.19141891244522</v>
      </c>
    </row>
    <row r="93" spans="1:2" x14ac:dyDescent="0.2">
      <c r="A93" s="3">
        <v>171.53283652574783</v>
      </c>
      <c r="B93" s="3">
        <v>172.63283652574782</v>
      </c>
    </row>
    <row r="94" spans="1:2" x14ac:dyDescent="0.2">
      <c r="A94" s="3">
        <v>166.13168092807615</v>
      </c>
      <c r="B94" s="3">
        <v>167.23168092807614</v>
      </c>
    </row>
    <row r="95" spans="1:2" x14ac:dyDescent="0.2">
      <c r="A95" s="3">
        <v>159.40267217361628</v>
      </c>
      <c r="B95" s="3">
        <v>160.50267217361628</v>
      </c>
    </row>
    <row r="96" spans="1:2" x14ac:dyDescent="0.2">
      <c r="A96" s="3">
        <v>173.95502292786131</v>
      </c>
      <c r="B96" s="3">
        <v>175.0550229278613</v>
      </c>
    </row>
    <row r="97" spans="1:2" x14ac:dyDescent="0.2">
      <c r="A97" s="3">
        <v>167.25673626753468</v>
      </c>
      <c r="B97" s="3">
        <v>168.35673626753467</v>
      </c>
    </row>
    <row r="98" spans="1:2" x14ac:dyDescent="0.2">
      <c r="A98" s="3">
        <v>172.85308413218709</v>
      </c>
      <c r="B98" s="3">
        <v>173.95308413218709</v>
      </c>
    </row>
    <row r="99" spans="1:2" x14ac:dyDescent="0.2">
      <c r="A99" s="3">
        <v>176.95791088065062</v>
      </c>
      <c r="B99" s="3">
        <v>178.05791088065061</v>
      </c>
    </row>
    <row r="100" spans="1:2" x14ac:dyDescent="0.2">
      <c r="A100" s="3">
        <v>171.87054816858884</v>
      </c>
      <c r="B100" s="3">
        <v>172.97054816858883</v>
      </c>
    </row>
    <row r="101" spans="1:2" x14ac:dyDescent="0.2">
      <c r="A101" s="3">
        <v>180.88974580624398</v>
      </c>
      <c r="B101" s="3">
        <v>181.98974580624397</v>
      </c>
    </row>
  </sheetData>
  <mergeCells count="2">
    <mergeCell ref="D10:I10"/>
    <mergeCell ref="D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workbookViewId="0">
      <selection activeCell="H5" sqref="H5"/>
    </sheetView>
  </sheetViews>
  <sheetFormatPr defaultRowHeight="14.25" x14ac:dyDescent="0.2"/>
  <cols>
    <col min="2" max="2" width="13" bestFit="1" customWidth="1"/>
    <col min="3" max="3" width="8.125" customWidth="1"/>
    <col min="4" max="4" width="9.625" customWidth="1"/>
  </cols>
  <sheetData>
    <row r="1" spans="2:9" x14ac:dyDescent="0.2">
      <c r="B1" s="45" t="s">
        <v>89</v>
      </c>
      <c r="C1" s="46"/>
      <c r="D1" s="46"/>
      <c r="E1" s="46"/>
      <c r="F1" s="47"/>
    </row>
    <row r="2" spans="2:9" x14ac:dyDescent="0.2">
      <c r="B2" s="5"/>
      <c r="C2" s="5" t="s">
        <v>80</v>
      </c>
      <c r="D2" s="5" t="s">
        <v>81</v>
      </c>
      <c r="E2" s="5" t="s">
        <v>76</v>
      </c>
      <c r="F2" s="5" t="s">
        <v>83</v>
      </c>
      <c r="I2" s="9" t="s">
        <v>91</v>
      </c>
    </row>
    <row r="3" spans="2:9" x14ac:dyDescent="0.2">
      <c r="B3" s="5" t="s">
        <v>78</v>
      </c>
      <c r="C3" s="6">
        <v>100</v>
      </c>
      <c r="D3" s="6">
        <v>200</v>
      </c>
      <c r="E3" s="5">
        <f>SUM(C3:D3)</f>
        <v>300</v>
      </c>
      <c r="F3" s="5">
        <f>C3/E3</f>
        <v>0.33333333333333331</v>
      </c>
    </row>
    <row r="4" spans="2:9" x14ac:dyDescent="0.2">
      <c r="B4" s="5" t="s">
        <v>79</v>
      </c>
      <c r="C4" s="6">
        <v>100</v>
      </c>
      <c r="D4" s="6">
        <v>201</v>
      </c>
      <c r="E4" s="5">
        <f>SUM(C4:D4)</f>
        <v>301</v>
      </c>
      <c r="F4" s="5">
        <f t="shared" ref="F4:F5" si="0">C4/E4</f>
        <v>0.33222591362126247</v>
      </c>
    </row>
    <row r="5" spans="2:9" x14ac:dyDescent="0.2">
      <c r="B5" s="5" t="s">
        <v>76</v>
      </c>
      <c r="C5" s="5">
        <f>SUM(C3:C4)</f>
        <v>200</v>
      </c>
      <c r="D5" s="5">
        <f t="shared" ref="D5:E5" si="1">SUM(D3:D4)</f>
        <v>401</v>
      </c>
      <c r="E5" s="5">
        <f t="shared" si="1"/>
        <v>601</v>
      </c>
      <c r="F5" s="5">
        <f t="shared" si="0"/>
        <v>0.33277870216306155</v>
      </c>
    </row>
    <row r="6" spans="2:9" x14ac:dyDescent="0.2">
      <c r="B6" s="5" t="s">
        <v>82</v>
      </c>
      <c r="C6" s="29">
        <f>_xlfn.CHISQ.TEST(C3:D4,C11:D12)</f>
        <v>0.97701808716172922</v>
      </c>
      <c r="D6" s="5" t="s">
        <v>86</v>
      </c>
      <c r="E6" s="5"/>
      <c r="F6" s="5"/>
    </row>
    <row r="7" spans="2:9" x14ac:dyDescent="0.2">
      <c r="B7" s="5" t="s">
        <v>90</v>
      </c>
      <c r="C7" s="29" t="str">
        <f>IF(C6&lt;0.05,"显著","不显著")</f>
        <v>不显著</v>
      </c>
      <c r="D7" s="5"/>
      <c r="E7" s="5"/>
      <c r="F7" s="5"/>
    </row>
    <row r="9" spans="2:9" x14ac:dyDescent="0.2">
      <c r="B9" s="39" t="s">
        <v>88</v>
      </c>
      <c r="C9" s="39"/>
      <c r="D9" s="39"/>
      <c r="E9" s="39"/>
      <c r="F9" s="39"/>
    </row>
    <row r="10" spans="2:9" x14ac:dyDescent="0.2">
      <c r="B10" s="5"/>
      <c r="C10" s="5" t="s">
        <v>80</v>
      </c>
      <c r="D10" s="5" t="s">
        <v>81</v>
      </c>
      <c r="E10" s="5" t="s">
        <v>76</v>
      </c>
      <c r="F10" s="5" t="s">
        <v>83</v>
      </c>
    </row>
    <row r="11" spans="2:9" x14ac:dyDescent="0.2">
      <c r="B11" s="5" t="s">
        <v>78</v>
      </c>
      <c r="C11" s="5">
        <f>E11*F11</f>
        <v>99.833610648918466</v>
      </c>
      <c r="D11" s="5">
        <f>E11-C11</f>
        <v>200.16638935108153</v>
      </c>
      <c r="E11" s="5">
        <f>E3</f>
        <v>300</v>
      </c>
      <c r="F11" s="5">
        <f>F5</f>
        <v>0.33277870216306155</v>
      </c>
    </row>
    <row r="12" spans="2:9" x14ac:dyDescent="0.2">
      <c r="B12" s="5" t="s">
        <v>79</v>
      </c>
      <c r="C12" s="5">
        <f t="shared" ref="C12:C13" si="2">E12*F12</f>
        <v>100.16638935108152</v>
      </c>
      <c r="D12" s="5">
        <f t="shared" ref="D12:D13" si="3">E12-C12</f>
        <v>200.83361064891847</v>
      </c>
      <c r="E12" s="5">
        <f t="shared" ref="E12:E13" si="4">E4</f>
        <v>301</v>
      </c>
      <c r="F12" s="5">
        <f>F5</f>
        <v>0.33277870216306155</v>
      </c>
    </row>
    <row r="13" spans="2:9" x14ac:dyDescent="0.2">
      <c r="B13" s="5" t="s">
        <v>76</v>
      </c>
      <c r="C13" s="5">
        <f t="shared" si="2"/>
        <v>200</v>
      </c>
      <c r="D13" s="5">
        <f t="shared" si="3"/>
        <v>401</v>
      </c>
      <c r="E13" s="5">
        <f t="shared" si="4"/>
        <v>601</v>
      </c>
      <c r="F13" s="5">
        <f>F5</f>
        <v>0.33277870216306155</v>
      </c>
    </row>
    <row r="15" spans="2:9" x14ac:dyDescent="0.2">
      <c r="C15" s="5">
        <f>(C3-C11)^2/C11</f>
        <v>2.7731558513589599E-4</v>
      </c>
      <c r="D15" s="5">
        <f>(D3-D11)^2/D11</f>
        <v>1.3831201253660646E-4</v>
      </c>
    </row>
    <row r="16" spans="2:9" x14ac:dyDescent="0.2">
      <c r="C16" s="5">
        <f>(C4-C12)^2/C12</f>
        <v>2.7639427089951691E-4</v>
      </c>
      <c r="D16" s="5">
        <f>(D4-D12)^2/D12</f>
        <v>1.3785250418930879E-4</v>
      </c>
    </row>
    <row r="18" spans="2:6" x14ac:dyDescent="0.2">
      <c r="B18" s="5" t="s">
        <v>77</v>
      </c>
      <c r="C18" s="5">
        <f>SUM(C15:D16)</f>
        <v>8.2987437276132807E-4</v>
      </c>
      <c r="D18" s="5"/>
      <c r="E18" s="5"/>
      <c r="F18" s="5"/>
    </row>
    <row r="19" spans="2:6" x14ac:dyDescent="0.2">
      <c r="B19" s="5" t="s">
        <v>55</v>
      </c>
      <c r="C19" s="5">
        <v>1</v>
      </c>
      <c r="D19" s="5" t="s">
        <v>84</v>
      </c>
      <c r="E19" s="5"/>
      <c r="F19" s="5"/>
    </row>
    <row r="20" spans="2:6" x14ac:dyDescent="0.2">
      <c r="B20" s="5" t="s">
        <v>85</v>
      </c>
      <c r="C20" s="24">
        <f>CHIDIST(C18,C19)</f>
        <v>0.97701808716172922</v>
      </c>
      <c r="D20" s="5" t="s">
        <v>87</v>
      </c>
      <c r="E20" s="5"/>
      <c r="F20" s="5"/>
    </row>
    <row r="21" spans="2:6" x14ac:dyDescent="0.2">
      <c r="B21" s="5" t="s">
        <v>90</v>
      </c>
      <c r="C21" s="29" t="str">
        <f>IF(C20&lt;0.05,"显著","不显著")</f>
        <v>不显著</v>
      </c>
      <c r="D21" s="5"/>
      <c r="E21" s="5"/>
      <c r="F21" s="5"/>
    </row>
  </sheetData>
  <mergeCells count="2">
    <mergeCell ref="B9:F9"/>
    <mergeCell ref="B1:F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1"/>
  <sheetViews>
    <sheetView workbookViewId="0">
      <selection activeCell="H17" sqref="H17"/>
    </sheetView>
  </sheetViews>
  <sheetFormatPr defaultRowHeight="14.25" x14ac:dyDescent="0.2"/>
  <cols>
    <col min="3" max="3" width="8.625" style="30"/>
  </cols>
  <sheetData>
    <row r="1" spans="2:9" x14ac:dyDescent="0.2">
      <c r="B1" t="s">
        <v>97</v>
      </c>
      <c r="C1" s="30" t="s">
        <v>94</v>
      </c>
      <c r="E1" s="48" t="s">
        <v>96</v>
      </c>
      <c r="F1" s="48"/>
      <c r="H1" s="48" t="s">
        <v>98</v>
      </c>
      <c r="I1" s="48"/>
    </row>
    <row r="2" spans="2:9" x14ac:dyDescent="0.2">
      <c r="B2">
        <v>0.30013621205586971</v>
      </c>
      <c r="C2" s="30">
        <f>_xlfn.NORM.INV(B2,$F$2,$F$3)</f>
        <v>171.33216482823357</v>
      </c>
      <c r="E2" t="s">
        <v>93</v>
      </c>
      <c r="F2" s="3">
        <v>173.4282</v>
      </c>
      <c r="H2" t="s">
        <v>93</v>
      </c>
      <c r="I2">
        <f>AVERAGE(C:C)</f>
        <v>173.08565965383826</v>
      </c>
    </row>
    <row r="3" spans="2:9" x14ac:dyDescent="0.2">
      <c r="B3">
        <v>0.71819913897935017</v>
      </c>
      <c r="C3" s="30">
        <f t="shared" ref="C3:C66" si="0">_xlfn.NORM.INV(B3,$F$2,$F$3)</f>
        <v>175.73820009823351</v>
      </c>
      <c r="E3" t="s">
        <v>95</v>
      </c>
      <c r="F3" s="3">
        <v>4</v>
      </c>
      <c r="H3" t="s">
        <v>95</v>
      </c>
      <c r="I3">
        <f>_xlfn.STDEV.S(C:C)</f>
        <v>3.9718287851513123</v>
      </c>
    </row>
    <row r="4" spans="2:9" x14ac:dyDescent="0.2">
      <c r="B4">
        <v>0.6329641290063186</v>
      </c>
      <c r="C4" s="30">
        <f t="shared" si="0"/>
        <v>174.78705693297152</v>
      </c>
    </row>
    <row r="5" spans="2:9" x14ac:dyDescent="0.2">
      <c r="B5">
        <v>0.22339282752606615</v>
      </c>
      <c r="C5" s="30">
        <f t="shared" si="0"/>
        <v>170.38506107040919</v>
      </c>
    </row>
    <row r="6" spans="2:9" x14ac:dyDescent="0.2">
      <c r="B6">
        <v>0.24490667131804855</v>
      </c>
      <c r="C6" s="30">
        <f t="shared" si="0"/>
        <v>170.66577706120748</v>
      </c>
    </row>
    <row r="7" spans="2:9" x14ac:dyDescent="0.2">
      <c r="B7">
        <v>0.76739386936202025</v>
      </c>
      <c r="C7" s="30">
        <f t="shared" si="0"/>
        <v>176.34936443897655</v>
      </c>
    </row>
    <row r="8" spans="2:9" x14ac:dyDescent="0.2">
      <c r="B8">
        <v>0.24322578653268179</v>
      </c>
      <c r="C8" s="30">
        <f t="shared" si="0"/>
        <v>170.64434526394982</v>
      </c>
    </row>
    <row r="9" spans="2:9" x14ac:dyDescent="0.2">
      <c r="B9">
        <v>0.19508116554062582</v>
      </c>
      <c r="C9" s="30">
        <f t="shared" si="0"/>
        <v>169.99090794807375</v>
      </c>
    </row>
    <row r="10" spans="2:9" x14ac:dyDescent="0.2">
      <c r="B10">
        <v>0.11628431126133976</v>
      </c>
      <c r="C10" s="30">
        <f t="shared" si="0"/>
        <v>168.65312687677076</v>
      </c>
    </row>
    <row r="11" spans="2:9" x14ac:dyDescent="0.2">
      <c r="B11">
        <v>0.52966224541481743</v>
      </c>
      <c r="C11" s="30">
        <f t="shared" si="0"/>
        <v>173.72588344893148</v>
      </c>
    </row>
    <row r="12" spans="2:9" x14ac:dyDescent="0.2">
      <c r="B12">
        <v>2.8041801731786942E-2</v>
      </c>
      <c r="C12" s="30">
        <f t="shared" si="0"/>
        <v>165.78665821927987</v>
      </c>
    </row>
    <row r="13" spans="2:9" x14ac:dyDescent="0.2">
      <c r="B13">
        <v>0.99652462547945631</v>
      </c>
      <c r="C13" s="30">
        <f t="shared" si="0"/>
        <v>184.2249789495238</v>
      </c>
    </row>
    <row r="14" spans="2:9" x14ac:dyDescent="0.2">
      <c r="B14">
        <v>0.30992439505726921</v>
      </c>
      <c r="C14" s="30">
        <f t="shared" si="0"/>
        <v>171.44394135041844</v>
      </c>
    </row>
    <row r="15" spans="2:9" x14ac:dyDescent="0.2">
      <c r="B15">
        <v>0.26341187280547185</v>
      </c>
      <c r="C15" s="30">
        <f t="shared" si="0"/>
        <v>170.89675188288282</v>
      </c>
    </row>
    <row r="16" spans="2:9" x14ac:dyDescent="0.2">
      <c r="B16">
        <v>0.20470319384414859</v>
      </c>
      <c r="C16" s="30">
        <f t="shared" si="0"/>
        <v>170.12844515825239</v>
      </c>
    </row>
    <row r="17" spans="2:3" x14ac:dyDescent="0.2">
      <c r="B17">
        <v>0.78614588621308246</v>
      </c>
      <c r="C17" s="30">
        <f t="shared" si="0"/>
        <v>176.60067782917071</v>
      </c>
    </row>
    <row r="18" spans="2:3" x14ac:dyDescent="0.2">
      <c r="B18">
        <v>0.86548119009307767</v>
      </c>
      <c r="C18" s="30">
        <f t="shared" si="0"/>
        <v>177.84932610861276</v>
      </c>
    </row>
    <row r="19" spans="2:3" x14ac:dyDescent="0.2">
      <c r="B19">
        <v>4.1613646839507079E-2</v>
      </c>
      <c r="C19" s="30">
        <f t="shared" si="0"/>
        <v>166.49916029755352</v>
      </c>
    </row>
    <row r="20" spans="2:3" x14ac:dyDescent="0.2">
      <c r="B20">
        <v>0.97274137931500604</v>
      </c>
      <c r="C20" s="30">
        <f t="shared" si="0"/>
        <v>181.11901577229173</v>
      </c>
    </row>
    <row r="21" spans="2:3" x14ac:dyDescent="0.2">
      <c r="B21">
        <v>0.96755466220603092</v>
      </c>
      <c r="C21" s="30">
        <f t="shared" si="0"/>
        <v>180.81224214512653</v>
      </c>
    </row>
    <row r="22" spans="2:3" x14ac:dyDescent="0.2">
      <c r="B22">
        <v>0.50353245115994161</v>
      </c>
      <c r="C22" s="30">
        <f t="shared" si="0"/>
        <v>173.46361863065235</v>
      </c>
    </row>
    <row r="23" spans="2:3" x14ac:dyDescent="0.2">
      <c r="B23">
        <v>0.81905857612730859</v>
      </c>
      <c r="C23" s="30">
        <f t="shared" si="0"/>
        <v>177.0753328615593</v>
      </c>
    </row>
    <row r="24" spans="2:3" x14ac:dyDescent="0.2">
      <c r="B24">
        <v>0.71611288936585127</v>
      </c>
      <c r="C24" s="30">
        <f t="shared" si="0"/>
        <v>175.7135303182765</v>
      </c>
    </row>
    <row r="25" spans="2:3" x14ac:dyDescent="0.2">
      <c r="B25">
        <v>0.71364760193304932</v>
      </c>
      <c r="C25" s="30">
        <f t="shared" si="0"/>
        <v>175.68448997895939</v>
      </c>
    </row>
    <row r="26" spans="2:3" x14ac:dyDescent="0.2">
      <c r="B26">
        <v>0.73849968642259334</v>
      </c>
      <c r="C26" s="30">
        <f t="shared" si="0"/>
        <v>175.98310749440273</v>
      </c>
    </row>
    <row r="27" spans="2:3" x14ac:dyDescent="0.2">
      <c r="B27">
        <v>0.32785444441691214</v>
      </c>
      <c r="C27" s="30">
        <f t="shared" si="0"/>
        <v>171.6448182016542</v>
      </c>
    </row>
    <row r="28" spans="2:3" x14ac:dyDescent="0.2">
      <c r="B28">
        <v>0.48970091609347222</v>
      </c>
      <c r="C28" s="30">
        <f t="shared" si="0"/>
        <v>173.32492462734379</v>
      </c>
    </row>
    <row r="29" spans="2:3" x14ac:dyDescent="0.2">
      <c r="B29">
        <v>0.59344256475155011</v>
      </c>
      <c r="C29" s="30">
        <f t="shared" si="0"/>
        <v>174.37383828183556</v>
      </c>
    </row>
    <row r="30" spans="2:3" x14ac:dyDescent="0.2">
      <c r="B30">
        <v>0.19563217613553097</v>
      </c>
      <c r="C30" s="30">
        <f t="shared" si="0"/>
        <v>169.99889316924373</v>
      </c>
    </row>
    <row r="31" spans="2:3" x14ac:dyDescent="0.2">
      <c r="B31">
        <v>0.43128668418029814</v>
      </c>
      <c r="C31" s="30">
        <f t="shared" si="0"/>
        <v>172.73580276537032</v>
      </c>
    </row>
    <row r="32" spans="2:3" x14ac:dyDescent="0.2">
      <c r="B32">
        <v>0.42702076521079424</v>
      </c>
      <c r="C32" s="30">
        <f t="shared" si="0"/>
        <v>172.69234315210167</v>
      </c>
    </row>
    <row r="33" spans="2:3" x14ac:dyDescent="0.2">
      <c r="B33">
        <v>0.52654886493627173</v>
      </c>
      <c r="C33" s="30">
        <f t="shared" si="0"/>
        <v>173.69458932629274</v>
      </c>
    </row>
    <row r="34" spans="2:3" x14ac:dyDescent="0.2">
      <c r="B34">
        <v>0.36074426062034715</v>
      </c>
      <c r="C34" s="30">
        <f t="shared" si="0"/>
        <v>172.00231949915056</v>
      </c>
    </row>
    <row r="35" spans="2:3" x14ac:dyDescent="0.2">
      <c r="B35">
        <v>0.49827055738677062</v>
      </c>
      <c r="C35" s="30">
        <f t="shared" si="0"/>
        <v>173.41085966667279</v>
      </c>
    </row>
    <row r="36" spans="2:3" x14ac:dyDescent="0.2">
      <c r="B36">
        <v>0.94626852864978728</v>
      </c>
      <c r="C36" s="30">
        <f t="shared" si="0"/>
        <v>179.86700773342704</v>
      </c>
    </row>
    <row r="37" spans="2:3" x14ac:dyDescent="0.2">
      <c r="B37">
        <v>0.80588707833222706</v>
      </c>
      <c r="C37" s="30">
        <f t="shared" si="0"/>
        <v>176.87955708939589</v>
      </c>
    </row>
    <row r="38" spans="2:3" x14ac:dyDescent="0.2">
      <c r="B38">
        <v>0.17421240590932341</v>
      </c>
      <c r="C38" s="30">
        <f t="shared" si="0"/>
        <v>169.67760392788091</v>
      </c>
    </row>
    <row r="39" spans="2:3" x14ac:dyDescent="0.2">
      <c r="B39">
        <v>0.40776286794807282</v>
      </c>
      <c r="C39" s="30">
        <f t="shared" si="0"/>
        <v>172.49498597378391</v>
      </c>
    </row>
    <row r="40" spans="2:3" x14ac:dyDescent="0.2">
      <c r="B40">
        <v>0.27748646990763759</v>
      </c>
      <c r="C40" s="30">
        <f t="shared" si="0"/>
        <v>171.06690094283721</v>
      </c>
    </row>
    <row r="41" spans="2:3" x14ac:dyDescent="0.2">
      <c r="B41">
        <v>0.80157153162026495</v>
      </c>
      <c r="C41" s="30">
        <f t="shared" si="0"/>
        <v>176.81719176515773</v>
      </c>
    </row>
    <row r="42" spans="2:3" x14ac:dyDescent="0.2">
      <c r="B42">
        <v>0.49860319487741589</v>
      </c>
      <c r="C42" s="30">
        <f t="shared" si="0"/>
        <v>173.41419488652772</v>
      </c>
    </row>
    <row r="43" spans="2:3" x14ac:dyDescent="0.2">
      <c r="B43">
        <v>0.79119568773477178</v>
      </c>
      <c r="C43" s="30">
        <f t="shared" si="0"/>
        <v>176.67050803486646</v>
      </c>
    </row>
    <row r="44" spans="2:3" x14ac:dyDescent="0.2">
      <c r="B44">
        <v>0.35796393359893952</v>
      </c>
      <c r="C44" s="30">
        <f t="shared" si="0"/>
        <v>171.97257419560944</v>
      </c>
    </row>
    <row r="45" spans="2:3" x14ac:dyDescent="0.2">
      <c r="B45">
        <v>0.98843609783637876</v>
      </c>
      <c r="C45" s="30">
        <f t="shared" si="0"/>
        <v>182.5134673728482</v>
      </c>
    </row>
    <row r="46" spans="2:3" x14ac:dyDescent="0.2">
      <c r="B46">
        <v>0.2693688867544296</v>
      </c>
      <c r="C46" s="30">
        <f t="shared" si="0"/>
        <v>170.96930863984861</v>
      </c>
    </row>
    <row r="47" spans="2:3" x14ac:dyDescent="0.2">
      <c r="B47">
        <v>0.45900617742669436</v>
      </c>
      <c r="C47" s="30">
        <f t="shared" si="0"/>
        <v>173.01644889010393</v>
      </c>
    </row>
    <row r="48" spans="2:3" x14ac:dyDescent="0.2">
      <c r="B48">
        <v>6.6756791901421586E-2</v>
      </c>
      <c r="C48" s="30">
        <f t="shared" si="0"/>
        <v>167.42664271076831</v>
      </c>
    </row>
    <row r="49" spans="2:3" x14ac:dyDescent="0.2">
      <c r="B49">
        <v>3.7922433050174731E-2</v>
      </c>
      <c r="C49" s="30">
        <f t="shared" si="0"/>
        <v>166.32691518118233</v>
      </c>
    </row>
    <row r="50" spans="2:3" x14ac:dyDescent="0.2">
      <c r="B50">
        <v>9.3290147637541287E-2</v>
      </c>
      <c r="C50" s="30">
        <f t="shared" si="0"/>
        <v>168.14514674013978</v>
      </c>
    </row>
    <row r="51" spans="2:3" x14ac:dyDescent="0.2">
      <c r="B51">
        <v>0.19233130791089714</v>
      </c>
      <c r="C51" s="30">
        <f t="shared" si="0"/>
        <v>169.95085042729755</v>
      </c>
    </row>
    <row r="52" spans="2:3" x14ac:dyDescent="0.2">
      <c r="B52">
        <v>0.64494668484354822</v>
      </c>
      <c r="C52" s="30">
        <f t="shared" si="0"/>
        <v>174.91505154105266</v>
      </c>
    </row>
    <row r="53" spans="2:3" x14ac:dyDescent="0.2">
      <c r="B53">
        <v>0.19936052828339046</v>
      </c>
      <c r="C53" s="30">
        <f t="shared" si="0"/>
        <v>170.05256971171107</v>
      </c>
    </row>
    <row r="54" spans="2:3" x14ac:dyDescent="0.2">
      <c r="B54">
        <v>0.98273194687094301</v>
      </c>
      <c r="C54" s="30">
        <f t="shared" si="0"/>
        <v>181.88322430583892</v>
      </c>
    </row>
    <row r="55" spans="2:3" x14ac:dyDescent="0.2">
      <c r="B55">
        <v>0.37907896934062713</v>
      </c>
      <c r="C55" s="30">
        <f t="shared" si="0"/>
        <v>172.1965974394478</v>
      </c>
    </row>
    <row r="56" spans="2:3" x14ac:dyDescent="0.2">
      <c r="B56">
        <v>8.9217249378097496E-2</v>
      </c>
      <c r="C56" s="30">
        <f t="shared" si="0"/>
        <v>168.04583653298687</v>
      </c>
    </row>
    <row r="57" spans="2:3" x14ac:dyDescent="0.2">
      <c r="B57">
        <v>0.18048098669804413</v>
      </c>
      <c r="C57" s="30">
        <f t="shared" si="0"/>
        <v>169.77406562216416</v>
      </c>
    </row>
    <row r="58" spans="2:3" x14ac:dyDescent="0.2">
      <c r="B58">
        <v>0.34557231770704266</v>
      </c>
      <c r="C58" s="30">
        <f t="shared" si="0"/>
        <v>171.83899125514907</v>
      </c>
    </row>
    <row r="59" spans="2:3" x14ac:dyDescent="0.2">
      <c r="B59">
        <v>0.21837169149122582</v>
      </c>
      <c r="C59" s="30">
        <f t="shared" si="0"/>
        <v>170.31738297866653</v>
      </c>
    </row>
    <row r="60" spans="2:3" x14ac:dyDescent="0.2">
      <c r="B60">
        <v>0.9001152589563477</v>
      </c>
      <c r="C60" s="30">
        <f t="shared" si="0"/>
        <v>178.5570343782444</v>
      </c>
    </row>
    <row r="61" spans="2:3" x14ac:dyDescent="0.2">
      <c r="B61">
        <v>0.7495704822780388</v>
      </c>
      <c r="C61" s="30">
        <f t="shared" si="0"/>
        <v>176.12075492483237</v>
      </c>
    </row>
    <row r="62" spans="2:3" x14ac:dyDescent="0.2">
      <c r="B62">
        <v>0.94358794352282527</v>
      </c>
      <c r="C62" s="30">
        <f t="shared" si="0"/>
        <v>179.77070508752439</v>
      </c>
    </row>
    <row r="63" spans="2:3" x14ac:dyDescent="0.2">
      <c r="B63">
        <v>0.41721067627819231</v>
      </c>
      <c r="C63" s="30">
        <f t="shared" si="0"/>
        <v>172.5920622365945</v>
      </c>
    </row>
    <row r="64" spans="2:3" x14ac:dyDescent="0.2">
      <c r="B64">
        <v>0.66841189714220828</v>
      </c>
      <c r="C64" s="30">
        <f t="shared" si="0"/>
        <v>175.17032861245551</v>
      </c>
    </row>
    <row r="65" spans="2:3" x14ac:dyDescent="0.2">
      <c r="B65">
        <v>0.29463375024472682</v>
      </c>
      <c r="C65" s="30">
        <f t="shared" si="0"/>
        <v>171.26860871482239</v>
      </c>
    </row>
    <row r="66" spans="2:3" x14ac:dyDescent="0.2">
      <c r="B66">
        <v>0.88309758447753117</v>
      </c>
      <c r="C66" s="30">
        <f t="shared" si="0"/>
        <v>178.19065927927099</v>
      </c>
    </row>
    <row r="67" spans="2:3" x14ac:dyDescent="0.2">
      <c r="B67">
        <v>0.27594618816515082</v>
      </c>
      <c r="C67" s="30">
        <f t="shared" ref="C67:C101" si="1">_xlfn.NORM.INV(B67,$F$2,$F$3)</f>
        <v>171.04849264584496</v>
      </c>
    </row>
    <row r="68" spans="2:3" x14ac:dyDescent="0.2">
      <c r="B68">
        <v>0.59749034418629021</v>
      </c>
      <c r="C68" s="30">
        <f t="shared" si="1"/>
        <v>174.41562584973261</v>
      </c>
    </row>
    <row r="69" spans="2:3" x14ac:dyDescent="0.2">
      <c r="B69">
        <v>0.10632248097478991</v>
      </c>
      <c r="C69" s="30">
        <f t="shared" si="1"/>
        <v>168.44289845937081</v>
      </c>
    </row>
    <row r="70" spans="2:3" x14ac:dyDescent="0.2">
      <c r="B70">
        <v>0.15698359365585157</v>
      </c>
      <c r="C70" s="30">
        <f t="shared" si="1"/>
        <v>169.40046978885485</v>
      </c>
    </row>
    <row r="71" spans="2:3" x14ac:dyDescent="0.2">
      <c r="B71">
        <v>0.70944268918699283</v>
      </c>
      <c r="C71" s="30">
        <f t="shared" si="1"/>
        <v>175.63522934235021</v>
      </c>
    </row>
    <row r="72" spans="2:3" x14ac:dyDescent="0.2">
      <c r="B72">
        <v>0.49850067130793174</v>
      </c>
      <c r="C72" s="30">
        <f t="shared" si="1"/>
        <v>173.41316692584076</v>
      </c>
    </row>
    <row r="73" spans="2:3" x14ac:dyDescent="0.2">
      <c r="B73">
        <v>0.35685914208876923</v>
      </c>
      <c r="C73" s="30">
        <f t="shared" si="1"/>
        <v>171.96073230181926</v>
      </c>
    </row>
    <row r="74" spans="2:3" x14ac:dyDescent="0.2">
      <c r="B74">
        <v>0.26098544761925024</v>
      </c>
      <c r="C74" s="30">
        <f t="shared" si="1"/>
        <v>170.86695885821956</v>
      </c>
    </row>
    <row r="75" spans="2:3" x14ac:dyDescent="0.2">
      <c r="B75">
        <v>3.7779595700807911E-2</v>
      </c>
      <c r="C75" s="30">
        <f t="shared" si="1"/>
        <v>166.31998000819891</v>
      </c>
    </row>
    <row r="76" spans="2:3" x14ac:dyDescent="0.2">
      <c r="B76">
        <v>0.53324101618858466</v>
      </c>
      <c r="C76" s="30">
        <f t="shared" si="1"/>
        <v>173.76187808134677</v>
      </c>
    </row>
    <row r="77" spans="2:3" x14ac:dyDescent="0.2">
      <c r="B77">
        <v>0.74975004908248777</v>
      </c>
      <c r="C77" s="30">
        <f t="shared" si="1"/>
        <v>176.1230135874944</v>
      </c>
    </row>
    <row r="78" spans="2:3" x14ac:dyDescent="0.2">
      <c r="B78">
        <v>0.2405280952025145</v>
      </c>
      <c r="C78" s="30">
        <f t="shared" si="1"/>
        <v>170.60978067057425</v>
      </c>
    </row>
    <row r="79" spans="2:3" x14ac:dyDescent="0.2">
      <c r="B79">
        <v>0.71317232417596355</v>
      </c>
      <c r="C79" s="30">
        <f t="shared" si="1"/>
        <v>175.67890504615698</v>
      </c>
    </row>
    <row r="80" spans="2:3" x14ac:dyDescent="0.2">
      <c r="B80">
        <v>0.1830822653035975</v>
      </c>
      <c r="C80" s="30">
        <f t="shared" si="1"/>
        <v>169.8134756518788</v>
      </c>
    </row>
    <row r="81" spans="2:3" x14ac:dyDescent="0.2">
      <c r="B81">
        <v>0.7086203222578199</v>
      </c>
      <c r="C81" s="30">
        <f t="shared" si="1"/>
        <v>175.62563454017919</v>
      </c>
    </row>
    <row r="82" spans="2:3" x14ac:dyDescent="0.2">
      <c r="B82">
        <v>0.71220975758423755</v>
      </c>
      <c r="C82" s="30">
        <f t="shared" si="1"/>
        <v>175.66760745233631</v>
      </c>
    </row>
    <row r="83" spans="2:3" x14ac:dyDescent="0.2">
      <c r="B83">
        <v>7.5016499632373668E-2</v>
      </c>
      <c r="C83" s="30">
        <f t="shared" si="1"/>
        <v>167.67054031522449</v>
      </c>
    </row>
    <row r="84" spans="2:3" x14ac:dyDescent="0.2">
      <c r="B84">
        <v>0.46232343716229229</v>
      </c>
      <c r="C84" s="30">
        <f t="shared" si="1"/>
        <v>173.04987213431914</v>
      </c>
    </row>
    <row r="85" spans="2:3" x14ac:dyDescent="0.2">
      <c r="B85">
        <v>0.83748804053771786</v>
      </c>
      <c r="C85" s="30">
        <f t="shared" si="1"/>
        <v>177.36494521360589</v>
      </c>
    </row>
    <row r="86" spans="2:3" x14ac:dyDescent="0.2">
      <c r="B86">
        <v>0.40905981934088742</v>
      </c>
      <c r="C86" s="30">
        <f t="shared" si="1"/>
        <v>172.50834345843217</v>
      </c>
    </row>
    <row r="87" spans="2:3" x14ac:dyDescent="0.2">
      <c r="B87">
        <v>0.87431414970730426</v>
      </c>
      <c r="C87" s="30">
        <f t="shared" si="1"/>
        <v>178.01629601369501</v>
      </c>
    </row>
    <row r="88" spans="2:3" x14ac:dyDescent="0.2">
      <c r="B88">
        <v>0.24835566061698966</v>
      </c>
      <c r="C88" s="30">
        <f t="shared" si="1"/>
        <v>170.70950664554647</v>
      </c>
    </row>
    <row r="89" spans="2:3" x14ac:dyDescent="0.2">
      <c r="B89">
        <v>0.18453266455889572</v>
      </c>
      <c r="C89" s="30">
        <f t="shared" si="1"/>
        <v>169.83529790912641</v>
      </c>
    </row>
    <row r="90" spans="2:3" x14ac:dyDescent="0.2">
      <c r="B90">
        <v>9.2651697166826086E-2</v>
      </c>
      <c r="C90" s="30">
        <f t="shared" si="1"/>
        <v>168.12979443614901</v>
      </c>
    </row>
    <row r="91" spans="2:3" x14ac:dyDescent="0.2">
      <c r="B91">
        <v>0.19248263502111918</v>
      </c>
      <c r="C91" s="30">
        <f t="shared" si="1"/>
        <v>169.95306388234599</v>
      </c>
    </row>
    <row r="92" spans="2:3" x14ac:dyDescent="0.2">
      <c r="B92">
        <v>0.40231627742758214</v>
      </c>
      <c r="C92" s="30">
        <f t="shared" si="1"/>
        <v>172.43877512995616</v>
      </c>
    </row>
    <row r="93" spans="2:3" x14ac:dyDescent="0.2">
      <c r="B93">
        <v>0.43680580031231997</v>
      </c>
      <c r="C93" s="30">
        <f t="shared" si="1"/>
        <v>172.79190922059826</v>
      </c>
    </row>
    <row r="94" spans="2:3" x14ac:dyDescent="0.2">
      <c r="B94">
        <v>0.10761650332820905</v>
      </c>
      <c r="C94" s="30">
        <f t="shared" si="1"/>
        <v>168.47098474246093</v>
      </c>
    </row>
    <row r="95" spans="2:3" x14ac:dyDescent="0.2">
      <c r="B95">
        <v>4.8674593250426224E-3</v>
      </c>
      <c r="C95" s="30">
        <f t="shared" si="1"/>
        <v>163.08777773889301</v>
      </c>
    </row>
    <row r="96" spans="2:3" x14ac:dyDescent="0.2">
      <c r="B96">
        <v>0.62754742238768924</v>
      </c>
      <c r="C96" s="30">
        <f t="shared" si="1"/>
        <v>174.72965834228904</v>
      </c>
    </row>
    <row r="97" spans="2:3" x14ac:dyDescent="0.2">
      <c r="B97">
        <v>0.15522154207274608</v>
      </c>
      <c r="C97" s="30">
        <f t="shared" si="1"/>
        <v>169.37102901402773</v>
      </c>
    </row>
    <row r="98" spans="2:3" x14ac:dyDescent="0.2">
      <c r="B98">
        <v>0.54180290153699784</v>
      </c>
      <c r="C98" s="30">
        <f t="shared" si="1"/>
        <v>173.84810730574966</v>
      </c>
    </row>
    <row r="99" spans="2:3" x14ac:dyDescent="0.2">
      <c r="B99">
        <v>0.8227619843278422</v>
      </c>
      <c r="C99" s="30">
        <f t="shared" si="1"/>
        <v>177.13196870452049</v>
      </c>
    </row>
    <row r="100" spans="2:3" x14ac:dyDescent="0.2">
      <c r="B100">
        <v>0.46353558934802097</v>
      </c>
      <c r="C100" s="30">
        <f t="shared" si="1"/>
        <v>173.06207853487106</v>
      </c>
    </row>
    <row r="101" spans="2:3" x14ac:dyDescent="0.2">
      <c r="B101">
        <v>0.95658014536291458</v>
      </c>
      <c r="C101" s="30">
        <f t="shared" si="1"/>
        <v>180.27743664499519</v>
      </c>
    </row>
  </sheetData>
  <mergeCells count="2">
    <mergeCell ref="E1:F1"/>
    <mergeCell ref="H1:I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历史数据</vt:lpstr>
      <vt:lpstr>均值类指标最小样本量</vt:lpstr>
      <vt:lpstr>概率类指标最小样本量</vt:lpstr>
      <vt:lpstr>Z检验</vt:lpstr>
      <vt:lpstr>T检验</vt:lpstr>
      <vt:lpstr>卡方检验</vt:lpstr>
      <vt:lpstr>正态分布随机数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2022-02-06T11:42:26Z</dcterms:modified>
</cp:coreProperties>
</file>