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13_ncr:1_{071DC5C7-6545-459F-A907-B556C9C497A0}" xr6:coauthVersionLast="45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Q30" i="1"/>
  <c r="P30" i="1"/>
  <c r="O30" i="1"/>
  <c r="N30" i="1"/>
  <c r="Q29" i="1"/>
  <c r="P29" i="1"/>
  <c r="O29" i="1"/>
  <c r="N28" i="1" l="1"/>
  <c r="S28" i="1" s="1"/>
  <c r="E8" i="1"/>
  <c r="N27" i="1"/>
  <c r="S27" i="1" s="1"/>
  <c r="P26" i="1"/>
  <c r="N26" i="1"/>
  <c r="S26" i="1" s="1"/>
  <c r="S29" i="1"/>
  <c r="S30" i="1"/>
  <c r="S31" i="1"/>
  <c r="P25" i="1"/>
  <c r="N25" i="1"/>
  <c r="S25" i="1" s="1"/>
  <c r="P24" i="1"/>
  <c r="N24" i="1"/>
  <c r="S24" i="1" s="1"/>
  <c r="N23" i="1"/>
  <c r="S23" i="1" s="1"/>
  <c r="P23" i="1"/>
  <c r="P22" i="1"/>
  <c r="N22" i="1"/>
  <c r="S22" i="1" s="1"/>
  <c r="R21" i="1"/>
  <c r="N21" i="1"/>
  <c r="S21" i="1" s="1"/>
  <c r="M17" i="1"/>
  <c r="R17" i="1" s="1"/>
  <c r="S17" i="1" s="1"/>
  <c r="G8" i="1"/>
  <c r="F8" i="1"/>
  <c r="N19" i="1"/>
  <c r="I8" i="1"/>
  <c r="D8" i="1"/>
  <c r="C8" i="1"/>
  <c r="R20" i="1"/>
  <c r="O20" i="1"/>
  <c r="R19" i="1"/>
  <c r="S19" i="1" s="1"/>
  <c r="R18" i="1"/>
  <c r="S18" i="1" s="1"/>
  <c r="R16" i="1"/>
  <c r="S16" i="1" s="1"/>
  <c r="Q12" i="1"/>
  <c r="O12" i="1"/>
  <c r="M14" i="1" l="1"/>
  <c r="P14" i="1" s="1"/>
  <c r="S14" i="1" s="1"/>
  <c r="M13" i="1"/>
  <c r="P13" i="1" s="1"/>
  <c r="S13" i="1" s="1"/>
  <c r="O5" i="1"/>
  <c r="Q5" i="1" s="1" a="1"/>
  <c r="Q5" i="1" s="1"/>
  <c r="M10" i="1" s="1"/>
  <c r="O6" i="1"/>
  <c r="H5" i="1"/>
  <c r="S20" i="1"/>
  <c r="S12" i="1"/>
  <c r="E5" i="1" l="1"/>
  <c r="Q10" i="1"/>
  <c r="O10" i="1"/>
  <c r="N10" i="1"/>
  <c r="Q6" i="1"/>
  <c r="M11" i="1" s="1"/>
  <c r="O11" i="1" l="1"/>
  <c r="D5" i="1" s="1"/>
  <c r="Q11" i="1"/>
  <c r="N11" i="1"/>
  <c r="C5" i="1" s="1"/>
  <c r="S10" i="1"/>
  <c r="S11" i="1" l="1"/>
  <c r="M15" i="1" s="1"/>
  <c r="S15" i="1" l="1"/>
  <c r="I5" i="1" s="1"/>
  <c r="Q15" i="1"/>
  <c r="F5" i="1" s="1"/>
  <c r="F6" i="1" s="1"/>
</calcChain>
</file>

<file path=xl/sharedStrings.xml><?xml version="1.0" encoding="utf-8"?>
<sst xmlns="http://schemas.openxmlformats.org/spreadsheetml/2006/main" count="49" uniqueCount="38">
  <si>
    <t>水分</t>
    <phoneticPr fontId="1" type="noConversion"/>
  </si>
  <si>
    <t>脂肪</t>
    <phoneticPr fontId="1" type="noConversion"/>
  </si>
  <si>
    <t>非脂乳固体</t>
    <phoneticPr fontId="1" type="noConversion"/>
  </si>
  <si>
    <t>糖</t>
    <phoneticPr fontId="1" type="noConversion"/>
  </si>
  <si>
    <t>所有固形物</t>
    <phoneticPr fontId="1" type="noConversion"/>
  </si>
  <si>
    <t>牛奶</t>
    <phoneticPr fontId="1" type="noConversion"/>
  </si>
  <si>
    <t>奶油</t>
    <phoneticPr fontId="1" type="noConversion"/>
  </si>
  <si>
    <t>蔗糖</t>
    <phoneticPr fontId="1" type="noConversion"/>
  </si>
  <si>
    <t>葡萄糖</t>
    <phoneticPr fontId="1" type="noConversion"/>
  </si>
  <si>
    <t>用量</t>
    <phoneticPr fontId="1" type="noConversion"/>
  </si>
  <si>
    <t>玉米淀粉</t>
    <phoneticPr fontId="1" type="noConversion"/>
  </si>
  <si>
    <t>稳定剂</t>
    <phoneticPr fontId="1" type="noConversion"/>
  </si>
  <si>
    <t>脱脂奶粉</t>
    <phoneticPr fontId="1" type="noConversion"/>
  </si>
  <si>
    <t>其他固形物</t>
    <phoneticPr fontId="1" type="noConversion"/>
  </si>
  <si>
    <t>浓缩咖啡</t>
    <phoneticPr fontId="1" type="noConversion"/>
  </si>
  <si>
    <t>开心果</t>
    <phoneticPr fontId="1" type="noConversion"/>
  </si>
  <si>
    <t>盐</t>
    <phoneticPr fontId="1" type="noConversion"/>
  </si>
  <si>
    <t>黄油</t>
    <phoneticPr fontId="1" type="noConversion"/>
  </si>
  <si>
    <t>总重量</t>
    <phoneticPr fontId="1" type="noConversion"/>
  </si>
  <si>
    <t>牛奶用量</t>
    <phoneticPr fontId="1" type="noConversion"/>
  </si>
  <si>
    <t>奶油用量</t>
    <phoneticPr fontId="1" type="noConversion"/>
  </si>
  <si>
    <t>总量-其他</t>
    <phoneticPr fontId="1" type="noConversion"/>
  </si>
  <si>
    <t>非脂乳固体上限</t>
    <phoneticPr fontId="1" type="noConversion"/>
  </si>
  <si>
    <t>下限</t>
    <phoneticPr fontId="1" type="noConversion"/>
  </si>
  <si>
    <t>实际用量</t>
    <phoneticPr fontId="1" type="noConversion"/>
  </si>
  <si>
    <t>目标比例</t>
    <phoneticPr fontId="1" type="noConversion"/>
  </si>
  <si>
    <t>柠檬汁</t>
    <phoneticPr fontId="1" type="noConversion"/>
  </si>
  <si>
    <t>蓝莓</t>
    <phoneticPr fontId="1" type="noConversion"/>
  </si>
  <si>
    <t>成熟芒果肉</t>
    <phoneticPr fontId="1" type="noConversion"/>
  </si>
  <si>
    <t>草莓</t>
    <phoneticPr fontId="1" type="noConversion"/>
  </si>
  <si>
    <t>黑莓</t>
    <phoneticPr fontId="1" type="noConversion"/>
  </si>
  <si>
    <t>树莓</t>
    <phoneticPr fontId="1" type="noConversion"/>
  </si>
  <si>
    <t>产品名</t>
    <phoneticPr fontId="1" type="noConversion"/>
  </si>
  <si>
    <t>单位（g）</t>
    <phoneticPr fontId="1" type="noConversion"/>
  </si>
  <si>
    <t>某种蘑菇</t>
    <phoneticPr fontId="1" type="noConversion"/>
  </si>
  <si>
    <t>杏仁</t>
    <phoneticPr fontId="1" type="noConversion"/>
  </si>
  <si>
    <t>黑巧克力</t>
    <phoneticPr fontId="1" type="noConversion"/>
  </si>
  <si>
    <t>可可粉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</si>
</sst>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9" fontId="0" fillId="4" borderId="0" xfId="0" applyNumberFormat="1" applyFill="1" applyBorder="1" applyAlignment="1">
      <alignment horizontal="center" vertical="center"/>
    </xf>
    <xf numFmtId="10" fontId="0" fillId="4" borderId="0" xfId="0" applyNumberFormat="1" applyFill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4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730662104963045E-2"/>
          <c:y val="3.3841906708471196E-2"/>
          <c:w val="0.95548892627647808"/>
          <c:h val="0.9294797697541256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89-4A24-8E2C-88111546D88B}"/>
              </c:ext>
            </c:extLst>
          </c:dPt>
          <c:dPt>
            <c:idx val="1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60-4F05-BC67-44D547C82F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(Sheet1!$C$9,Sheet1!$I$9)</c:f>
              <c:numCache>
                <c:formatCode>0%</c:formatCode>
                <c:ptCount val="2"/>
                <c:pt idx="0">
                  <c:v>0.65</c:v>
                </c:pt>
                <c:pt idx="1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0-4F05-BC67-44D547C82F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固形物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Lit>
              <c:ptCount val="1"/>
              <c:pt idx="0">
                <c:v>固形物</c:v>
              </c:pt>
            </c:strLit>
          </c:cat>
          <c:val>
            <c:numRef>
              <c:f>Sheet1!$I$8</c:f>
              <c:numCache>
                <c:formatCode>General</c:formatCode>
                <c:ptCount val="1"/>
                <c:pt idx="0">
                  <c:v>140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9068-4FAE-AB69-06725B321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4951296"/>
        <c:axId val="124946720"/>
        <c:axId val="0"/>
      </c:bar3DChart>
      <c:catAx>
        <c:axId val="124951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4946720"/>
        <c:crosses val="autoZero"/>
        <c:auto val="1"/>
        <c:lblAlgn val="ctr"/>
        <c:lblOffset val="100"/>
        <c:noMultiLvlLbl val="0"/>
      </c:catAx>
      <c:valAx>
        <c:axId val="1249467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495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脂肪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Sheet1!$D$9</c:f>
              <c:numCache>
                <c:formatCode>0%</c:formatCode>
                <c:ptCount val="1"/>
                <c:pt idx="0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E-4EC0-BDAB-84551F140190}"/>
            </c:ext>
          </c:extLst>
        </c:ser>
        <c:ser>
          <c:idx val="1"/>
          <c:order val="1"/>
          <c:tx>
            <c:v>糖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Sheet1!$E$9</c:f>
              <c:numCache>
                <c:formatCode>0.00%</c:formatCode>
                <c:ptCount val="1"/>
                <c:pt idx="0">
                  <c:v>6.5000000000000002E-2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6E-4EC0-BDAB-84551F140190}"/>
            </c:ext>
          </c:extLst>
        </c:ser>
        <c:ser>
          <c:idx val="2"/>
          <c:order val="2"/>
          <c:tx>
            <c:v>非脂乳固体</c:v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Sheet1!$F$6</c:f>
              <c:numCache>
                <c:formatCode>0.00%</c:formatCode>
                <c:ptCount val="1"/>
                <c:pt idx="0">
                  <c:v>0.13159999999999997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6E-4EC0-BDAB-84551F140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4947552"/>
        <c:axId val="124936736"/>
        <c:axId val="0"/>
      </c:bar3DChart>
      <c:catAx>
        <c:axId val="124947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4936736"/>
        <c:crosses val="autoZero"/>
        <c:auto val="1"/>
        <c:lblAlgn val="ctr"/>
        <c:lblOffset val="100"/>
        <c:noMultiLvlLbl val="0"/>
      </c:catAx>
      <c:valAx>
        <c:axId val="1249367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494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1681530</xdr:colOff>
      <xdr:row>10</xdr:row>
      <xdr:rowOff>87923</xdr:rowOff>
    </xdr:from>
    <xdr:to>
      <xdr:col>4</xdr:col>
      <xdr:colOff>410308</xdr:colOff>
      <xdr:row>23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9562D1A-9161-D7A3-794F-46FE47007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417635</xdr:colOff>
      <xdr:row>10</xdr:row>
      <xdr:rowOff>90122</xdr:rowOff>
    </xdr:from>
    <xdr:to>
      <xdr:col>9</xdr:col>
      <xdr:colOff>0</xdr:colOff>
      <xdr:row>19</xdr:row>
      <xdr:rowOff>117232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43230B7-D9FE-37EF-FEA6-A82EE05A5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429543</xdr:colOff>
      <xdr:row>17</xdr:row>
      <xdr:rowOff>93785</xdr:rowOff>
    </xdr:from>
    <xdr:to>
      <xdr:col>8</xdr:col>
      <xdr:colOff>422214</xdr:colOff>
      <xdr:row>25</xdr:row>
      <xdr:rowOff>69606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C756B57-5986-2967-132F-0E0E83F10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zoomScale="160" zoomScaleNormal="160" workbookViewId="0">
      <selection activeCell="M17" sqref="M17"/>
    </sheetView>
  </sheetViews>
  <sheetFormatPr defaultRowHeight="14.25" x14ac:dyDescent="0.2"/>
  <cols>
    <col min="1" max="1" width="9" style="1" customWidth="1"/>
    <col min="2" max="2" width="10" customWidth="1"/>
    <col min="5" max="5" width="8.75" customWidth="1"/>
    <col min="6" max="6" width="14.25" customWidth="1"/>
    <col min="7" max="7" width="11" customWidth="1"/>
    <col min="8" max="8" width="11.25" customWidth="1"/>
    <col min="9" max="9" width="12.375" customWidth="1"/>
    <col min="11" max="11" width="4" customWidth="1"/>
    <col min="12" max="12" width="14.5" customWidth="1"/>
    <col min="15" max="15" width="10.25" customWidth="1"/>
    <col min="17" max="17" width="11.375" customWidth="1"/>
    <col min="18" max="18" width="11.625" customWidth="1"/>
    <col min="20" max="20" width="31.875" style="1" customWidth="1"/>
    <col min="22" max="22" width="10.625" customWidth="1"/>
    <col min="23" max="23" width="12.25" customWidth="1"/>
    <col min="26" max="26" width="11.625" style="3" customWidth="1"/>
    <col min="27" max="27" width="22.875" customWidth="1"/>
  </cols>
  <sheetData>
    <row r="1" spans="2:26" s="1" customFormat="1" x14ac:dyDescent="0.2">
      <c r="Z1" s="2"/>
    </row>
    <row r="2" spans="2:26" s="1" customFormat="1" ht="15" customHeight="1" x14ac:dyDescent="0.2">
      <c r="Z2" s="2"/>
    </row>
    <row r="3" spans="2:26" s="1" customFormat="1" ht="35.25" customHeight="1" x14ac:dyDescent="0.2">
      <c r="B3" s="7" t="s">
        <v>33</v>
      </c>
      <c r="C3" s="2"/>
      <c r="D3" s="2"/>
      <c r="E3" s="2"/>
      <c r="F3" s="2"/>
      <c r="G3" s="2"/>
      <c r="H3" s="2"/>
      <c r="I3" s="2"/>
      <c r="J3" s="2"/>
      <c r="K3" s="2"/>
      <c r="L3" s="2" t="s">
        <v>18</v>
      </c>
      <c r="M3" s="6">
        <v>400</v>
      </c>
      <c r="N3" s="2" t="s">
        <v>32</v>
      </c>
      <c r="O3" s="6" t="s">
        <v>15</v>
      </c>
      <c r="P3" s="2"/>
      <c r="Q3" s="2"/>
      <c r="R3" s="2"/>
      <c r="S3" s="2"/>
      <c r="T3" s="2"/>
      <c r="U3" s="2"/>
      <c r="V3" s="2"/>
      <c r="Z3" s="2"/>
    </row>
    <row r="4" spans="2:26" x14ac:dyDescent="0.2">
      <c r="B4" s="8" t="s">
        <v>24</v>
      </c>
      <c r="C4" s="9" t="s">
        <v>0</v>
      </c>
      <c r="D4" s="9" t="s">
        <v>1</v>
      </c>
      <c r="E4" s="9" t="s">
        <v>3</v>
      </c>
      <c r="F4" s="9" t="s">
        <v>2</v>
      </c>
      <c r="G4" s="9"/>
      <c r="H4" s="9" t="s">
        <v>13</v>
      </c>
      <c r="I4" s="10" t="s">
        <v>4</v>
      </c>
      <c r="J4" s="3"/>
      <c r="K4" s="3"/>
      <c r="L4" s="22"/>
      <c r="M4" s="9" t="s">
        <v>5</v>
      </c>
      <c r="N4" s="9" t="s">
        <v>6</v>
      </c>
      <c r="O4" s="9" t="s">
        <v>21</v>
      </c>
      <c r="P4" s="9"/>
      <c r="Q4" s="10"/>
      <c r="T4" s="2"/>
      <c r="U4" s="3"/>
      <c r="V4" s="3"/>
    </row>
    <row r="5" spans="2:26" x14ac:dyDescent="0.2">
      <c r="B5" s="11"/>
      <c r="C5" s="12">
        <f>SUM(N10:N29)</f>
        <v>260</v>
      </c>
      <c r="D5" s="12">
        <f>SUM(O10:O29)</f>
        <v>33.72</v>
      </c>
      <c r="E5" s="12">
        <f>SUM(P10:P29)</f>
        <v>26</v>
      </c>
      <c r="F5" s="12">
        <f>SUM(Q10:Q29)</f>
        <v>52.639999999999986</v>
      </c>
      <c r="G5" s="12"/>
      <c r="H5" s="12">
        <f>SUM(R10:R29)</f>
        <v>2</v>
      </c>
      <c r="I5" s="13">
        <f>SUM(S10:S29)</f>
        <v>120</v>
      </c>
      <c r="J5" s="3"/>
      <c r="K5" s="3"/>
      <c r="L5" s="11" t="s">
        <v>0</v>
      </c>
      <c r="M5" s="23">
        <v>0.88100000000000001</v>
      </c>
      <c r="N5" s="23">
        <v>0.57699999999999996</v>
      </c>
      <c r="O5" s="12">
        <f>C8-SUM(N12:N31)</f>
        <v>260</v>
      </c>
      <c r="P5" s="24" t="s">
        <v>19</v>
      </c>
      <c r="Q5" s="25">
        <f t="array" ref="Q5:Q6">MMULT(MINVERSE(M5:N6),O5:O6)</f>
        <v>278.84081376933921</v>
      </c>
      <c r="T5" s="2"/>
      <c r="U5" s="3"/>
      <c r="V5" s="3"/>
    </row>
    <row r="6" spans="2:26" x14ac:dyDescent="0.2">
      <c r="B6" s="11"/>
      <c r="C6" s="12"/>
      <c r="D6" s="12"/>
      <c r="E6" s="12"/>
      <c r="F6" s="33">
        <f>F5/M3</f>
        <v>0.13159999999999997</v>
      </c>
      <c r="G6" s="12"/>
      <c r="H6" s="12"/>
      <c r="I6" s="13"/>
      <c r="J6" s="3"/>
      <c r="K6" s="3"/>
      <c r="L6" s="19" t="s">
        <v>1</v>
      </c>
      <c r="M6" s="26">
        <v>3.7999999999999999E-2</v>
      </c>
      <c r="N6" s="26">
        <v>0.35099999999999998</v>
      </c>
      <c r="O6" s="20">
        <f>D8-SUM(O12:O31)</f>
        <v>19.32</v>
      </c>
      <c r="P6" s="27" t="s">
        <v>20</v>
      </c>
      <c r="Q6" s="28">
        <v>24.854840674544484</v>
      </c>
      <c r="T6" s="2"/>
      <c r="U6" s="3"/>
      <c r="V6" s="3"/>
    </row>
    <row r="7" spans="2:26" x14ac:dyDescent="0.2">
      <c r="B7" s="11"/>
      <c r="C7" s="12"/>
      <c r="D7" s="12"/>
      <c r="E7" s="12"/>
      <c r="F7" s="12" t="s">
        <v>22</v>
      </c>
      <c r="G7" s="12" t="s">
        <v>23</v>
      </c>
      <c r="H7" s="12"/>
      <c r="I7" s="13"/>
      <c r="J7" s="3"/>
      <c r="K7" s="3"/>
      <c r="T7" s="2"/>
      <c r="U7" s="3"/>
      <c r="V7" s="3"/>
    </row>
    <row r="8" spans="2:26" x14ac:dyDescent="0.2">
      <c r="B8" s="11" t="s">
        <v>25</v>
      </c>
      <c r="C8" s="12">
        <f>M3*C9</f>
        <v>260</v>
      </c>
      <c r="D8" s="12">
        <f>M3*D9</f>
        <v>36</v>
      </c>
      <c r="E8" s="12">
        <f>M3*E9</f>
        <v>26</v>
      </c>
      <c r="F8" s="12">
        <f>M3*F9</f>
        <v>24</v>
      </c>
      <c r="G8" s="12">
        <f>M3*G9</f>
        <v>60</v>
      </c>
      <c r="H8" s="12"/>
      <c r="I8" s="14">
        <f>M3*I9</f>
        <v>140</v>
      </c>
      <c r="J8" s="3"/>
      <c r="K8" s="3"/>
      <c r="T8" s="2"/>
      <c r="U8" s="3"/>
      <c r="V8" s="3"/>
    </row>
    <row r="9" spans="2:26" x14ac:dyDescent="0.2">
      <c r="B9" s="11"/>
      <c r="C9" s="15">
        <v>0.65</v>
      </c>
      <c r="D9" s="15">
        <v>0.09</v>
      </c>
      <c r="E9" s="16">
        <f>65%*10%</f>
        <v>6.5000000000000002E-2</v>
      </c>
      <c r="F9" s="17">
        <v>0.06</v>
      </c>
      <c r="G9" s="17">
        <v>0.15</v>
      </c>
      <c r="H9" s="12"/>
      <c r="I9" s="18">
        <v>0.35</v>
      </c>
      <c r="J9" s="3"/>
      <c r="K9" s="3"/>
      <c r="L9" s="22"/>
      <c r="M9" s="9" t="s">
        <v>9</v>
      </c>
      <c r="N9" s="9" t="s">
        <v>0</v>
      </c>
      <c r="O9" s="9" t="s">
        <v>1</v>
      </c>
      <c r="P9" s="9" t="s">
        <v>3</v>
      </c>
      <c r="Q9" s="9" t="s">
        <v>2</v>
      </c>
      <c r="R9" s="9" t="s">
        <v>13</v>
      </c>
      <c r="S9" s="10" t="s">
        <v>4</v>
      </c>
      <c r="T9" s="2"/>
      <c r="U9" s="3"/>
      <c r="V9" s="3"/>
    </row>
    <row r="10" spans="2:26" x14ac:dyDescent="0.2">
      <c r="B10" s="19"/>
      <c r="C10" s="20"/>
      <c r="D10" s="20"/>
      <c r="E10" s="20"/>
      <c r="F10" s="20"/>
      <c r="G10" s="20"/>
      <c r="H10" s="20"/>
      <c r="I10" s="21"/>
      <c r="J10" s="3"/>
      <c r="K10" s="3"/>
      <c r="L10" s="11" t="s">
        <v>5</v>
      </c>
      <c r="M10" s="12">
        <f>Q5</f>
        <v>278.84081376933921</v>
      </c>
      <c r="N10" s="12">
        <f>M10*0.881</f>
        <v>245.65875693078783</v>
      </c>
      <c r="O10" s="12">
        <f>M10*0.038</f>
        <v>10.59595092323489</v>
      </c>
      <c r="P10" s="12"/>
      <c r="Q10" s="12">
        <f>M10*0.081</f>
        <v>22.586105915316477</v>
      </c>
      <c r="R10" s="12"/>
      <c r="S10" s="13">
        <f>O10+P10+Q10+R10</f>
        <v>33.182056838551368</v>
      </c>
      <c r="T10" s="2"/>
      <c r="U10" s="3"/>
      <c r="V10" s="3"/>
    </row>
    <row r="11" spans="2:26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11" t="s">
        <v>6</v>
      </c>
      <c r="M11" s="12">
        <f>Q6</f>
        <v>24.854840674544484</v>
      </c>
      <c r="N11" s="12">
        <f>M11*0.577</f>
        <v>14.341243069212165</v>
      </c>
      <c r="O11" s="12">
        <f>M11*0.351</f>
        <v>8.7240490767651124</v>
      </c>
      <c r="P11" s="12"/>
      <c r="Q11" s="12">
        <f>M11*0.072</f>
        <v>1.7895485285672026</v>
      </c>
      <c r="R11" s="12"/>
      <c r="S11" s="13">
        <f t="shared" ref="S11:S18" si="0">O11+P11+Q11+R11</f>
        <v>10.513597605332315</v>
      </c>
      <c r="T11" s="2"/>
      <c r="U11" s="3"/>
      <c r="V11" s="3"/>
    </row>
    <row r="12" spans="2:26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29" t="s">
        <v>17</v>
      </c>
      <c r="M12" s="23">
        <v>0</v>
      </c>
      <c r="N12" s="12"/>
      <c r="O12" s="12">
        <f>M12*0.8</f>
        <v>0</v>
      </c>
      <c r="P12" s="12"/>
      <c r="Q12" s="12">
        <f>M12*0.2</f>
        <v>0</v>
      </c>
      <c r="R12" s="12"/>
      <c r="S12" s="13">
        <f t="shared" si="0"/>
        <v>0</v>
      </c>
      <c r="T12" s="2"/>
      <c r="U12" s="3"/>
      <c r="V12" s="3"/>
    </row>
    <row r="13" spans="2:26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11" t="s">
        <v>7</v>
      </c>
      <c r="M13" s="12">
        <f>(E8-P10-P11-P12-P15-P16-P17-P18-P19-P20-P21-P22-P23-P24-P25-P26-P27-P28-P29-P30-P31)*0.8</f>
        <v>6.7199999999999989</v>
      </c>
      <c r="N13" s="12"/>
      <c r="O13" s="12"/>
      <c r="P13" s="12">
        <f>M13</f>
        <v>6.7199999999999989</v>
      </c>
      <c r="Q13" s="12"/>
      <c r="R13" s="12"/>
      <c r="S13" s="13">
        <f t="shared" si="0"/>
        <v>6.7199999999999989</v>
      </c>
      <c r="T13" s="2"/>
      <c r="U13" s="3"/>
      <c r="V13" s="3"/>
    </row>
    <row r="14" spans="2:26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11" t="s">
        <v>8</v>
      </c>
      <c r="M14" s="12">
        <f>(E8-P10-P11-P12-P15-P16-P17-P18-P19-P20-P21-P22-P23-P24-P25-P26-P27-P28-P29-P30-P31)*0.2</f>
        <v>1.6799999999999997</v>
      </c>
      <c r="N14" s="12"/>
      <c r="O14" s="12"/>
      <c r="P14" s="12">
        <f>M14</f>
        <v>1.6799999999999997</v>
      </c>
      <c r="Q14" s="12"/>
      <c r="R14" s="12"/>
      <c r="S14" s="13">
        <f t="shared" si="0"/>
        <v>1.6799999999999997</v>
      </c>
      <c r="T14" s="2"/>
      <c r="U14" s="3"/>
      <c r="V14" s="3"/>
    </row>
    <row r="15" spans="2:26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11" t="s">
        <v>12</v>
      </c>
      <c r="M15" s="12">
        <f>I8-SUM(S10+S11,S12,S13,S14,S16,S17,S18,S19,S20,S21,S22,S23,S24,S25,S26,S27,S28,S29,S30,S31)</f>
        <v>25.904345556116311</v>
      </c>
      <c r="N15" s="12"/>
      <c r="O15" s="12"/>
      <c r="P15" s="12"/>
      <c r="Q15" s="12">
        <f>M15</f>
        <v>25.904345556116311</v>
      </c>
      <c r="R15" s="12"/>
      <c r="S15" s="13">
        <f>M15</f>
        <v>25.904345556116311</v>
      </c>
      <c r="T15" s="2"/>
      <c r="U15" s="3"/>
      <c r="V15" s="3"/>
    </row>
    <row r="16" spans="2:26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29" t="s">
        <v>10</v>
      </c>
      <c r="M16" s="23">
        <v>0</v>
      </c>
      <c r="N16" s="12"/>
      <c r="O16" s="12"/>
      <c r="P16" s="12"/>
      <c r="Q16" s="12"/>
      <c r="R16" s="12">
        <f>M16</f>
        <v>0</v>
      </c>
      <c r="S16" s="13">
        <f t="shared" si="0"/>
        <v>0</v>
      </c>
      <c r="T16" s="2"/>
      <c r="U16" s="3"/>
      <c r="V16" s="3"/>
    </row>
    <row r="17" spans="2:27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0" t="s">
        <v>11</v>
      </c>
      <c r="M17" s="31">
        <f>M3*0.005</f>
        <v>2</v>
      </c>
      <c r="N17" s="12"/>
      <c r="O17" s="12"/>
      <c r="P17" s="12"/>
      <c r="Q17" s="12"/>
      <c r="R17" s="12">
        <f>M17</f>
        <v>2</v>
      </c>
      <c r="S17" s="13">
        <f t="shared" si="0"/>
        <v>2</v>
      </c>
      <c r="T17" s="2"/>
      <c r="U17" s="3"/>
      <c r="V17" s="3"/>
    </row>
    <row r="18" spans="2:27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29" t="s">
        <v>16</v>
      </c>
      <c r="M18" s="23">
        <v>0</v>
      </c>
      <c r="N18" s="12"/>
      <c r="O18" s="12"/>
      <c r="P18" s="12"/>
      <c r="Q18" s="12"/>
      <c r="R18" s="12">
        <f>M18</f>
        <v>0</v>
      </c>
      <c r="S18" s="13">
        <f t="shared" si="0"/>
        <v>0</v>
      </c>
      <c r="T18" s="2"/>
      <c r="U18" s="3"/>
      <c r="V18" s="3"/>
    </row>
    <row r="19" spans="2:27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29" t="s">
        <v>14</v>
      </c>
      <c r="M19" s="23">
        <v>0</v>
      </c>
      <c r="N19" s="12">
        <f>M19*0.833</f>
        <v>0</v>
      </c>
      <c r="O19" s="12"/>
      <c r="P19" s="12"/>
      <c r="Q19" s="12"/>
      <c r="R19" s="12">
        <f>M19*0.167</f>
        <v>0</v>
      </c>
      <c r="S19" s="13">
        <f>O19+P19+Q19+R19</f>
        <v>0</v>
      </c>
      <c r="T19" s="2"/>
      <c r="U19" s="3"/>
      <c r="V19" s="3"/>
    </row>
    <row r="20" spans="2:27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29" t="s">
        <v>15</v>
      </c>
      <c r="M20" s="23">
        <v>0</v>
      </c>
      <c r="N20" s="12"/>
      <c r="O20" s="12">
        <f>M20*0.45</f>
        <v>0</v>
      </c>
      <c r="P20" s="12"/>
      <c r="Q20" s="12"/>
      <c r="R20" s="12">
        <f>M20*0.55</f>
        <v>0</v>
      </c>
      <c r="S20" s="13">
        <f>O20+P20+Q20+R20</f>
        <v>0</v>
      </c>
      <c r="T20" s="2"/>
      <c r="U20" s="3"/>
      <c r="V20" s="3"/>
    </row>
    <row r="21" spans="2:27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29" t="s">
        <v>26</v>
      </c>
      <c r="M21" s="23">
        <v>0</v>
      </c>
      <c r="N21" s="12">
        <f>M21*0.93</f>
        <v>0</v>
      </c>
      <c r="O21" s="12"/>
      <c r="P21" s="12"/>
      <c r="Q21" s="12"/>
      <c r="R21" s="12">
        <f>M21*0.07</f>
        <v>0</v>
      </c>
      <c r="S21" s="13">
        <f>M21-N21</f>
        <v>0</v>
      </c>
      <c r="T21" s="2"/>
      <c r="U21" s="3"/>
      <c r="V21" s="3"/>
    </row>
    <row r="22" spans="2:27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29" t="s">
        <v>28</v>
      </c>
      <c r="M22" s="23">
        <v>0</v>
      </c>
      <c r="N22" s="12">
        <f>M22*0.8</f>
        <v>0</v>
      </c>
      <c r="O22" s="12"/>
      <c r="P22" s="12">
        <f>M22*0.15</f>
        <v>0</v>
      </c>
      <c r="Q22" s="12"/>
      <c r="R22" s="12"/>
      <c r="S22" s="13">
        <f t="shared" ref="S22:S31" si="1">M22-N22</f>
        <v>0</v>
      </c>
      <c r="T22" s="2"/>
      <c r="U22" s="3"/>
      <c r="V22" s="3"/>
    </row>
    <row r="23" spans="2:27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29" t="s">
        <v>27</v>
      </c>
      <c r="M23" s="23">
        <v>0</v>
      </c>
      <c r="N23" s="12">
        <f>M23*0.8</f>
        <v>0</v>
      </c>
      <c r="O23" s="12"/>
      <c r="P23" s="12">
        <f>M23*0.13</f>
        <v>0</v>
      </c>
      <c r="Q23" s="12"/>
      <c r="R23" s="12"/>
      <c r="S23" s="13">
        <f t="shared" si="1"/>
        <v>0</v>
      </c>
      <c r="T23" s="2"/>
      <c r="U23" s="3"/>
      <c r="V23" s="3"/>
    </row>
    <row r="24" spans="2:27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29" t="s">
        <v>29</v>
      </c>
      <c r="M24" s="23">
        <v>0</v>
      </c>
      <c r="N24" s="12">
        <f>M24*0.9</f>
        <v>0</v>
      </c>
      <c r="O24" s="12"/>
      <c r="P24" s="12">
        <f>M24*0.05</f>
        <v>0</v>
      </c>
      <c r="Q24" s="12"/>
      <c r="R24" s="12"/>
      <c r="S24" s="13">
        <f t="shared" si="1"/>
        <v>0</v>
      </c>
      <c r="T24" s="2"/>
      <c r="U24" s="3"/>
      <c r="V24" s="3"/>
    </row>
    <row r="25" spans="2:27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29" t="s">
        <v>30</v>
      </c>
      <c r="M25" s="23">
        <v>0</v>
      </c>
      <c r="N25" s="12">
        <f>M25*0.85</f>
        <v>0</v>
      </c>
      <c r="O25" s="12"/>
      <c r="P25" s="12">
        <f>M25*0.05</f>
        <v>0</v>
      </c>
      <c r="Q25" s="12"/>
      <c r="R25" s="12"/>
      <c r="S25" s="13">
        <f t="shared" si="1"/>
        <v>0</v>
      </c>
      <c r="T25" s="2"/>
      <c r="U25" s="3"/>
      <c r="V25" s="3"/>
    </row>
    <row r="26" spans="2:27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29" t="s">
        <v>31</v>
      </c>
      <c r="M26" s="23">
        <v>0</v>
      </c>
      <c r="N26" s="12">
        <f>M26*0.87</f>
        <v>0</v>
      </c>
      <c r="O26" s="12"/>
      <c r="P26" s="12">
        <f>M26*0.046</f>
        <v>0</v>
      </c>
      <c r="Q26" s="12"/>
      <c r="R26" s="12"/>
      <c r="S26" s="13">
        <f t="shared" si="1"/>
        <v>0</v>
      </c>
      <c r="T26" s="2"/>
      <c r="U26" s="3"/>
      <c r="V26" s="3"/>
    </row>
    <row r="27" spans="2:27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29" t="s">
        <v>34</v>
      </c>
      <c r="M27" s="23">
        <v>0</v>
      </c>
      <c r="N27" s="12">
        <f>M27*0.8</f>
        <v>0</v>
      </c>
      <c r="O27" s="12"/>
      <c r="P27" s="12"/>
      <c r="Q27" s="12"/>
      <c r="R27" s="12"/>
      <c r="S27" s="13">
        <f t="shared" si="1"/>
        <v>0</v>
      </c>
      <c r="T27" s="2"/>
      <c r="U27" s="3"/>
    </row>
    <row r="28" spans="2:27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29" t="s">
        <v>35</v>
      </c>
      <c r="M28" s="23">
        <v>0</v>
      </c>
      <c r="N28" s="12">
        <f>M28*0.5</f>
        <v>0</v>
      </c>
      <c r="O28" s="12"/>
      <c r="P28" s="12"/>
      <c r="Q28" s="12"/>
      <c r="R28" s="12"/>
      <c r="S28" s="13">
        <f t="shared" si="1"/>
        <v>0</v>
      </c>
      <c r="T28" s="2"/>
      <c r="U28" s="3"/>
      <c r="V28" s="5"/>
    </row>
    <row r="29" spans="2:27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29" t="s">
        <v>36</v>
      </c>
      <c r="M29" s="23">
        <v>40</v>
      </c>
      <c r="N29" s="12">
        <v>0</v>
      </c>
      <c r="O29" s="12">
        <f>M29*0.36</f>
        <v>14.399999999999999</v>
      </c>
      <c r="P29" s="12">
        <f>M29*0.44</f>
        <v>17.600000000000001</v>
      </c>
      <c r="Q29" s="12">
        <f>M29*0.059</f>
        <v>2.36</v>
      </c>
      <c r="R29" s="12"/>
      <c r="S29" s="13">
        <f t="shared" si="1"/>
        <v>40</v>
      </c>
      <c r="T29" s="2"/>
      <c r="U29" s="3"/>
    </row>
    <row r="30" spans="2:27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29" t="s">
        <v>37</v>
      </c>
      <c r="M30" s="23">
        <v>20</v>
      </c>
      <c r="N30" s="12">
        <f>M29*0</f>
        <v>0</v>
      </c>
      <c r="O30" s="12">
        <f>M30*0.114</f>
        <v>2.2800000000000002</v>
      </c>
      <c r="P30" s="12">
        <f>M30*0</f>
        <v>0</v>
      </c>
      <c r="Q30" s="12">
        <f>M30*(1-0.114)</f>
        <v>17.72</v>
      </c>
      <c r="R30" s="12"/>
      <c r="S30" s="13">
        <f t="shared" si="1"/>
        <v>20</v>
      </c>
    </row>
    <row r="31" spans="2:27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2"/>
      <c r="M31" s="26"/>
      <c r="N31" s="20"/>
      <c r="O31" s="20"/>
      <c r="P31" s="20"/>
      <c r="Q31" s="20"/>
      <c r="R31" s="20"/>
      <c r="S31" s="21">
        <f t="shared" si="1"/>
        <v>0</v>
      </c>
      <c r="V31" s="3"/>
    </row>
    <row r="32" spans="2:27" x14ac:dyDescent="0.2">
      <c r="R32" s="3"/>
      <c r="S32" s="3"/>
      <c r="AA32" s="4"/>
    </row>
    <row r="33" spans="18:27" x14ac:dyDescent="0.2">
      <c r="R33" s="3"/>
      <c r="S33" s="3"/>
      <c r="AA33" s="4"/>
    </row>
    <row r="34" spans="18:27" x14ac:dyDescent="0.2">
      <c r="R34" s="3"/>
      <c r="S34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&amp; Griffin</dc:creator>
  <cp:lastModifiedBy>姚一鸣</cp:lastModifiedBy>
  <dcterms:created xsi:type="dcterms:W3CDTF">2015-06-05T18:19:34Z</dcterms:created>
  <dcterms:modified xsi:type="dcterms:W3CDTF">2023-11-18T16:10:06Z</dcterms:modified>
</cp:coreProperties>
</file>